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showInkAnnotation="0" codeName="ThisWorkbook"/>
  <mc:AlternateContent xmlns:mc="http://schemas.openxmlformats.org/markup-compatibility/2006">
    <mc:Choice Requires="x15">
      <x15ac:absPath xmlns:x15ac="http://schemas.microsoft.com/office/spreadsheetml/2010/11/ac" url="C:\Users\pined\Documents\DOCUMENTOS 2021\ACUÑA HECTOR PPTO 2022\Presentación de Formatos y Directivas\Regiones\Ucayali\"/>
    </mc:Choice>
  </mc:AlternateContent>
  <xr:revisionPtr revIDLastSave="0" documentId="8_{1A0AED0D-8C63-4D6D-9513-09A1A4485B75}" xr6:coauthVersionLast="47" xr6:coauthVersionMax="47" xr10:uidLastSave="{00000000-0000-0000-0000-000000000000}"/>
  <bookViews>
    <workbookView xWindow="-120" yWindow="-120" windowWidth="20730" windowHeight="11160" tabRatio="883" firstSheet="1" activeTab="1" xr2:uid="{00000000-000D-0000-FFFF-FFFF00000000}"/>
  </bookViews>
  <sheets>
    <sheet name="Índice" sheetId="55" r:id="rId1"/>
    <sheet name="F-01" sheetId="62" r:id="rId2"/>
    <sheet name="F-02" sheetId="73" r:id="rId3"/>
    <sheet name="F-03" sheetId="70" r:id="rId4"/>
    <sheet name="F-04 " sheetId="30" r:id="rId5"/>
    <sheet name="F-05" sheetId="76" r:id="rId6"/>
    <sheet name="F-06" sheetId="57" r:id="rId7"/>
    <sheet name="F-07" sheetId="9" r:id="rId8"/>
    <sheet name="F-08 " sheetId="21" r:id="rId9"/>
    <sheet name="F-09" sheetId="60" r:id="rId10"/>
    <sheet name="F-10" sheetId="32" r:id="rId11"/>
    <sheet name="F-11" sheetId="45" r:id="rId12"/>
    <sheet name="F-12" sheetId="33" r:id="rId13"/>
    <sheet name="F-13" sheetId="50" r:id="rId14"/>
    <sheet name="F-14" sheetId="51" r:id="rId15"/>
    <sheet name="F-15" sheetId="39" r:id="rId16"/>
    <sheet name="F-16" sheetId="79" r:id="rId17"/>
    <sheet name="F-17" sheetId="53" r:id="rId18"/>
    <sheet name="F-18" sheetId="64" r:id="rId19"/>
    <sheet name="Hoja1" sheetId="78" state="hidden" r:id="rId20"/>
  </sheets>
  <externalReferences>
    <externalReference r:id="rId21"/>
    <externalReference r:id="rId22"/>
    <externalReference r:id="rId23"/>
    <externalReference r:id="rId24"/>
  </externalReferences>
  <definedNames>
    <definedName name="_xlnm.Print_Area" localSheetId="1">'F-01'!$B$1:$Q$22</definedName>
    <definedName name="_xlnm.Print_Area" localSheetId="6">'F-06'!$A$1:$N$52</definedName>
    <definedName name="_xlnm.Print_Area" localSheetId="7">'F-07'!$A$1:$Q$26</definedName>
    <definedName name="_xlnm.Print_Area" localSheetId="8">'F-08 '!$A$1:$R$109</definedName>
    <definedName name="_xlnm.Print_Area" localSheetId="9">'F-09'!$A$1:$W$832</definedName>
    <definedName name="_xlnm.Print_Area" localSheetId="10">'F-10'!$A$1:$I$487</definedName>
    <definedName name="_xlnm.Print_Area" localSheetId="11">'F-11'!$A$1:$AI$1573</definedName>
    <definedName name="_xlnm.Print_Area" localSheetId="13">'F-13'!$A$1:$N$25</definedName>
    <definedName name="_xlnm.Print_Area" localSheetId="14">'F-14'!$A$1:$K$1095</definedName>
    <definedName name="_xlnm.Print_Area" localSheetId="15">'F-15'!$A$1:$H$59</definedName>
    <definedName name="_xlnm.Print_Area" localSheetId="16">'F-16'!$A$1:$H$404</definedName>
    <definedName name="_xlnm.Print_Area" localSheetId="17">'F-17'!$A$1:$P$3052</definedName>
    <definedName name="_xlnm.Print_Area" localSheetId="18">'F-18'!$A$1:$N$23</definedName>
    <definedName name="_xlnm.Print_Area" localSheetId="0">Índice!$A$1:$E$35</definedName>
    <definedName name="dd" localSheetId="2">#REF!</definedName>
    <definedName name="dd" localSheetId="3">#REF!</definedName>
    <definedName name="dd" localSheetId="5">#REF!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8">#REF!</definedName>
    <definedName name="DONAC">#REF!</definedName>
    <definedName name="EE" localSheetId="2">#REF!</definedName>
    <definedName name="EE" localSheetId="3">#REF!</definedName>
    <definedName name="EE" localSheetId="5">#REF!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8">#REF!</definedName>
    <definedName name="RECPUB">#REF!</definedName>
    <definedName name="_xlnm.Print_Titles" localSheetId="1">'F-01'!$1:$6</definedName>
    <definedName name="_xlnm.Print_Titles" localSheetId="5">'F-05'!$1:$2</definedName>
    <definedName name="_xlnm.Print_Titles" localSheetId="8">'F-08 '!$1:$5</definedName>
    <definedName name="_xlnm.Print_Titles" localSheetId="9">'F-09'!$1:$3</definedName>
    <definedName name="_xlnm.Print_Titles" localSheetId="10">'F-10'!$1:$3</definedName>
    <definedName name="_xlnm.Print_Titles" localSheetId="11">'F-11'!$1:$3</definedName>
    <definedName name="_xlnm.Print_Titles" localSheetId="13">'F-13'!$1:$2</definedName>
    <definedName name="_xlnm.Print_Titles" localSheetId="14">'F-14'!$1:$5</definedName>
    <definedName name="_xlnm.Print_Titles" localSheetId="15">'F-15'!$1:$5</definedName>
    <definedName name="_xlnm.Print_Titles" localSheetId="16">'F-16'!$1:$5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8">#REF!</definedName>
    <definedName name="XPRINT4">#REF!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6" i="39" l="1"/>
  <c r="E56" i="39"/>
  <c r="D56" i="39"/>
  <c r="P287" i="53"/>
  <c r="E3052" i="53"/>
  <c r="P3051" i="53"/>
  <c r="P3050" i="53"/>
  <c r="P3049" i="53"/>
  <c r="P3048" i="53"/>
  <c r="P3047" i="53"/>
  <c r="P3046" i="53"/>
  <c r="P3045" i="53"/>
  <c r="P3044" i="53"/>
  <c r="P3043" i="53"/>
  <c r="P3042" i="53"/>
  <c r="P3041" i="53"/>
  <c r="P3040" i="53"/>
  <c r="P3039" i="53"/>
  <c r="P3038" i="53"/>
  <c r="P3037" i="53"/>
  <c r="P3036" i="53"/>
  <c r="P3035" i="53"/>
  <c r="P3034" i="53"/>
  <c r="P3033" i="53"/>
  <c r="P3032" i="53"/>
  <c r="P3031" i="53"/>
  <c r="P3030" i="53"/>
  <c r="P3029" i="53"/>
  <c r="P3028" i="53"/>
  <c r="P3027" i="53"/>
  <c r="P3026" i="53"/>
  <c r="P3025" i="53"/>
  <c r="P3024" i="53"/>
  <c r="P3023" i="53"/>
  <c r="P3022" i="53"/>
  <c r="P3021" i="53"/>
  <c r="P3020" i="53"/>
  <c r="P3019" i="53"/>
  <c r="P3018" i="53"/>
  <c r="P3017" i="53"/>
  <c r="P3016" i="53"/>
  <c r="P3015" i="53"/>
  <c r="P3014" i="53"/>
  <c r="P3013" i="53"/>
  <c r="P3012" i="53"/>
  <c r="P3011" i="53"/>
  <c r="P3010" i="53"/>
  <c r="P3009" i="53"/>
  <c r="P3008" i="53"/>
  <c r="P3007" i="53"/>
  <c r="P3006" i="53"/>
  <c r="P3005" i="53"/>
  <c r="P3004" i="53"/>
  <c r="P3003" i="53"/>
  <c r="P3002" i="53"/>
  <c r="P3001" i="53"/>
  <c r="P3000" i="53"/>
  <c r="P2999" i="53"/>
  <c r="P2998" i="53"/>
  <c r="P2997" i="53"/>
  <c r="P2996" i="53"/>
  <c r="P2995" i="53"/>
  <c r="P2994" i="53"/>
  <c r="P2993" i="53"/>
  <c r="P2992" i="53"/>
  <c r="P2991" i="53"/>
  <c r="P2990" i="53"/>
  <c r="P2989" i="53"/>
  <c r="P2988" i="53"/>
  <c r="P2987" i="53"/>
  <c r="P2986" i="53"/>
  <c r="P2985" i="53"/>
  <c r="P2984" i="53"/>
  <c r="P2983" i="53"/>
  <c r="P2982" i="53"/>
  <c r="P2981" i="53"/>
  <c r="P2980" i="53"/>
  <c r="P2979" i="53"/>
  <c r="P2978" i="53"/>
  <c r="P2977" i="53"/>
  <c r="P2976" i="53"/>
  <c r="P2975" i="53"/>
  <c r="N2975" i="53"/>
  <c r="P2974" i="53"/>
  <c r="N2974" i="53"/>
  <c r="P2973" i="53"/>
  <c r="N2973" i="53"/>
  <c r="P2972" i="53"/>
  <c r="N2972" i="53"/>
  <c r="P2971" i="53"/>
  <c r="N2971" i="53"/>
  <c r="P2970" i="53"/>
  <c r="N2970" i="53"/>
  <c r="P2969" i="53"/>
  <c r="N2969" i="53"/>
  <c r="P2968" i="53"/>
  <c r="N2968" i="53"/>
  <c r="P2967" i="53"/>
  <c r="N2967" i="53"/>
  <c r="P2966" i="53"/>
  <c r="N2966" i="53"/>
  <c r="P2965" i="53"/>
  <c r="N2965" i="53"/>
  <c r="P2964" i="53"/>
  <c r="N2964" i="53"/>
  <c r="P2963" i="53"/>
  <c r="N2963" i="53"/>
  <c r="P2962" i="53"/>
  <c r="N2962" i="53"/>
  <c r="P2961" i="53"/>
  <c r="N2961" i="53"/>
  <c r="P2960" i="53"/>
  <c r="N2960" i="53"/>
  <c r="P2959" i="53"/>
  <c r="N2959" i="53"/>
  <c r="P2958" i="53"/>
  <c r="N2958" i="53"/>
  <c r="P2957" i="53"/>
  <c r="N2957" i="53"/>
  <c r="P2956" i="53"/>
  <c r="N2956" i="53"/>
  <c r="P2955" i="53"/>
  <c r="N2955" i="53"/>
  <c r="P2954" i="53"/>
  <c r="N2954" i="53"/>
  <c r="P2953" i="53"/>
  <c r="N2953" i="53"/>
  <c r="P2952" i="53"/>
  <c r="N2952" i="53"/>
  <c r="P2951" i="53"/>
  <c r="N2951" i="53"/>
  <c r="P2950" i="53"/>
  <c r="N2950" i="53"/>
  <c r="P2949" i="53"/>
  <c r="N2949" i="53"/>
  <c r="P2948" i="53"/>
  <c r="N2948" i="53"/>
  <c r="P2947" i="53"/>
  <c r="N2947" i="53"/>
  <c r="P2946" i="53"/>
  <c r="N2946" i="53"/>
  <c r="P2945" i="53"/>
  <c r="N2945" i="53"/>
  <c r="P2944" i="53"/>
  <c r="N2944" i="53"/>
  <c r="P2943" i="53"/>
  <c r="N2943" i="53"/>
  <c r="P2942" i="53"/>
  <c r="N2942" i="53"/>
  <c r="P2941" i="53"/>
  <c r="N2941" i="53"/>
  <c r="P2940" i="53"/>
  <c r="N2940" i="53"/>
  <c r="P2939" i="53"/>
  <c r="N2939" i="53"/>
  <c r="P2938" i="53"/>
  <c r="N2938" i="53"/>
  <c r="P2937" i="53"/>
  <c r="N2937" i="53"/>
  <c r="P2936" i="53"/>
  <c r="N2936" i="53"/>
  <c r="P2935" i="53"/>
  <c r="N2935" i="53"/>
  <c r="P2934" i="53"/>
  <c r="N2934" i="53"/>
  <c r="P2933" i="53"/>
  <c r="N2933" i="53"/>
  <c r="P2932" i="53"/>
  <c r="N2932" i="53"/>
  <c r="P2931" i="53"/>
  <c r="N2931" i="53"/>
  <c r="P2930" i="53"/>
  <c r="N2930" i="53"/>
  <c r="P2929" i="53"/>
  <c r="N2929" i="53"/>
  <c r="P2928" i="53"/>
  <c r="N2928" i="53"/>
  <c r="P2927" i="53"/>
  <c r="N2927" i="53"/>
  <c r="P2926" i="53"/>
  <c r="N2926" i="53"/>
  <c r="P2925" i="53"/>
  <c r="N2925" i="53"/>
  <c r="P2924" i="53"/>
  <c r="N2924" i="53"/>
  <c r="P2923" i="53"/>
  <c r="N2923" i="53"/>
  <c r="P2922" i="53"/>
  <c r="N2922" i="53"/>
  <c r="P2921" i="53"/>
  <c r="N2921" i="53"/>
  <c r="P2920" i="53"/>
  <c r="N2920" i="53"/>
  <c r="P2919" i="53"/>
  <c r="N2919" i="53"/>
  <c r="P2918" i="53"/>
  <c r="N2918" i="53"/>
  <c r="P2917" i="53"/>
  <c r="N2917" i="53"/>
  <c r="P2916" i="53"/>
  <c r="N2916" i="53"/>
  <c r="P2915" i="53"/>
  <c r="N2915" i="53"/>
  <c r="P2914" i="53"/>
  <c r="N2914" i="53"/>
  <c r="P2913" i="53"/>
  <c r="N2913" i="53"/>
  <c r="P2912" i="53"/>
  <c r="N2912" i="53"/>
  <c r="P2911" i="53"/>
  <c r="N2911" i="53"/>
  <c r="P2910" i="53"/>
  <c r="N2910" i="53"/>
  <c r="P2909" i="53"/>
  <c r="N2909" i="53"/>
  <c r="P2908" i="53"/>
  <c r="N2908" i="53"/>
  <c r="P2907" i="53"/>
  <c r="N2907" i="53"/>
  <c r="P2906" i="53"/>
  <c r="N2906" i="53"/>
  <c r="P2905" i="53"/>
  <c r="N2905" i="53"/>
  <c r="P2904" i="53"/>
  <c r="N2904" i="53"/>
  <c r="P2903" i="53"/>
  <c r="N2903" i="53"/>
  <c r="P2902" i="53"/>
  <c r="N2902" i="53"/>
  <c r="P2901" i="53"/>
  <c r="N2901" i="53"/>
  <c r="P2900" i="53"/>
  <c r="N2900" i="53"/>
  <c r="P2899" i="53"/>
  <c r="N2899" i="53"/>
  <c r="P2898" i="53"/>
  <c r="N2898" i="53"/>
  <c r="P2897" i="53"/>
  <c r="N2897" i="53"/>
  <c r="P2896" i="53"/>
  <c r="N2896" i="53"/>
  <c r="P2895" i="53"/>
  <c r="N2895" i="53"/>
  <c r="P2894" i="53"/>
  <c r="N2894" i="53"/>
  <c r="P2893" i="53"/>
  <c r="N2893" i="53"/>
  <c r="P2892" i="53"/>
  <c r="N2892" i="53"/>
  <c r="P2891" i="53"/>
  <c r="N2891" i="53"/>
  <c r="P2890" i="53"/>
  <c r="N2890" i="53"/>
  <c r="P2889" i="53"/>
  <c r="N2889" i="53"/>
  <c r="P2888" i="53"/>
  <c r="N2888" i="53"/>
  <c r="P2887" i="53"/>
  <c r="N2887" i="53"/>
  <c r="P2886" i="53"/>
  <c r="N2886" i="53"/>
  <c r="P2885" i="53"/>
  <c r="N2885" i="53"/>
  <c r="P2884" i="53"/>
  <c r="N2884" i="53"/>
  <c r="P2883" i="53"/>
  <c r="N2883" i="53"/>
  <c r="P2882" i="53"/>
  <c r="N2882" i="53"/>
  <c r="P2881" i="53"/>
  <c r="N2881" i="53"/>
  <c r="P2880" i="53"/>
  <c r="N2880" i="53"/>
  <c r="P2879" i="53"/>
  <c r="N2879" i="53"/>
  <c r="P2878" i="53"/>
  <c r="N2878" i="53"/>
  <c r="P2877" i="53"/>
  <c r="N2877" i="53"/>
  <c r="P2870" i="53"/>
  <c r="P2797" i="53"/>
  <c r="P2362" i="53"/>
  <c r="M2362" i="53"/>
  <c r="P2295" i="53"/>
  <c r="M2295" i="53"/>
  <c r="E2295" i="53"/>
  <c r="P2265" i="53"/>
  <c r="M2265" i="53"/>
  <c r="M2201" i="53"/>
  <c r="E2201" i="53"/>
  <c r="M2176" i="53"/>
  <c r="E2176" i="53"/>
  <c r="E2202" i="53" s="1"/>
  <c r="E2019" i="53"/>
  <c r="M2017" i="53"/>
  <c r="P2017" i="53" s="1"/>
  <c r="M2016" i="53"/>
  <c r="P2016" i="53" s="1"/>
  <c r="M2015" i="53"/>
  <c r="P2015" i="53" s="1"/>
  <c r="M2014" i="53"/>
  <c r="P2014" i="53" s="1"/>
  <c r="M2013" i="53"/>
  <c r="P2013" i="53" s="1"/>
  <c r="M2012" i="53"/>
  <c r="P2012" i="53" s="1"/>
  <c r="M2011" i="53"/>
  <c r="P2011" i="53" s="1"/>
  <c r="M2010" i="53"/>
  <c r="P2010" i="53" s="1"/>
  <c r="M2009" i="53"/>
  <c r="P2009" i="53" s="1"/>
  <c r="M2008" i="53"/>
  <c r="P2008" i="53" s="1"/>
  <c r="M2007" i="53"/>
  <c r="P2007" i="53" s="1"/>
  <c r="M2006" i="53"/>
  <c r="P2006" i="53" s="1"/>
  <c r="M2005" i="53"/>
  <c r="P2005" i="53" s="1"/>
  <c r="M2004" i="53"/>
  <c r="P2004" i="53" s="1"/>
  <c r="M2003" i="53"/>
  <c r="P2003" i="53" s="1"/>
  <c r="M2002" i="53"/>
  <c r="P2002" i="53" s="1"/>
  <c r="M2001" i="53"/>
  <c r="P2001" i="53" s="1"/>
  <c r="M2000" i="53"/>
  <c r="P2000" i="53" s="1"/>
  <c r="M1999" i="53"/>
  <c r="P1999" i="53" s="1"/>
  <c r="M1998" i="53"/>
  <c r="P1998" i="53" s="1"/>
  <c r="M1997" i="53"/>
  <c r="P1997" i="53" s="1"/>
  <c r="M1996" i="53"/>
  <c r="P1996" i="53" s="1"/>
  <c r="M1995" i="53"/>
  <c r="P1995" i="53" s="1"/>
  <c r="M1994" i="53"/>
  <c r="P1994" i="53" s="1"/>
  <c r="M1993" i="53"/>
  <c r="P1993" i="53" s="1"/>
  <c r="M1992" i="53"/>
  <c r="P1992" i="53" s="1"/>
  <c r="M1991" i="53"/>
  <c r="P1991" i="53" s="1"/>
  <c r="M1990" i="53"/>
  <c r="P1990" i="53" s="1"/>
  <c r="M1989" i="53"/>
  <c r="P1989" i="53" s="1"/>
  <c r="M1988" i="53"/>
  <c r="P1988" i="53" s="1"/>
  <c r="M1987" i="53"/>
  <c r="P1987" i="53" s="1"/>
  <c r="M1986" i="53"/>
  <c r="P1986" i="53" s="1"/>
  <c r="M1985" i="53"/>
  <c r="P1985" i="53" s="1"/>
  <c r="M1984" i="53"/>
  <c r="P1984" i="53" s="1"/>
  <c r="M1983" i="53"/>
  <c r="P1983" i="53" s="1"/>
  <c r="M1982" i="53"/>
  <c r="P1982" i="53" s="1"/>
  <c r="M1981" i="53"/>
  <c r="P1981" i="53" s="1"/>
  <c r="M1980" i="53"/>
  <c r="P1980" i="53" s="1"/>
  <c r="M1979" i="53"/>
  <c r="P1979" i="53" s="1"/>
  <c r="M1978" i="53"/>
  <c r="P1978" i="53" s="1"/>
  <c r="M1977" i="53"/>
  <c r="P1977" i="53" s="1"/>
  <c r="M1976" i="53"/>
  <c r="P1976" i="53" s="1"/>
  <c r="M1975" i="53"/>
  <c r="P1975" i="53" s="1"/>
  <c r="M1974" i="53"/>
  <c r="P1974" i="53" s="1"/>
  <c r="M1973" i="53"/>
  <c r="P1973" i="53" s="1"/>
  <c r="M1972" i="53"/>
  <c r="P1972" i="53" s="1"/>
  <c r="M1971" i="53"/>
  <c r="P1971" i="53" s="1"/>
  <c r="M1970" i="53"/>
  <c r="P1970" i="53" s="1"/>
  <c r="M1969" i="53"/>
  <c r="P1969" i="53" s="1"/>
  <c r="M1968" i="53"/>
  <c r="P1968" i="53" s="1"/>
  <c r="M1967" i="53"/>
  <c r="P1967" i="53" s="1"/>
  <c r="M1966" i="53"/>
  <c r="P1966" i="53" s="1"/>
  <c r="M1965" i="53"/>
  <c r="P1965" i="53" s="1"/>
  <c r="M1964" i="53"/>
  <c r="P1964" i="53" s="1"/>
  <c r="M1963" i="53"/>
  <c r="P1963" i="53" s="1"/>
  <c r="M1962" i="53"/>
  <c r="P1962" i="53" s="1"/>
  <c r="M1961" i="53"/>
  <c r="P1961" i="53" s="1"/>
  <c r="M1960" i="53"/>
  <c r="P1960" i="53" s="1"/>
  <c r="M1959" i="53"/>
  <c r="P1959" i="53" s="1"/>
  <c r="M1958" i="53"/>
  <c r="P1958" i="53" s="1"/>
  <c r="M1957" i="53"/>
  <c r="P1957" i="53" s="1"/>
  <c r="M1956" i="53"/>
  <c r="P1956" i="53" s="1"/>
  <c r="M1955" i="53"/>
  <c r="P1955" i="53" s="1"/>
  <c r="M1954" i="53"/>
  <c r="P1954" i="53" s="1"/>
  <c r="M1953" i="53"/>
  <c r="P1953" i="53" s="1"/>
  <c r="M1952" i="53"/>
  <c r="P1952" i="53" s="1"/>
  <c r="M1951" i="53"/>
  <c r="P1951" i="53" s="1"/>
  <c r="M1950" i="53"/>
  <c r="P1950" i="53" s="1"/>
  <c r="M1949" i="53"/>
  <c r="P1949" i="53" s="1"/>
  <c r="M1948" i="53"/>
  <c r="P1948" i="53" s="1"/>
  <c r="M1947" i="53"/>
  <c r="P1947" i="53" s="1"/>
  <c r="M1946" i="53"/>
  <c r="P1946" i="53" s="1"/>
  <c r="M1945" i="53"/>
  <c r="P1945" i="53" s="1"/>
  <c r="M1944" i="53"/>
  <c r="P1944" i="53" s="1"/>
  <c r="M1943" i="53"/>
  <c r="P1943" i="53" s="1"/>
  <c r="M1942" i="53"/>
  <c r="P1942" i="53" s="1"/>
  <c r="M1941" i="53"/>
  <c r="P1941" i="53" s="1"/>
  <c r="M1940" i="53"/>
  <c r="P1940" i="53" s="1"/>
  <c r="M1939" i="53"/>
  <c r="P1939" i="53" s="1"/>
  <c r="M1938" i="53"/>
  <c r="P1938" i="53" s="1"/>
  <c r="M1937" i="53"/>
  <c r="P1937" i="53" s="1"/>
  <c r="M1936" i="53"/>
  <c r="P1936" i="53" s="1"/>
  <c r="M1935" i="53"/>
  <c r="P1935" i="53" s="1"/>
  <c r="M1934" i="53"/>
  <c r="P1934" i="53" s="1"/>
  <c r="M1933" i="53"/>
  <c r="P1933" i="53" s="1"/>
  <c r="M1932" i="53"/>
  <c r="P1932" i="53" s="1"/>
  <c r="M1931" i="53"/>
  <c r="P1931" i="53" s="1"/>
  <c r="M1930" i="53"/>
  <c r="P1930" i="53" s="1"/>
  <c r="M1929" i="53"/>
  <c r="P1929" i="53" s="1"/>
  <c r="M1928" i="53"/>
  <c r="P1928" i="53" s="1"/>
  <c r="M1927" i="53"/>
  <c r="E1925" i="53"/>
  <c r="P1924" i="53"/>
  <c r="M1924" i="53"/>
  <c r="P1923" i="53"/>
  <c r="M1923" i="53"/>
  <c r="P1922" i="53"/>
  <c r="M1922" i="53"/>
  <c r="P1921" i="53"/>
  <c r="M1921" i="53"/>
  <c r="P1920" i="53"/>
  <c r="M1920" i="53"/>
  <c r="P1919" i="53"/>
  <c r="M1919" i="53"/>
  <c r="P1918" i="53"/>
  <c r="M1918" i="53"/>
  <c r="P1917" i="53"/>
  <c r="M1917" i="53"/>
  <c r="P1916" i="53"/>
  <c r="M1916" i="53"/>
  <c r="P1915" i="53"/>
  <c r="M1915" i="53"/>
  <c r="P1914" i="53"/>
  <c r="M1914" i="53"/>
  <c r="P1913" i="53"/>
  <c r="M1913" i="53"/>
  <c r="P1912" i="53"/>
  <c r="M1912" i="53"/>
  <c r="P1911" i="53"/>
  <c r="M1911" i="53"/>
  <c r="P1910" i="53"/>
  <c r="M1910" i="53"/>
  <c r="P1909" i="53"/>
  <c r="M1909" i="53"/>
  <c r="P1908" i="53"/>
  <c r="M1908" i="53"/>
  <c r="P1907" i="53"/>
  <c r="M1907" i="53"/>
  <c r="P1906" i="53"/>
  <c r="M1906" i="53"/>
  <c r="P1905" i="53"/>
  <c r="M1905" i="53"/>
  <c r="P1904" i="53"/>
  <c r="M1904" i="53"/>
  <c r="P1903" i="53"/>
  <c r="M1903" i="53"/>
  <c r="P1902" i="53"/>
  <c r="M1902" i="53"/>
  <c r="P1901" i="53"/>
  <c r="M1901" i="53"/>
  <c r="P1900" i="53"/>
  <c r="M1900" i="53"/>
  <c r="P1899" i="53"/>
  <c r="M1899" i="53"/>
  <c r="P1898" i="53"/>
  <c r="M1898" i="53"/>
  <c r="P1897" i="53"/>
  <c r="M1897" i="53"/>
  <c r="P1896" i="53"/>
  <c r="M1896" i="53"/>
  <c r="P1895" i="53"/>
  <c r="M1895" i="53"/>
  <c r="P1894" i="53"/>
  <c r="M1894" i="53"/>
  <c r="P1893" i="53"/>
  <c r="M1893" i="53"/>
  <c r="P1892" i="53"/>
  <c r="M1892" i="53"/>
  <c r="P1891" i="53"/>
  <c r="M1891" i="53"/>
  <c r="P1890" i="53"/>
  <c r="M1890" i="53"/>
  <c r="P1889" i="53"/>
  <c r="M1889" i="53"/>
  <c r="P1888" i="53"/>
  <c r="M1888" i="53"/>
  <c r="P1887" i="53"/>
  <c r="M1887" i="53"/>
  <c r="P1886" i="53"/>
  <c r="M1886" i="53"/>
  <c r="P1885" i="53"/>
  <c r="M1885" i="53"/>
  <c r="P1884" i="53"/>
  <c r="M1884" i="53"/>
  <c r="P1883" i="53"/>
  <c r="M1883" i="53"/>
  <c r="P1882" i="53"/>
  <c r="M1882" i="53"/>
  <c r="P1881" i="53"/>
  <c r="M1881" i="53"/>
  <c r="P1880" i="53"/>
  <c r="M1880" i="53"/>
  <c r="P1879" i="53"/>
  <c r="M1879" i="53"/>
  <c r="P1878" i="53"/>
  <c r="M1878" i="53"/>
  <c r="P1877" i="53"/>
  <c r="M1877" i="53"/>
  <c r="P1876" i="53"/>
  <c r="M1876" i="53"/>
  <c r="P1875" i="53"/>
  <c r="M1875" i="53"/>
  <c r="P1874" i="53"/>
  <c r="M1874" i="53"/>
  <c r="P1873" i="53"/>
  <c r="M1873" i="53"/>
  <c r="P1872" i="53"/>
  <c r="M1872" i="53"/>
  <c r="P1871" i="53"/>
  <c r="M1871" i="53"/>
  <c r="P1870" i="53"/>
  <c r="M1870" i="53"/>
  <c r="P1869" i="53"/>
  <c r="M1869" i="53"/>
  <c r="P1868" i="53"/>
  <c r="M1868" i="53"/>
  <c r="P1867" i="53"/>
  <c r="M1867" i="53"/>
  <c r="P1866" i="53"/>
  <c r="M1866" i="53"/>
  <c r="P1865" i="53"/>
  <c r="M1865" i="53"/>
  <c r="P1864" i="53"/>
  <c r="M1864" i="53"/>
  <c r="P1863" i="53"/>
  <c r="M1863" i="53"/>
  <c r="P1862" i="53"/>
  <c r="M1862" i="53"/>
  <c r="P1861" i="53"/>
  <c r="M1861" i="53"/>
  <c r="P1860" i="53"/>
  <c r="M1860" i="53"/>
  <c r="P1859" i="53"/>
  <c r="M1859" i="53"/>
  <c r="P1858" i="53"/>
  <c r="M1858" i="53"/>
  <c r="P1857" i="53"/>
  <c r="M1857" i="53"/>
  <c r="P1856" i="53"/>
  <c r="M1856" i="53"/>
  <c r="P1855" i="53"/>
  <c r="M1855" i="53"/>
  <c r="P1854" i="53"/>
  <c r="M1854" i="53"/>
  <c r="P1853" i="53"/>
  <c r="M1853" i="53"/>
  <c r="P1852" i="53"/>
  <c r="M1852" i="53"/>
  <c r="P1851" i="53"/>
  <c r="M1851" i="53"/>
  <c r="P1850" i="53"/>
  <c r="M1850" i="53"/>
  <c r="P1849" i="53"/>
  <c r="M1849" i="53"/>
  <c r="P1848" i="53"/>
  <c r="M1848" i="53"/>
  <c r="P1847" i="53"/>
  <c r="M1847" i="53"/>
  <c r="P1846" i="53"/>
  <c r="M1846" i="53"/>
  <c r="P1845" i="53"/>
  <c r="M1845" i="53"/>
  <c r="P1844" i="53"/>
  <c r="M1844" i="53"/>
  <c r="P1843" i="53"/>
  <c r="M1843" i="53"/>
  <c r="P1842" i="53"/>
  <c r="M1842" i="53"/>
  <c r="P1841" i="53"/>
  <c r="M1841" i="53"/>
  <c r="P1840" i="53"/>
  <c r="M1840" i="53"/>
  <c r="P1839" i="53"/>
  <c r="M1839" i="53"/>
  <c r="P1838" i="53"/>
  <c r="M1838" i="53"/>
  <c r="P1837" i="53"/>
  <c r="M1837" i="53"/>
  <c r="P1836" i="53"/>
  <c r="M1836" i="53"/>
  <c r="P1835" i="53"/>
  <c r="M1835" i="53"/>
  <c r="P1834" i="53"/>
  <c r="M1834" i="53"/>
  <c r="P1833" i="53"/>
  <c r="M1833" i="53"/>
  <c r="P1832" i="53"/>
  <c r="M1832" i="53"/>
  <c r="P1831" i="53"/>
  <c r="M1831" i="53"/>
  <c r="P1830" i="53"/>
  <c r="M1830" i="53"/>
  <c r="P1829" i="53"/>
  <c r="M1829" i="53"/>
  <c r="P1828" i="53"/>
  <c r="M1828" i="53"/>
  <c r="P1827" i="53"/>
  <c r="M1827" i="53"/>
  <c r="P1826" i="53"/>
  <c r="M1826" i="53"/>
  <c r="P1825" i="53"/>
  <c r="M1825" i="53"/>
  <c r="P1824" i="53"/>
  <c r="M1824" i="53"/>
  <c r="P1823" i="53"/>
  <c r="M1823" i="53"/>
  <c r="P1822" i="53"/>
  <c r="M1822" i="53"/>
  <c r="P1821" i="53"/>
  <c r="M1821" i="53"/>
  <c r="P1820" i="53"/>
  <c r="M1820" i="53"/>
  <c r="P1819" i="53"/>
  <c r="M1819" i="53"/>
  <c r="P1818" i="53"/>
  <c r="M1818" i="53"/>
  <c r="P1817" i="53"/>
  <c r="M1817" i="53"/>
  <c r="P1816" i="53"/>
  <c r="M1816" i="53"/>
  <c r="P1815" i="53"/>
  <c r="M1815" i="53"/>
  <c r="P1814" i="53"/>
  <c r="M1814" i="53"/>
  <c r="P1813" i="53"/>
  <c r="M1813" i="53"/>
  <c r="P1812" i="53"/>
  <c r="M1812" i="53"/>
  <c r="P1811" i="53"/>
  <c r="M1811" i="53"/>
  <c r="P1810" i="53"/>
  <c r="M1810" i="53"/>
  <c r="P1809" i="53"/>
  <c r="M1809" i="53"/>
  <c r="P1808" i="53"/>
  <c r="M1808" i="53"/>
  <c r="P1807" i="53"/>
  <c r="M1807" i="53"/>
  <c r="P1806" i="53"/>
  <c r="M1806" i="53"/>
  <c r="P1805" i="53"/>
  <c r="M1805" i="53"/>
  <c r="P1804" i="53"/>
  <c r="M1804" i="53"/>
  <c r="P1803" i="53"/>
  <c r="M1803" i="53"/>
  <c r="P1802" i="53"/>
  <c r="M1802" i="53"/>
  <c r="P1801" i="53"/>
  <c r="M1801" i="53"/>
  <c r="P1800" i="53"/>
  <c r="M1800" i="53"/>
  <c r="P1799" i="53"/>
  <c r="M1799" i="53"/>
  <c r="P1798" i="53"/>
  <c r="M1798" i="53"/>
  <c r="P1797" i="53"/>
  <c r="M1797" i="53"/>
  <c r="P1796" i="53"/>
  <c r="M1796" i="53"/>
  <c r="P1795" i="53"/>
  <c r="M1795" i="53"/>
  <c r="P1794" i="53"/>
  <c r="M1794" i="53"/>
  <c r="P1793" i="53"/>
  <c r="M1793" i="53"/>
  <c r="P1792" i="53"/>
  <c r="M1792" i="53"/>
  <c r="P1791" i="53"/>
  <c r="M1791" i="53"/>
  <c r="P1790" i="53"/>
  <c r="M1790" i="53"/>
  <c r="P1789" i="53"/>
  <c r="M1789" i="53"/>
  <c r="P1788" i="53"/>
  <c r="M1788" i="53"/>
  <c r="P1787" i="53"/>
  <c r="M1787" i="53"/>
  <c r="P1786" i="53"/>
  <c r="M1786" i="53"/>
  <c r="P1785" i="53"/>
  <c r="M1785" i="53"/>
  <c r="P1784" i="53"/>
  <c r="M1784" i="53"/>
  <c r="P1783" i="53"/>
  <c r="M1783" i="53"/>
  <c r="P1782" i="53"/>
  <c r="M1782" i="53"/>
  <c r="P1781" i="53"/>
  <c r="M1781" i="53"/>
  <c r="P1780" i="53"/>
  <c r="M1780" i="53"/>
  <c r="P1779" i="53"/>
  <c r="M1779" i="53"/>
  <c r="P1778" i="53"/>
  <c r="M1778" i="53"/>
  <c r="P1777" i="53"/>
  <c r="M1777" i="53"/>
  <c r="P1776" i="53"/>
  <c r="M1776" i="53"/>
  <c r="P1775" i="53"/>
  <c r="M1775" i="53"/>
  <c r="P1774" i="53"/>
  <c r="M1774" i="53"/>
  <c r="P1773" i="53"/>
  <c r="M1773" i="53"/>
  <c r="P1772" i="53"/>
  <c r="M1772" i="53"/>
  <c r="P1771" i="53"/>
  <c r="M1771" i="53"/>
  <c r="P1770" i="53"/>
  <c r="M1770" i="53"/>
  <c r="P1769" i="53"/>
  <c r="M1769" i="53"/>
  <c r="P1768" i="53"/>
  <c r="M1768" i="53"/>
  <c r="P1767" i="53"/>
  <c r="M1767" i="53"/>
  <c r="P1766" i="53"/>
  <c r="M1766" i="53"/>
  <c r="P1765" i="53"/>
  <c r="M1765" i="53"/>
  <c r="P1764" i="53"/>
  <c r="M1764" i="53"/>
  <c r="P1763" i="53"/>
  <c r="M1763" i="53"/>
  <c r="P1762" i="53"/>
  <c r="M1762" i="53"/>
  <c r="P1761" i="53"/>
  <c r="M1761" i="53"/>
  <c r="P1760" i="53"/>
  <c r="M1760" i="53"/>
  <c r="P1759" i="53"/>
  <c r="M1759" i="53"/>
  <c r="P1758" i="53"/>
  <c r="M1758" i="53"/>
  <c r="P1757" i="53"/>
  <c r="M1757" i="53"/>
  <c r="P1756" i="53"/>
  <c r="M1756" i="53"/>
  <c r="P1755" i="53"/>
  <c r="M1755" i="53"/>
  <c r="P1754" i="53"/>
  <c r="M1754" i="53"/>
  <c r="P1753" i="53"/>
  <c r="M1753" i="53"/>
  <c r="P1752" i="53"/>
  <c r="M1752" i="53"/>
  <c r="P1751" i="53"/>
  <c r="M1751" i="53"/>
  <c r="P1750" i="53"/>
  <c r="M1750" i="53"/>
  <c r="P1749" i="53"/>
  <c r="M1749" i="53"/>
  <c r="P1748" i="53"/>
  <c r="M1748" i="53"/>
  <c r="P1747" i="53"/>
  <c r="M1747" i="53"/>
  <c r="P1746" i="53"/>
  <c r="M1746" i="53"/>
  <c r="P1745" i="53"/>
  <c r="M1745" i="53"/>
  <c r="P1744" i="53"/>
  <c r="M1744" i="53"/>
  <c r="P1743" i="53"/>
  <c r="M1743" i="53"/>
  <c r="P1742" i="53"/>
  <c r="M1742" i="53"/>
  <c r="P1741" i="53"/>
  <c r="M1741" i="53"/>
  <c r="P1740" i="53"/>
  <c r="M1740" i="53"/>
  <c r="P1739" i="53"/>
  <c r="M1739" i="53"/>
  <c r="P1738" i="53"/>
  <c r="M1738" i="53"/>
  <c r="P1737" i="53"/>
  <c r="M1737" i="53"/>
  <c r="P1736" i="53"/>
  <c r="M1736" i="53"/>
  <c r="P1735" i="53"/>
  <c r="M1735" i="53"/>
  <c r="P1734" i="53"/>
  <c r="M1734" i="53"/>
  <c r="P1733" i="53"/>
  <c r="M1733" i="53"/>
  <c r="P1732" i="53"/>
  <c r="M1732" i="53"/>
  <c r="P1731" i="53"/>
  <c r="M1731" i="53"/>
  <c r="P1730" i="53"/>
  <c r="M1730" i="53"/>
  <c r="P1729" i="53"/>
  <c r="M1729" i="53"/>
  <c r="P1728" i="53"/>
  <c r="M1728" i="53"/>
  <c r="P1727" i="53"/>
  <c r="M1727" i="53"/>
  <c r="P1726" i="53"/>
  <c r="M1726" i="53"/>
  <c r="P1725" i="53"/>
  <c r="M1725" i="53"/>
  <c r="P1724" i="53"/>
  <c r="M1724" i="53"/>
  <c r="E1717" i="53"/>
  <c r="P1716" i="53"/>
  <c r="M1716" i="53"/>
  <c r="P1715" i="53"/>
  <c r="M1715" i="53"/>
  <c r="P1714" i="53"/>
  <c r="M1714" i="53"/>
  <c r="P1713" i="53"/>
  <c r="M1713" i="53"/>
  <c r="P1712" i="53"/>
  <c r="M1712" i="53"/>
  <c r="P1711" i="53"/>
  <c r="M1711" i="53"/>
  <c r="P1710" i="53"/>
  <c r="M1710" i="53"/>
  <c r="P1709" i="53"/>
  <c r="M1709" i="53"/>
  <c r="P1708" i="53"/>
  <c r="M1708" i="53"/>
  <c r="P1707" i="53"/>
  <c r="M1707" i="53"/>
  <c r="P1706" i="53"/>
  <c r="M1706" i="53"/>
  <c r="P1705" i="53"/>
  <c r="M1705" i="53"/>
  <c r="P1704" i="53"/>
  <c r="M1704" i="53"/>
  <c r="P1703" i="53"/>
  <c r="M1703" i="53"/>
  <c r="P1702" i="53"/>
  <c r="M1702" i="53"/>
  <c r="P1701" i="53"/>
  <c r="M1701" i="53"/>
  <c r="P1700" i="53"/>
  <c r="M1700" i="53"/>
  <c r="P1699" i="53"/>
  <c r="M1699" i="53"/>
  <c r="P1698" i="53"/>
  <c r="M1698" i="53"/>
  <c r="P1697" i="53"/>
  <c r="M1697" i="53"/>
  <c r="P1696" i="53"/>
  <c r="M1696" i="53"/>
  <c r="P1695" i="53"/>
  <c r="M1695" i="53"/>
  <c r="P1694" i="53"/>
  <c r="M1694" i="53"/>
  <c r="P1693" i="53"/>
  <c r="M1693" i="53"/>
  <c r="P1692" i="53"/>
  <c r="M1692" i="53"/>
  <c r="P1691" i="53"/>
  <c r="M1691" i="53"/>
  <c r="P1690" i="53"/>
  <c r="M1690" i="53"/>
  <c r="P1689" i="53"/>
  <c r="M1689" i="53"/>
  <c r="P1688" i="53"/>
  <c r="M1688" i="53"/>
  <c r="P1687" i="53"/>
  <c r="M1687" i="53"/>
  <c r="P1686" i="53"/>
  <c r="M1686" i="53"/>
  <c r="P1685" i="53"/>
  <c r="M1685" i="53"/>
  <c r="P1684" i="53"/>
  <c r="M1684" i="53"/>
  <c r="P1683" i="53"/>
  <c r="M1683" i="53"/>
  <c r="P1682" i="53"/>
  <c r="M1682" i="53"/>
  <c r="P1681" i="53"/>
  <c r="M1681" i="53"/>
  <c r="P1680" i="53"/>
  <c r="M1680" i="53"/>
  <c r="P1679" i="53"/>
  <c r="M1679" i="53"/>
  <c r="P1678" i="53"/>
  <c r="M1678" i="53"/>
  <c r="P1677" i="53"/>
  <c r="M1677" i="53"/>
  <c r="P1676" i="53"/>
  <c r="M1676" i="53"/>
  <c r="P1675" i="53"/>
  <c r="M1675" i="53"/>
  <c r="P1674" i="53"/>
  <c r="M1674" i="53"/>
  <c r="P1673" i="53"/>
  <c r="M1673" i="53"/>
  <c r="P1672" i="53"/>
  <c r="M1672" i="53"/>
  <c r="P1671" i="53"/>
  <c r="M1671" i="53"/>
  <c r="P1670" i="53"/>
  <c r="M1670" i="53"/>
  <c r="P1669" i="53"/>
  <c r="M1669" i="53"/>
  <c r="P1668" i="53"/>
  <c r="M1668" i="53"/>
  <c r="P1667" i="53"/>
  <c r="M1667" i="53"/>
  <c r="P1666" i="53"/>
  <c r="M1666" i="53"/>
  <c r="P1665" i="53"/>
  <c r="M1665" i="53"/>
  <c r="P1664" i="53"/>
  <c r="M1664" i="53"/>
  <c r="P1663" i="53"/>
  <c r="M1663" i="53"/>
  <c r="P1662" i="53"/>
  <c r="M1662" i="53"/>
  <c r="P1661" i="53"/>
  <c r="M1661" i="53"/>
  <c r="P1660" i="53"/>
  <c r="M1660" i="53"/>
  <c r="P1659" i="53"/>
  <c r="M1659" i="53"/>
  <c r="P1658" i="53"/>
  <c r="M1658" i="53"/>
  <c r="P1657" i="53"/>
  <c r="M1657" i="53"/>
  <c r="P1656" i="53"/>
  <c r="M1656" i="53"/>
  <c r="P1655" i="53"/>
  <c r="M1655" i="53"/>
  <c r="P1654" i="53"/>
  <c r="M1654" i="53"/>
  <c r="P1653" i="53"/>
  <c r="M1653" i="53"/>
  <c r="P1652" i="53"/>
  <c r="M1652" i="53"/>
  <c r="P1651" i="53"/>
  <c r="M1651" i="53"/>
  <c r="P1650" i="53"/>
  <c r="M1650" i="53"/>
  <c r="P1649" i="53"/>
  <c r="M1649" i="53"/>
  <c r="P1648" i="53"/>
  <c r="M1648" i="53"/>
  <c r="P1647" i="53"/>
  <c r="M1647" i="53"/>
  <c r="P1646" i="53"/>
  <c r="M1646" i="53"/>
  <c r="P1645" i="53"/>
  <c r="M1645" i="53"/>
  <c r="P1644" i="53"/>
  <c r="M1644" i="53"/>
  <c r="P1643" i="53"/>
  <c r="M1643" i="53"/>
  <c r="P1642" i="53"/>
  <c r="M1642" i="53"/>
  <c r="P1641" i="53"/>
  <c r="M1641" i="53"/>
  <c r="P1640" i="53"/>
  <c r="M1640" i="53"/>
  <c r="P1639" i="53"/>
  <c r="M1639" i="53"/>
  <c r="P1638" i="53"/>
  <c r="M1638" i="53"/>
  <c r="P1637" i="53"/>
  <c r="M1637" i="53"/>
  <c r="P1636" i="53"/>
  <c r="M1636" i="53"/>
  <c r="P1635" i="53"/>
  <c r="M1635" i="53"/>
  <c r="P1634" i="53"/>
  <c r="M1634" i="53"/>
  <c r="P1633" i="53"/>
  <c r="M1633" i="53"/>
  <c r="P1632" i="53"/>
  <c r="M1632" i="53"/>
  <c r="P1631" i="53"/>
  <c r="M1631" i="53"/>
  <c r="P1630" i="53"/>
  <c r="M1630" i="53"/>
  <c r="P1629" i="53"/>
  <c r="M1629" i="53"/>
  <c r="P1628" i="53"/>
  <c r="M1628" i="53"/>
  <c r="P1627" i="53"/>
  <c r="M1627" i="53"/>
  <c r="P1626" i="53"/>
  <c r="M1626" i="53"/>
  <c r="P1625" i="53"/>
  <c r="M1625" i="53"/>
  <c r="P1624" i="53"/>
  <c r="M1624" i="53"/>
  <c r="P1623" i="53"/>
  <c r="M1623" i="53"/>
  <c r="P1622" i="53"/>
  <c r="M1622" i="53"/>
  <c r="P1621" i="53"/>
  <c r="M1621" i="53"/>
  <c r="P1620" i="53"/>
  <c r="M1620" i="53"/>
  <c r="P1619" i="53"/>
  <c r="M1619" i="53"/>
  <c r="P1618" i="53"/>
  <c r="M1618" i="53"/>
  <c r="P1617" i="53"/>
  <c r="M1617" i="53"/>
  <c r="P1616" i="53"/>
  <c r="M1616" i="53"/>
  <c r="P1615" i="53"/>
  <c r="M1615" i="53"/>
  <c r="P1614" i="53"/>
  <c r="M1614" i="53"/>
  <c r="P1613" i="53"/>
  <c r="M1613" i="53"/>
  <c r="P1612" i="53"/>
  <c r="M1612" i="53"/>
  <c r="P1611" i="53"/>
  <c r="M1611" i="53"/>
  <c r="P1610" i="53"/>
  <c r="M1610" i="53"/>
  <c r="P1609" i="53"/>
  <c r="M1609" i="53"/>
  <c r="P1608" i="53"/>
  <c r="M1608" i="53"/>
  <c r="P1607" i="53"/>
  <c r="M1607" i="53"/>
  <c r="P1606" i="53"/>
  <c r="M1606" i="53"/>
  <c r="P1605" i="53"/>
  <c r="M1605" i="53"/>
  <c r="P1604" i="53"/>
  <c r="M1604" i="53"/>
  <c r="P1603" i="53"/>
  <c r="M1603" i="53"/>
  <c r="P1602" i="53"/>
  <c r="M1602" i="53"/>
  <c r="P1601" i="53"/>
  <c r="M1601" i="53"/>
  <c r="P1600" i="53"/>
  <c r="M1600" i="53"/>
  <c r="P1599" i="53"/>
  <c r="M1599" i="53"/>
  <c r="P1598" i="53"/>
  <c r="M1598" i="53"/>
  <c r="P1597" i="53"/>
  <c r="M1597" i="53"/>
  <c r="P1596" i="53"/>
  <c r="M1596" i="53"/>
  <c r="P1595" i="53"/>
  <c r="M1595" i="53"/>
  <c r="P1594" i="53"/>
  <c r="M1594" i="53"/>
  <c r="P1593" i="53"/>
  <c r="M1593" i="53"/>
  <c r="P1592" i="53"/>
  <c r="M1592" i="53"/>
  <c r="P1591" i="53"/>
  <c r="M1591" i="53"/>
  <c r="P1590" i="53"/>
  <c r="M1590" i="53"/>
  <c r="P1589" i="53"/>
  <c r="M1589" i="53"/>
  <c r="P1588" i="53"/>
  <c r="M1588" i="53"/>
  <c r="P1587" i="53"/>
  <c r="M1587" i="53"/>
  <c r="P1586" i="53"/>
  <c r="M1586" i="53"/>
  <c r="P1585" i="53"/>
  <c r="M1585" i="53"/>
  <c r="P1584" i="53"/>
  <c r="M1584" i="53"/>
  <c r="P1583" i="53"/>
  <c r="M1583" i="53"/>
  <c r="P1582" i="53"/>
  <c r="M1582" i="53"/>
  <c r="P1581" i="53"/>
  <c r="M1581" i="53"/>
  <c r="P1580" i="53"/>
  <c r="M1580" i="53"/>
  <c r="P1579" i="53"/>
  <c r="M1579" i="53"/>
  <c r="P1578" i="53"/>
  <c r="M1578" i="53"/>
  <c r="P1577" i="53"/>
  <c r="M1577" i="53"/>
  <c r="P1576" i="53"/>
  <c r="M1576" i="53"/>
  <c r="P1575" i="53"/>
  <c r="M1575" i="53"/>
  <c r="P1574" i="53"/>
  <c r="M1574" i="53"/>
  <c r="P1573" i="53"/>
  <c r="M1573" i="53"/>
  <c r="P1572" i="53"/>
  <c r="M1572" i="53"/>
  <c r="P1571" i="53"/>
  <c r="M1571" i="53"/>
  <c r="P1570" i="53"/>
  <c r="M1570" i="53"/>
  <c r="P1569" i="53"/>
  <c r="M1569" i="53"/>
  <c r="P1568" i="53"/>
  <c r="M1568" i="53"/>
  <c r="P1567" i="53"/>
  <c r="M1567" i="53"/>
  <c r="P1566" i="53"/>
  <c r="M1566" i="53"/>
  <c r="P1565" i="53"/>
  <c r="M1565" i="53"/>
  <c r="P1564" i="53"/>
  <c r="M1564" i="53"/>
  <c r="P1563" i="53"/>
  <c r="M1563" i="53"/>
  <c r="P1562" i="53"/>
  <c r="M1562" i="53"/>
  <c r="P1561" i="53"/>
  <c r="M1561" i="53"/>
  <c r="P1560" i="53"/>
  <c r="M1560" i="53"/>
  <c r="P1559" i="53"/>
  <c r="M1559" i="53"/>
  <c r="P1558" i="53"/>
  <c r="M1558" i="53"/>
  <c r="P1557" i="53"/>
  <c r="M1557" i="53"/>
  <c r="P1556" i="53"/>
  <c r="M1556" i="53"/>
  <c r="P1555" i="53"/>
  <c r="M1555" i="53"/>
  <c r="P1554" i="53"/>
  <c r="M1554" i="53"/>
  <c r="P1553" i="53"/>
  <c r="M1553" i="53"/>
  <c r="P1552" i="53"/>
  <c r="M1552" i="53"/>
  <c r="P1551" i="53"/>
  <c r="M1551" i="53"/>
  <c r="P1550" i="53"/>
  <c r="M1550" i="53"/>
  <c r="P1549" i="53"/>
  <c r="M1549" i="53"/>
  <c r="P1548" i="53"/>
  <c r="M1548" i="53"/>
  <c r="P1547" i="53"/>
  <c r="M1547" i="53"/>
  <c r="P1546" i="53"/>
  <c r="M1546" i="53"/>
  <c r="P1545" i="53"/>
  <c r="M1545" i="53"/>
  <c r="P1544" i="53"/>
  <c r="M1544" i="53"/>
  <c r="P1543" i="53"/>
  <c r="M1543" i="53"/>
  <c r="P1542" i="53"/>
  <c r="M1542" i="53"/>
  <c r="P1541" i="53"/>
  <c r="M1541" i="53"/>
  <c r="P1540" i="53"/>
  <c r="M1540" i="53"/>
  <c r="P1539" i="53"/>
  <c r="M1539" i="53"/>
  <c r="P1538" i="53"/>
  <c r="M1538" i="53"/>
  <c r="P1537" i="53"/>
  <c r="M1537" i="53"/>
  <c r="P1536" i="53"/>
  <c r="M1536" i="53"/>
  <c r="P1535" i="53"/>
  <c r="M1535" i="53"/>
  <c r="P1534" i="53"/>
  <c r="M1534" i="53"/>
  <c r="P1533" i="53"/>
  <c r="M1533" i="53"/>
  <c r="P1532" i="53"/>
  <c r="M1532" i="53"/>
  <c r="P1531" i="53"/>
  <c r="M1531" i="53"/>
  <c r="P1530" i="53"/>
  <c r="M1530" i="53"/>
  <c r="P1529" i="53"/>
  <c r="M1529" i="53"/>
  <c r="P1528" i="53"/>
  <c r="M1528" i="53"/>
  <c r="P1527" i="53"/>
  <c r="M1527" i="53"/>
  <c r="P1526" i="53"/>
  <c r="M1526" i="53"/>
  <c r="P1525" i="53"/>
  <c r="M1525" i="53"/>
  <c r="P1524" i="53"/>
  <c r="M1524" i="53"/>
  <c r="P1523" i="53"/>
  <c r="M1523" i="53"/>
  <c r="P1522" i="53"/>
  <c r="M1522" i="53"/>
  <c r="P1521" i="53"/>
  <c r="M1521" i="53"/>
  <c r="P1520" i="53"/>
  <c r="M1520" i="53"/>
  <c r="P1519" i="53"/>
  <c r="M1519" i="53"/>
  <c r="P1518" i="53"/>
  <c r="M1518" i="53"/>
  <c r="P1517" i="53"/>
  <c r="M1517" i="53"/>
  <c r="P1516" i="53"/>
  <c r="M1516" i="53"/>
  <c r="P1515" i="53"/>
  <c r="M1515" i="53"/>
  <c r="P1514" i="53"/>
  <c r="M1514" i="53"/>
  <c r="P1513" i="53"/>
  <c r="M1513" i="53"/>
  <c r="P1512" i="53"/>
  <c r="M1512" i="53"/>
  <c r="P1511" i="53"/>
  <c r="M1511" i="53"/>
  <c r="P1510" i="53"/>
  <c r="M1510" i="53"/>
  <c r="P1509" i="53"/>
  <c r="M1509" i="53"/>
  <c r="P1508" i="53"/>
  <c r="M1508" i="53"/>
  <c r="P1507" i="53"/>
  <c r="M1507" i="53"/>
  <c r="P1506" i="53"/>
  <c r="M1506" i="53"/>
  <c r="P1505" i="53"/>
  <c r="M1505" i="53"/>
  <c r="P1504" i="53"/>
  <c r="M1504" i="53"/>
  <c r="P1503" i="53"/>
  <c r="M1503" i="53"/>
  <c r="P1502" i="53"/>
  <c r="M1502" i="53"/>
  <c r="P1501" i="53"/>
  <c r="M1501" i="53"/>
  <c r="P1500" i="53"/>
  <c r="M1500" i="53"/>
  <c r="P1499" i="53"/>
  <c r="M1499" i="53"/>
  <c r="P1498" i="53"/>
  <c r="M1498" i="53"/>
  <c r="P1497" i="53"/>
  <c r="M1497" i="53"/>
  <c r="P1496" i="53"/>
  <c r="M1496" i="53"/>
  <c r="P1495" i="53"/>
  <c r="M1495" i="53"/>
  <c r="P1494" i="53"/>
  <c r="M1494" i="53"/>
  <c r="P1493" i="53"/>
  <c r="M1493" i="53"/>
  <c r="P1492" i="53"/>
  <c r="M1492" i="53"/>
  <c r="P1491" i="53"/>
  <c r="M1491" i="53"/>
  <c r="P1490" i="53"/>
  <c r="M1490" i="53"/>
  <c r="P1489" i="53"/>
  <c r="M1489" i="53"/>
  <c r="P1488" i="53"/>
  <c r="M1488" i="53"/>
  <c r="P1487" i="53"/>
  <c r="M1487" i="53"/>
  <c r="P1486" i="53"/>
  <c r="M1486" i="53"/>
  <c r="P1485" i="53"/>
  <c r="M1485" i="53"/>
  <c r="P1484" i="53"/>
  <c r="M1484" i="53"/>
  <c r="P1483" i="53"/>
  <c r="M1483" i="53"/>
  <c r="P1482" i="53"/>
  <c r="M1482" i="53"/>
  <c r="P1481" i="53"/>
  <c r="M1481" i="53"/>
  <c r="P1480" i="53"/>
  <c r="M1480" i="53"/>
  <c r="P1479" i="53"/>
  <c r="M1479" i="53"/>
  <c r="P1478" i="53"/>
  <c r="M1478" i="53"/>
  <c r="P1477" i="53"/>
  <c r="M1477" i="53"/>
  <c r="P1476" i="53"/>
  <c r="M1476" i="53"/>
  <c r="P1475" i="53"/>
  <c r="M1475" i="53"/>
  <c r="P1474" i="53"/>
  <c r="M1474" i="53"/>
  <c r="P1473" i="53"/>
  <c r="M1473" i="53"/>
  <c r="P1472" i="53"/>
  <c r="M1472" i="53"/>
  <c r="P1471" i="53"/>
  <c r="M1471" i="53"/>
  <c r="P1470" i="53"/>
  <c r="M1470" i="53"/>
  <c r="P1469" i="53"/>
  <c r="M1469" i="53"/>
  <c r="P1468" i="53"/>
  <c r="M1468" i="53"/>
  <c r="P1467" i="53"/>
  <c r="M1467" i="53"/>
  <c r="P1466" i="53"/>
  <c r="M1466" i="53"/>
  <c r="P1465" i="53"/>
  <c r="M1465" i="53"/>
  <c r="P1464" i="53"/>
  <c r="M1464" i="53"/>
  <c r="P1463" i="53"/>
  <c r="M1463" i="53"/>
  <c r="P1462" i="53"/>
  <c r="M1462" i="53"/>
  <c r="P1461" i="53"/>
  <c r="M1461" i="53"/>
  <c r="P1460" i="53"/>
  <c r="M1460" i="53"/>
  <c r="P1459" i="53"/>
  <c r="M1459" i="53"/>
  <c r="P1458" i="53"/>
  <c r="M1458" i="53"/>
  <c r="P1457" i="53"/>
  <c r="M1457" i="53"/>
  <c r="P1456" i="53"/>
  <c r="M1456" i="53"/>
  <c r="P1455" i="53"/>
  <c r="M1455" i="53"/>
  <c r="P1454" i="53"/>
  <c r="M1454" i="53"/>
  <c r="P1453" i="53"/>
  <c r="M1453" i="53"/>
  <c r="P1452" i="53"/>
  <c r="M1452" i="53"/>
  <c r="P1451" i="53"/>
  <c r="M1451" i="53"/>
  <c r="P1450" i="53"/>
  <c r="M1450" i="53"/>
  <c r="P1449" i="53"/>
  <c r="M1449" i="53"/>
  <c r="P1448" i="53"/>
  <c r="M1448" i="53"/>
  <c r="P1447" i="53"/>
  <c r="M1447" i="53"/>
  <c r="P1446" i="53"/>
  <c r="M1446" i="53"/>
  <c r="P1445" i="53"/>
  <c r="M1445" i="53"/>
  <c r="P1444" i="53"/>
  <c r="M1444" i="53"/>
  <c r="P1443" i="53"/>
  <c r="M1443" i="53"/>
  <c r="P1442" i="53"/>
  <c r="M1442" i="53"/>
  <c r="P1441" i="53"/>
  <c r="M1441" i="53"/>
  <c r="P1440" i="53"/>
  <c r="M1440" i="53"/>
  <c r="P1439" i="53"/>
  <c r="M1439" i="53"/>
  <c r="P1438" i="53"/>
  <c r="M1438" i="53"/>
  <c r="P1437" i="53"/>
  <c r="M1437" i="53"/>
  <c r="P1436" i="53"/>
  <c r="M1436" i="53"/>
  <c r="P1435" i="53"/>
  <c r="M1435" i="53"/>
  <c r="P1434" i="53"/>
  <c r="M1434" i="53"/>
  <c r="P1433" i="53"/>
  <c r="M1433" i="53"/>
  <c r="P1432" i="53"/>
  <c r="M1432" i="53"/>
  <c r="P1431" i="53"/>
  <c r="M1431" i="53"/>
  <c r="P1430" i="53"/>
  <c r="M1430" i="53"/>
  <c r="P1429" i="53"/>
  <c r="M1429" i="53"/>
  <c r="P1428" i="53"/>
  <c r="M1428" i="53"/>
  <c r="P1427" i="53"/>
  <c r="M1427" i="53"/>
  <c r="P1426" i="53"/>
  <c r="M1426" i="53"/>
  <c r="P1425" i="53"/>
  <c r="M1425" i="53"/>
  <c r="P1424" i="53"/>
  <c r="M1424" i="53"/>
  <c r="P1423" i="53"/>
  <c r="M1423" i="53"/>
  <c r="P1422" i="53"/>
  <c r="M1422" i="53"/>
  <c r="P1421" i="53"/>
  <c r="M1421" i="53"/>
  <c r="P1420" i="53"/>
  <c r="M1420" i="53"/>
  <c r="P1419" i="53"/>
  <c r="M1419" i="53"/>
  <c r="P1418" i="53"/>
  <c r="M1418" i="53"/>
  <c r="P1417" i="53"/>
  <c r="M1417" i="53"/>
  <c r="P1416" i="53"/>
  <c r="M1416" i="53"/>
  <c r="P1415" i="53"/>
  <c r="M1415" i="53"/>
  <c r="P1414" i="53"/>
  <c r="M1414" i="53"/>
  <c r="P1413" i="53"/>
  <c r="M1413" i="53"/>
  <c r="P1412" i="53"/>
  <c r="M1412" i="53"/>
  <c r="P1411" i="53"/>
  <c r="M1411" i="53"/>
  <c r="P1410" i="53"/>
  <c r="M1410" i="53"/>
  <c r="P1409" i="53"/>
  <c r="M1409" i="53"/>
  <c r="P1408" i="53"/>
  <c r="M1408" i="53"/>
  <c r="P1407" i="53"/>
  <c r="M1407" i="53"/>
  <c r="P1406" i="53"/>
  <c r="M1406" i="53"/>
  <c r="P1405" i="53"/>
  <c r="M1405" i="53"/>
  <c r="P1404" i="53"/>
  <c r="M1404" i="53"/>
  <c r="P1403" i="53"/>
  <c r="M1403" i="53"/>
  <c r="P1402" i="53"/>
  <c r="M1402" i="53"/>
  <c r="P1401" i="53"/>
  <c r="M1401" i="53"/>
  <c r="P1400" i="53"/>
  <c r="M1400" i="53"/>
  <c r="P1399" i="53"/>
  <c r="M1399" i="53"/>
  <c r="P1398" i="53"/>
  <c r="M1398" i="53"/>
  <c r="P1397" i="53"/>
  <c r="M1397" i="53"/>
  <c r="P1396" i="53"/>
  <c r="M1396" i="53"/>
  <c r="P1395" i="53"/>
  <c r="M1395" i="53"/>
  <c r="P1394" i="53"/>
  <c r="M1394" i="53"/>
  <c r="P1393" i="53"/>
  <c r="M1393" i="53"/>
  <c r="P1392" i="53"/>
  <c r="M1392" i="53"/>
  <c r="P1391" i="53"/>
  <c r="M1391" i="53"/>
  <c r="P1390" i="53"/>
  <c r="M1390" i="53"/>
  <c r="P1389" i="53"/>
  <c r="M1389" i="53"/>
  <c r="P1388" i="53"/>
  <c r="M1388" i="53"/>
  <c r="P1387" i="53"/>
  <c r="M1387" i="53"/>
  <c r="P1386" i="53"/>
  <c r="M1386" i="53"/>
  <c r="P1385" i="53"/>
  <c r="M1385" i="53"/>
  <c r="P1384" i="53"/>
  <c r="M1384" i="53"/>
  <c r="P1383" i="53"/>
  <c r="M1383" i="53"/>
  <c r="P1382" i="53"/>
  <c r="M1382" i="53"/>
  <c r="P1381" i="53"/>
  <c r="M1381" i="53"/>
  <c r="P1380" i="53"/>
  <c r="M1380" i="53"/>
  <c r="P1379" i="53"/>
  <c r="M1379" i="53"/>
  <c r="P1378" i="53"/>
  <c r="M1378" i="53"/>
  <c r="P1377" i="53"/>
  <c r="M1377" i="53"/>
  <c r="P1376" i="53"/>
  <c r="M1376" i="53"/>
  <c r="P1375" i="53"/>
  <c r="M1375" i="53"/>
  <c r="P1374" i="53"/>
  <c r="M1374" i="53"/>
  <c r="P1373" i="53"/>
  <c r="M1373" i="53"/>
  <c r="P1372" i="53"/>
  <c r="M1372" i="53"/>
  <c r="P1371" i="53"/>
  <c r="M1371" i="53"/>
  <c r="P1370" i="53"/>
  <c r="M1370" i="53"/>
  <c r="P1369" i="53"/>
  <c r="M1369" i="53"/>
  <c r="P1368" i="53"/>
  <c r="M1368" i="53"/>
  <c r="P1367" i="53"/>
  <c r="M1367" i="53"/>
  <c r="P1366" i="53"/>
  <c r="M1366" i="53"/>
  <c r="P1365" i="53"/>
  <c r="M1365" i="53"/>
  <c r="P1364" i="53"/>
  <c r="M1364" i="53"/>
  <c r="P1363" i="53"/>
  <c r="M1363" i="53"/>
  <c r="P1362" i="53"/>
  <c r="M1362" i="53"/>
  <c r="P1361" i="53"/>
  <c r="M1361" i="53"/>
  <c r="P1360" i="53"/>
  <c r="M1360" i="53"/>
  <c r="P1359" i="53"/>
  <c r="M1359" i="53"/>
  <c r="P1358" i="53"/>
  <c r="M1358" i="53"/>
  <c r="P1357" i="53"/>
  <c r="M1357" i="53"/>
  <c r="P1356" i="53"/>
  <c r="M1356" i="53"/>
  <c r="P1355" i="53"/>
  <c r="M1355" i="53"/>
  <c r="P1354" i="53"/>
  <c r="M1354" i="53"/>
  <c r="P1353" i="53"/>
  <c r="M1353" i="53"/>
  <c r="P1352" i="53"/>
  <c r="M1352" i="53"/>
  <c r="P1351" i="53"/>
  <c r="M1351" i="53"/>
  <c r="P1350" i="53"/>
  <c r="M1350" i="53"/>
  <c r="P1349" i="53"/>
  <c r="M1349" i="53"/>
  <c r="P1348" i="53"/>
  <c r="M1348" i="53"/>
  <c r="P1347" i="53"/>
  <c r="M1347" i="53"/>
  <c r="P1346" i="53"/>
  <c r="M1346" i="53"/>
  <c r="P1345" i="53"/>
  <c r="M1345" i="53"/>
  <c r="P1344" i="53"/>
  <c r="M1344" i="53"/>
  <c r="P1343" i="53"/>
  <c r="M1343" i="53"/>
  <c r="P1342" i="53"/>
  <c r="M1342" i="53"/>
  <c r="P1341" i="53"/>
  <c r="M1341" i="53"/>
  <c r="P1340" i="53"/>
  <c r="M1340" i="53"/>
  <c r="P1339" i="53"/>
  <c r="M1339" i="53"/>
  <c r="P1338" i="53"/>
  <c r="M1338" i="53"/>
  <c r="P1337" i="53"/>
  <c r="M1337" i="53"/>
  <c r="P1336" i="53"/>
  <c r="M1336" i="53"/>
  <c r="P1335" i="53"/>
  <c r="M1335" i="53"/>
  <c r="P1334" i="53"/>
  <c r="M1334" i="53"/>
  <c r="P1333" i="53"/>
  <c r="M1333" i="53"/>
  <c r="P1332" i="53"/>
  <c r="M1332" i="53"/>
  <c r="P1331" i="53"/>
  <c r="M1331" i="53"/>
  <c r="P1330" i="53"/>
  <c r="M1330" i="53"/>
  <c r="P1329" i="53"/>
  <c r="M1329" i="53"/>
  <c r="P1328" i="53"/>
  <c r="M1328" i="53"/>
  <c r="P1327" i="53"/>
  <c r="M1327" i="53"/>
  <c r="P1326" i="53"/>
  <c r="M1326" i="53"/>
  <c r="P1325" i="53"/>
  <c r="M1325" i="53"/>
  <c r="P1324" i="53"/>
  <c r="M1324" i="53"/>
  <c r="P1323" i="53"/>
  <c r="M1323" i="53"/>
  <c r="P1322" i="53"/>
  <c r="M1322" i="53"/>
  <c r="P1321" i="53"/>
  <c r="M1321" i="53"/>
  <c r="P1320" i="53"/>
  <c r="M1320" i="53"/>
  <c r="P1319" i="53"/>
  <c r="M1319" i="53"/>
  <c r="P1318" i="53"/>
  <c r="M1318" i="53"/>
  <c r="P1317" i="53"/>
  <c r="M1317" i="53"/>
  <c r="P1316" i="53"/>
  <c r="M1316" i="53"/>
  <c r="P1315" i="53"/>
  <c r="M1315" i="53"/>
  <c r="P1314" i="53"/>
  <c r="M1314" i="53"/>
  <c r="P1313" i="53"/>
  <c r="M1313" i="53"/>
  <c r="P1312" i="53"/>
  <c r="M1312" i="53"/>
  <c r="P1311" i="53"/>
  <c r="M1311" i="53"/>
  <c r="P1310" i="53"/>
  <c r="M1310" i="53"/>
  <c r="P1309" i="53"/>
  <c r="M1309" i="53"/>
  <c r="P1308" i="53"/>
  <c r="M1308" i="53"/>
  <c r="P1307" i="53"/>
  <c r="M1307" i="53"/>
  <c r="P1306" i="53"/>
  <c r="M1306" i="53"/>
  <c r="P1305" i="53"/>
  <c r="M1305" i="53"/>
  <c r="P1304" i="53"/>
  <c r="M1304" i="53"/>
  <c r="P1303" i="53"/>
  <c r="M1303" i="53"/>
  <c r="P1302" i="53"/>
  <c r="M1302" i="53"/>
  <c r="P1301" i="53"/>
  <c r="M1301" i="53"/>
  <c r="P1300" i="53"/>
  <c r="M1300" i="53"/>
  <c r="P1299" i="53"/>
  <c r="M1299" i="53"/>
  <c r="P1298" i="53"/>
  <c r="M1298" i="53"/>
  <c r="P1297" i="53"/>
  <c r="M1297" i="53"/>
  <c r="P1296" i="53"/>
  <c r="M1296" i="53"/>
  <c r="P1295" i="53"/>
  <c r="M1295" i="53"/>
  <c r="P1294" i="53"/>
  <c r="M1294" i="53"/>
  <c r="P1293" i="53"/>
  <c r="M1293" i="53"/>
  <c r="P1292" i="53"/>
  <c r="M1292" i="53"/>
  <c r="P1291" i="53"/>
  <c r="M1291" i="53"/>
  <c r="P1290" i="53"/>
  <c r="M1290" i="53"/>
  <c r="P1289" i="53"/>
  <c r="M1289" i="53"/>
  <c r="P1288" i="53"/>
  <c r="M1288" i="53"/>
  <c r="P1287" i="53"/>
  <c r="M1287" i="53"/>
  <c r="P1286" i="53"/>
  <c r="M1286" i="53"/>
  <c r="P1285" i="53"/>
  <c r="M1285" i="53"/>
  <c r="P1284" i="53"/>
  <c r="M1284" i="53"/>
  <c r="P1283" i="53"/>
  <c r="M1283" i="53"/>
  <c r="P1282" i="53"/>
  <c r="M1282" i="53"/>
  <c r="P1281" i="53"/>
  <c r="M1281" i="53"/>
  <c r="P1280" i="53"/>
  <c r="M1280" i="53"/>
  <c r="P1279" i="53"/>
  <c r="M1279" i="53"/>
  <c r="P1278" i="53"/>
  <c r="M1278" i="53"/>
  <c r="P1277" i="53"/>
  <c r="M1277" i="53"/>
  <c r="P1276" i="53"/>
  <c r="M1276" i="53"/>
  <c r="P1275" i="53"/>
  <c r="M1275" i="53"/>
  <c r="P1274" i="53"/>
  <c r="M1274" i="53"/>
  <c r="P1273" i="53"/>
  <c r="M1273" i="53"/>
  <c r="P1272" i="53"/>
  <c r="M1272" i="53"/>
  <c r="P1271" i="53"/>
  <c r="M1271" i="53"/>
  <c r="P1270" i="53"/>
  <c r="M1270" i="53"/>
  <c r="P1269" i="53"/>
  <c r="M1269" i="53"/>
  <c r="P1268" i="53"/>
  <c r="M1268" i="53"/>
  <c r="P1267" i="53"/>
  <c r="M1267" i="53"/>
  <c r="P1266" i="53"/>
  <c r="M1266" i="53"/>
  <c r="P1265" i="53"/>
  <c r="M1265" i="53"/>
  <c r="P1264" i="53"/>
  <c r="M1264" i="53"/>
  <c r="P1263" i="53"/>
  <c r="M1263" i="53"/>
  <c r="P1262" i="53"/>
  <c r="M1262" i="53"/>
  <c r="P1261" i="53"/>
  <c r="M1261" i="53"/>
  <c r="P1260" i="53"/>
  <c r="M1260" i="53"/>
  <c r="P1259" i="53"/>
  <c r="M1259" i="53"/>
  <c r="P1258" i="53"/>
  <c r="M1258" i="53"/>
  <c r="P1257" i="53"/>
  <c r="M1257" i="53"/>
  <c r="P1256" i="53"/>
  <c r="M1256" i="53"/>
  <c r="P1255" i="53"/>
  <c r="M1255" i="53"/>
  <c r="P1254" i="53"/>
  <c r="M1254" i="53"/>
  <c r="P1253" i="53"/>
  <c r="M1253" i="53"/>
  <c r="P1252" i="53"/>
  <c r="M1252" i="53"/>
  <c r="P1251" i="53"/>
  <c r="M1251" i="53"/>
  <c r="P1250" i="53"/>
  <c r="M1250" i="53"/>
  <c r="P1249" i="53"/>
  <c r="M1249" i="53"/>
  <c r="P1248" i="53"/>
  <c r="M1248" i="53"/>
  <c r="P1247" i="53"/>
  <c r="M1247" i="53"/>
  <c r="P1246" i="53"/>
  <c r="M1246" i="53"/>
  <c r="P1245" i="53"/>
  <c r="M1245" i="53"/>
  <c r="P1244" i="53"/>
  <c r="M1244" i="53"/>
  <c r="P1243" i="53"/>
  <c r="M1243" i="53"/>
  <c r="P1242" i="53"/>
  <c r="M1242" i="53"/>
  <c r="P1241" i="53"/>
  <c r="M1241" i="53"/>
  <c r="P1240" i="53"/>
  <c r="M1240" i="53"/>
  <c r="P1239" i="53"/>
  <c r="M1239" i="53"/>
  <c r="P1238" i="53"/>
  <c r="M1238" i="53"/>
  <c r="P1237" i="53"/>
  <c r="M1237" i="53"/>
  <c r="P1236" i="53"/>
  <c r="M1236" i="53"/>
  <c r="P1235" i="53"/>
  <c r="M1235" i="53"/>
  <c r="P1234" i="53"/>
  <c r="M1234" i="53"/>
  <c r="P1233" i="53"/>
  <c r="M1233" i="53"/>
  <c r="P1232" i="53"/>
  <c r="M1232" i="53"/>
  <c r="P1231" i="53"/>
  <c r="M1231" i="53"/>
  <c r="P1230" i="53"/>
  <c r="M1230" i="53"/>
  <c r="P1229" i="53"/>
  <c r="M1229" i="53"/>
  <c r="P1228" i="53"/>
  <c r="M1228" i="53"/>
  <c r="P1227" i="53"/>
  <c r="M1227" i="53"/>
  <c r="P1226" i="53"/>
  <c r="M1226" i="53"/>
  <c r="P1225" i="53"/>
  <c r="M1225" i="53"/>
  <c r="P1224" i="53"/>
  <c r="M1224" i="53"/>
  <c r="P1223" i="53"/>
  <c r="M1223" i="53"/>
  <c r="P1222" i="53"/>
  <c r="M1222" i="53"/>
  <c r="P1221" i="53"/>
  <c r="M1221" i="53"/>
  <c r="P1220" i="53"/>
  <c r="M1220" i="53"/>
  <c r="P1219" i="53"/>
  <c r="M1219" i="53"/>
  <c r="P1218" i="53"/>
  <c r="M1218" i="53"/>
  <c r="P1217" i="53"/>
  <c r="M1217" i="53"/>
  <c r="P1216" i="53"/>
  <c r="M1216" i="53"/>
  <c r="P1215" i="53"/>
  <c r="M1215" i="53"/>
  <c r="P1214" i="53"/>
  <c r="M1214" i="53"/>
  <c r="P1213" i="53"/>
  <c r="M1213" i="53"/>
  <c r="P1212" i="53"/>
  <c r="M1212" i="53"/>
  <c r="P1211" i="53"/>
  <c r="M1211" i="53"/>
  <c r="P1210" i="53"/>
  <c r="M1210" i="53"/>
  <c r="P1209" i="53"/>
  <c r="M1209" i="53"/>
  <c r="P1208" i="53"/>
  <c r="M1208" i="53"/>
  <c r="P1207" i="53"/>
  <c r="M1207" i="53"/>
  <c r="P1206" i="53"/>
  <c r="M1206" i="53"/>
  <c r="P1205" i="53"/>
  <c r="M1205" i="53"/>
  <c r="P1204" i="53"/>
  <c r="M1204" i="53"/>
  <c r="P1203" i="53"/>
  <c r="M1203" i="53"/>
  <c r="P1202" i="53"/>
  <c r="M1202" i="53"/>
  <c r="P1201" i="53"/>
  <c r="M1201" i="53"/>
  <c r="P1200" i="53"/>
  <c r="M1200" i="53"/>
  <c r="P1199" i="53"/>
  <c r="M1199" i="53"/>
  <c r="P1198" i="53"/>
  <c r="M1198" i="53"/>
  <c r="P1197" i="53"/>
  <c r="M1197" i="53"/>
  <c r="P1196" i="53"/>
  <c r="M1196" i="53"/>
  <c r="P1195" i="53"/>
  <c r="M1195" i="53"/>
  <c r="P1194" i="53"/>
  <c r="M1194" i="53"/>
  <c r="P1193" i="53"/>
  <c r="M1193" i="53"/>
  <c r="P1192" i="53"/>
  <c r="M1192" i="53"/>
  <c r="P1191" i="53"/>
  <c r="M1191" i="53"/>
  <c r="P1190" i="53"/>
  <c r="M1190" i="53"/>
  <c r="P1189" i="53"/>
  <c r="M1189" i="53"/>
  <c r="P1188" i="53"/>
  <c r="M1188" i="53"/>
  <c r="P1187" i="53"/>
  <c r="M1187" i="53"/>
  <c r="P1186" i="53"/>
  <c r="M1186" i="53"/>
  <c r="P1185" i="53"/>
  <c r="M1185" i="53"/>
  <c r="P1184" i="53"/>
  <c r="M1184" i="53"/>
  <c r="P1183" i="53"/>
  <c r="M1183" i="53"/>
  <c r="P1182" i="53"/>
  <c r="M1182" i="53"/>
  <c r="P1181" i="53"/>
  <c r="M1181" i="53"/>
  <c r="P1180" i="53"/>
  <c r="M1180" i="53"/>
  <c r="P1179" i="53"/>
  <c r="M1179" i="53"/>
  <c r="P1178" i="53"/>
  <c r="M1178" i="53"/>
  <c r="P1177" i="53"/>
  <c r="M1177" i="53"/>
  <c r="P1176" i="53"/>
  <c r="M1176" i="53"/>
  <c r="P1175" i="53"/>
  <c r="M1175" i="53"/>
  <c r="P1174" i="53"/>
  <c r="M1174" i="53"/>
  <c r="P1173" i="53"/>
  <c r="M1173" i="53"/>
  <c r="P1172" i="53"/>
  <c r="M1172" i="53"/>
  <c r="P1171" i="53"/>
  <c r="M1171" i="53"/>
  <c r="P1170" i="53"/>
  <c r="M1170" i="53"/>
  <c r="P1169" i="53"/>
  <c r="M1169" i="53"/>
  <c r="P1168" i="53"/>
  <c r="M1168" i="53"/>
  <c r="P1167" i="53"/>
  <c r="M1167" i="53"/>
  <c r="P1166" i="53"/>
  <c r="M1166" i="53"/>
  <c r="P1165" i="53"/>
  <c r="M1165" i="53"/>
  <c r="P1164" i="53"/>
  <c r="M1164" i="53"/>
  <c r="P1163" i="53"/>
  <c r="M1163" i="53"/>
  <c r="P1162" i="53"/>
  <c r="M1162" i="53"/>
  <c r="P1161" i="53"/>
  <c r="M1161" i="53"/>
  <c r="P1160" i="53"/>
  <c r="M1160" i="53"/>
  <c r="P1159" i="53"/>
  <c r="M1159" i="53"/>
  <c r="P1158" i="53"/>
  <c r="M1158" i="53"/>
  <c r="P1157" i="53"/>
  <c r="M1157" i="53"/>
  <c r="P1156" i="53"/>
  <c r="M1156" i="53"/>
  <c r="P1155" i="53"/>
  <c r="M1155" i="53"/>
  <c r="P1154" i="53"/>
  <c r="M1154" i="53"/>
  <c r="P1153" i="53"/>
  <c r="M1153" i="53"/>
  <c r="P1152" i="53"/>
  <c r="M1152" i="53"/>
  <c r="P1151" i="53"/>
  <c r="M1151" i="53"/>
  <c r="P1150" i="53"/>
  <c r="M1150" i="53"/>
  <c r="P1149" i="53"/>
  <c r="M1149" i="53"/>
  <c r="P1148" i="53"/>
  <c r="M1148" i="53"/>
  <c r="P1147" i="53"/>
  <c r="M1147" i="53"/>
  <c r="P1146" i="53"/>
  <c r="M1146" i="53"/>
  <c r="P1145" i="53"/>
  <c r="M1145" i="53"/>
  <c r="P1144" i="53"/>
  <c r="M1144" i="53"/>
  <c r="P1143" i="53"/>
  <c r="M1143" i="53"/>
  <c r="P1142" i="53"/>
  <c r="M1142" i="53"/>
  <c r="P1141" i="53"/>
  <c r="M1141" i="53"/>
  <c r="P1140" i="53"/>
  <c r="M1140" i="53"/>
  <c r="P1139" i="53"/>
  <c r="M1139" i="53"/>
  <c r="P1138" i="53"/>
  <c r="M1138" i="53"/>
  <c r="P1137" i="53"/>
  <c r="M1137" i="53"/>
  <c r="P1136" i="53"/>
  <c r="M1136" i="53"/>
  <c r="P1135" i="53"/>
  <c r="M1135" i="53"/>
  <c r="P1134" i="53"/>
  <c r="M1134" i="53"/>
  <c r="P1133" i="53"/>
  <c r="M1133" i="53"/>
  <c r="P1132" i="53"/>
  <c r="M1132" i="53"/>
  <c r="P1131" i="53"/>
  <c r="M1131" i="53"/>
  <c r="P1130" i="53"/>
  <c r="M1130" i="53"/>
  <c r="P1129" i="53"/>
  <c r="M1129" i="53"/>
  <c r="P1128" i="53"/>
  <c r="M1128" i="53"/>
  <c r="P1127" i="53"/>
  <c r="M1127" i="53"/>
  <c r="P1126" i="53"/>
  <c r="M1126" i="53"/>
  <c r="P1125" i="53"/>
  <c r="M1125" i="53"/>
  <c r="P1124" i="53"/>
  <c r="M1124" i="53"/>
  <c r="P1123" i="53"/>
  <c r="M1123" i="53"/>
  <c r="P1122" i="53"/>
  <c r="M1122" i="53"/>
  <c r="P1121" i="53"/>
  <c r="M1121" i="53"/>
  <c r="P1120" i="53"/>
  <c r="M1120" i="53"/>
  <c r="P1119" i="53"/>
  <c r="M1119" i="53"/>
  <c r="P1118" i="53"/>
  <c r="M1118" i="53"/>
  <c r="P1117" i="53"/>
  <c r="M1117" i="53"/>
  <c r="P1116" i="53"/>
  <c r="M1116" i="53"/>
  <c r="P1115" i="53"/>
  <c r="M1115" i="53"/>
  <c r="P1114" i="53"/>
  <c r="M1114" i="53"/>
  <c r="P1113" i="53"/>
  <c r="M1113" i="53"/>
  <c r="P1112" i="53"/>
  <c r="M1112" i="53"/>
  <c r="P1111" i="53"/>
  <c r="M1111" i="53"/>
  <c r="P1110" i="53"/>
  <c r="M1110" i="53"/>
  <c r="P1109" i="53"/>
  <c r="M1109" i="53"/>
  <c r="P1108" i="53"/>
  <c r="M1108" i="53"/>
  <c r="P1107" i="53"/>
  <c r="M1107" i="53"/>
  <c r="P1106" i="53"/>
  <c r="M1106" i="53"/>
  <c r="P1105" i="53"/>
  <c r="M1105" i="53"/>
  <c r="P1104" i="53"/>
  <c r="M1104" i="53"/>
  <c r="P1103" i="53"/>
  <c r="M1103" i="53"/>
  <c r="P1102" i="53"/>
  <c r="M1102" i="53"/>
  <c r="P1101" i="53"/>
  <c r="M1101" i="53"/>
  <c r="P1100" i="53"/>
  <c r="M1100" i="53"/>
  <c r="P1099" i="53"/>
  <c r="M1099" i="53"/>
  <c r="P1098" i="53"/>
  <c r="M1098" i="53"/>
  <c r="P1097" i="53"/>
  <c r="M1097" i="53"/>
  <c r="P1096" i="53"/>
  <c r="M1096" i="53"/>
  <c r="P1095" i="53"/>
  <c r="M1095" i="53"/>
  <c r="P1094" i="53"/>
  <c r="M1094" i="53"/>
  <c r="P1093" i="53"/>
  <c r="M1093" i="53"/>
  <c r="P1092" i="53"/>
  <c r="M1092" i="53"/>
  <c r="P1091" i="53"/>
  <c r="M1091" i="53"/>
  <c r="P1090" i="53"/>
  <c r="M1090" i="53"/>
  <c r="P1089" i="53"/>
  <c r="M1089" i="53"/>
  <c r="P1088" i="53"/>
  <c r="M1088" i="53"/>
  <c r="P1087" i="53"/>
  <c r="M1087" i="53"/>
  <c r="P1086" i="53"/>
  <c r="M1086" i="53"/>
  <c r="P1085" i="53"/>
  <c r="M1085" i="53"/>
  <c r="P1084" i="53"/>
  <c r="M1084" i="53"/>
  <c r="P1083" i="53"/>
  <c r="M1083" i="53"/>
  <c r="P1082" i="53"/>
  <c r="M1082" i="53"/>
  <c r="P1081" i="53"/>
  <c r="M1081" i="53"/>
  <c r="P1080" i="53"/>
  <c r="M1080" i="53"/>
  <c r="P1079" i="53"/>
  <c r="M1079" i="53"/>
  <c r="P1078" i="53"/>
  <c r="M1078" i="53"/>
  <c r="P1077" i="53"/>
  <c r="M1077" i="53"/>
  <c r="P1076" i="53"/>
  <c r="M1076" i="53"/>
  <c r="P1075" i="53"/>
  <c r="M1075" i="53"/>
  <c r="P1074" i="53"/>
  <c r="M1074" i="53"/>
  <c r="P1073" i="53"/>
  <c r="M1073" i="53"/>
  <c r="P1072" i="53"/>
  <c r="M1072" i="53"/>
  <c r="P1071" i="53"/>
  <c r="M1071" i="53"/>
  <c r="P1070" i="53"/>
  <c r="M1070" i="53"/>
  <c r="P1069" i="53"/>
  <c r="M1069" i="53"/>
  <c r="P1068" i="53"/>
  <c r="M1068" i="53"/>
  <c r="P1067" i="53"/>
  <c r="M1067" i="53"/>
  <c r="P1066" i="53"/>
  <c r="M1066" i="53"/>
  <c r="P1065" i="53"/>
  <c r="M1065" i="53"/>
  <c r="P1064" i="53"/>
  <c r="M1064" i="53"/>
  <c r="P1063" i="53"/>
  <c r="M1063" i="53"/>
  <c r="P1062" i="53"/>
  <c r="M1062" i="53"/>
  <c r="P1061" i="53"/>
  <c r="M1061" i="53"/>
  <c r="P1060" i="53"/>
  <c r="M1060" i="53"/>
  <c r="P1059" i="53"/>
  <c r="M1059" i="53"/>
  <c r="P1058" i="53"/>
  <c r="M1058" i="53"/>
  <c r="P1057" i="53"/>
  <c r="M1057" i="53"/>
  <c r="P1056" i="53"/>
  <c r="M1056" i="53"/>
  <c r="P1055" i="53"/>
  <c r="M1055" i="53"/>
  <c r="P1054" i="53"/>
  <c r="M1054" i="53"/>
  <c r="P1053" i="53"/>
  <c r="M1053" i="53"/>
  <c r="P1052" i="53"/>
  <c r="M1052" i="53"/>
  <c r="P1051" i="53"/>
  <c r="M1051" i="53"/>
  <c r="P1050" i="53"/>
  <c r="M1050" i="53"/>
  <c r="P1049" i="53"/>
  <c r="M1049" i="53"/>
  <c r="P1048" i="53"/>
  <c r="M1048" i="53"/>
  <c r="P1047" i="53"/>
  <c r="M1047" i="53"/>
  <c r="P1046" i="53"/>
  <c r="M1046" i="53"/>
  <c r="P1045" i="53"/>
  <c r="M1045" i="53"/>
  <c r="P1044" i="53"/>
  <c r="M1044" i="53"/>
  <c r="P1043" i="53"/>
  <c r="M1043" i="53"/>
  <c r="P1042" i="53"/>
  <c r="M1042" i="53"/>
  <c r="P1041" i="53"/>
  <c r="M1041" i="53"/>
  <c r="P1040" i="53"/>
  <c r="M1040" i="53"/>
  <c r="P1039" i="53"/>
  <c r="M1039" i="53"/>
  <c r="P1038" i="53"/>
  <c r="M1038" i="53"/>
  <c r="P1037" i="53"/>
  <c r="M1037" i="53"/>
  <c r="P1036" i="53"/>
  <c r="M1036" i="53"/>
  <c r="P1035" i="53"/>
  <c r="M1035" i="53"/>
  <c r="P1034" i="53"/>
  <c r="M1034" i="53"/>
  <c r="P1033" i="53"/>
  <c r="M1033" i="53"/>
  <c r="P1032" i="53"/>
  <c r="M1032" i="53"/>
  <c r="P1031" i="53"/>
  <c r="M1031" i="53"/>
  <c r="P1030" i="53"/>
  <c r="M1030" i="53"/>
  <c r="P1029" i="53"/>
  <c r="M1029" i="53"/>
  <c r="P1028" i="53"/>
  <c r="M1028" i="53"/>
  <c r="P1027" i="53"/>
  <c r="M1027" i="53"/>
  <c r="P1026" i="53"/>
  <c r="M1026" i="53"/>
  <c r="P1025" i="53"/>
  <c r="M1025" i="53"/>
  <c r="P1024" i="53"/>
  <c r="M1024" i="53"/>
  <c r="P1023" i="53"/>
  <c r="M1023" i="53"/>
  <c r="P1022" i="53"/>
  <c r="M1022" i="53"/>
  <c r="P1021" i="53"/>
  <c r="M1021" i="53"/>
  <c r="P1020" i="53"/>
  <c r="M1020" i="53"/>
  <c r="P1019" i="53"/>
  <c r="M1019" i="53"/>
  <c r="P1018" i="53"/>
  <c r="M1018" i="53"/>
  <c r="P1017" i="53"/>
  <c r="M1017" i="53"/>
  <c r="P1016" i="53"/>
  <c r="M1016" i="53"/>
  <c r="P1015" i="53"/>
  <c r="M1015" i="53"/>
  <c r="P1014" i="53"/>
  <c r="M1014" i="53"/>
  <c r="P1013" i="53"/>
  <c r="M1013" i="53"/>
  <c r="P1012" i="53"/>
  <c r="M1012" i="53"/>
  <c r="P1011" i="53"/>
  <c r="M1011" i="53"/>
  <c r="P1010" i="53"/>
  <c r="M1010" i="53"/>
  <c r="P1009" i="53"/>
  <c r="M1009" i="53"/>
  <c r="P1008" i="53"/>
  <c r="M1008" i="53"/>
  <c r="P1007" i="53"/>
  <c r="M1007" i="53"/>
  <c r="P1006" i="53"/>
  <c r="M1006" i="53"/>
  <c r="P1005" i="53"/>
  <c r="M1005" i="53"/>
  <c r="P1004" i="53"/>
  <c r="M1004" i="53"/>
  <c r="P1003" i="53"/>
  <c r="M1003" i="53"/>
  <c r="P1002" i="53"/>
  <c r="M1002" i="53"/>
  <c r="P1001" i="53"/>
  <c r="M1001" i="53"/>
  <c r="P1000" i="53"/>
  <c r="M1000" i="53"/>
  <c r="P999" i="53"/>
  <c r="M999" i="53"/>
  <c r="P998" i="53"/>
  <c r="M998" i="53"/>
  <c r="P997" i="53"/>
  <c r="M997" i="53"/>
  <c r="P996" i="53"/>
  <c r="M996" i="53"/>
  <c r="P995" i="53"/>
  <c r="M995" i="53"/>
  <c r="P994" i="53"/>
  <c r="M994" i="53"/>
  <c r="E988" i="53"/>
  <c r="M985" i="53"/>
  <c r="M984" i="53"/>
  <c r="M983" i="53"/>
  <c r="M982" i="53"/>
  <c r="M981" i="53"/>
  <c r="M980" i="53"/>
  <c r="M979" i="53"/>
  <c r="M978" i="53"/>
  <c r="M977" i="53"/>
  <c r="M976" i="53"/>
  <c r="M975" i="53"/>
  <c r="M974" i="53"/>
  <c r="M973" i="53"/>
  <c r="M972" i="53"/>
  <c r="M971" i="53"/>
  <c r="M970" i="53"/>
  <c r="M969" i="53"/>
  <c r="M968" i="53"/>
  <c r="M967" i="53"/>
  <c r="M966" i="53"/>
  <c r="M965" i="53"/>
  <c r="M964" i="53"/>
  <c r="M963" i="53"/>
  <c r="M962" i="53"/>
  <c r="M961" i="53"/>
  <c r="M960" i="53"/>
  <c r="M959" i="53"/>
  <c r="M958" i="53"/>
  <c r="M957" i="53"/>
  <c r="M956" i="53"/>
  <c r="M955" i="53"/>
  <c r="M954" i="53"/>
  <c r="M953" i="53"/>
  <c r="M952" i="53"/>
  <c r="M951" i="53"/>
  <c r="M950" i="53"/>
  <c r="M949" i="53"/>
  <c r="M948" i="53"/>
  <c r="M947" i="53"/>
  <c r="M946" i="53"/>
  <c r="M945" i="53"/>
  <c r="M944" i="53"/>
  <c r="M943" i="53"/>
  <c r="M942" i="53"/>
  <c r="M941" i="53"/>
  <c r="M940" i="53"/>
  <c r="M939" i="53"/>
  <c r="M938" i="53"/>
  <c r="M937" i="53"/>
  <c r="M936" i="53"/>
  <c r="M935" i="53"/>
  <c r="M934" i="53"/>
  <c r="M933" i="53"/>
  <c r="M932" i="53"/>
  <c r="M931" i="53"/>
  <c r="M930" i="53"/>
  <c r="M929" i="53"/>
  <c r="M928" i="53"/>
  <c r="M927" i="53"/>
  <c r="M926" i="53"/>
  <c r="P925" i="53"/>
  <c r="P924" i="53"/>
  <c r="P923" i="53"/>
  <c r="P922" i="53"/>
  <c r="P921" i="53"/>
  <c r="P920" i="53"/>
  <c r="P919" i="53"/>
  <c r="P918" i="53"/>
  <c r="P917" i="53"/>
  <c r="P916" i="53"/>
  <c r="P915" i="53"/>
  <c r="P914" i="53"/>
  <c r="P913" i="53"/>
  <c r="P912" i="53"/>
  <c r="P911" i="53"/>
  <c r="P910" i="53"/>
  <c r="P909" i="53"/>
  <c r="P908" i="53"/>
  <c r="P907" i="53"/>
  <c r="P906" i="53"/>
  <c r="P905" i="53"/>
  <c r="P904" i="53"/>
  <c r="P903" i="53"/>
  <c r="P902" i="53"/>
  <c r="P901" i="53"/>
  <c r="P900" i="53"/>
  <c r="P899" i="53"/>
  <c r="P898" i="53"/>
  <c r="P897" i="53"/>
  <c r="P894" i="53"/>
  <c r="M894" i="53"/>
  <c r="E894" i="53"/>
  <c r="E989" i="53" s="1"/>
  <c r="E755" i="53"/>
  <c r="P753" i="53"/>
  <c r="M753" i="53"/>
  <c r="P752" i="53"/>
  <c r="M752" i="53"/>
  <c r="P751" i="53"/>
  <c r="M751" i="53"/>
  <c r="P750" i="53"/>
  <c r="M750" i="53"/>
  <c r="P749" i="53"/>
  <c r="M749" i="53"/>
  <c r="P748" i="53"/>
  <c r="M748" i="53"/>
  <c r="P747" i="53"/>
  <c r="M747" i="53"/>
  <c r="P746" i="53"/>
  <c r="M746" i="53"/>
  <c r="P745" i="53"/>
  <c r="M745" i="53"/>
  <c r="P744" i="53"/>
  <c r="M744" i="53"/>
  <c r="P743" i="53"/>
  <c r="M743" i="53"/>
  <c r="P742" i="53"/>
  <c r="M742" i="53"/>
  <c r="P741" i="53"/>
  <c r="M741" i="53"/>
  <c r="P740" i="53"/>
  <c r="M740" i="53"/>
  <c r="P739" i="53"/>
  <c r="M739" i="53"/>
  <c r="P738" i="53"/>
  <c r="M738" i="53"/>
  <c r="P737" i="53"/>
  <c r="M737" i="53"/>
  <c r="P736" i="53"/>
  <c r="M736" i="53"/>
  <c r="P735" i="53"/>
  <c r="M735" i="53"/>
  <c r="P734" i="53"/>
  <c r="M734" i="53"/>
  <c r="P733" i="53"/>
  <c r="M733" i="53"/>
  <c r="P732" i="53"/>
  <c r="M732" i="53"/>
  <c r="P731" i="53"/>
  <c r="M731" i="53"/>
  <c r="P730" i="53"/>
  <c r="M730" i="53"/>
  <c r="P729" i="53"/>
  <c r="M729" i="53"/>
  <c r="P728" i="53"/>
  <c r="M728" i="53"/>
  <c r="P727" i="53"/>
  <c r="M727" i="53"/>
  <c r="P726" i="53"/>
  <c r="M726" i="53"/>
  <c r="P725" i="53"/>
  <c r="M725" i="53"/>
  <c r="P724" i="53"/>
  <c r="M724" i="53"/>
  <c r="M723" i="53"/>
  <c r="P722" i="53"/>
  <c r="M722" i="53"/>
  <c r="P721" i="53"/>
  <c r="M721" i="53"/>
  <c r="P720" i="53"/>
  <c r="P719" i="53"/>
  <c r="M719" i="53"/>
  <c r="P718" i="53"/>
  <c r="M718" i="53"/>
  <c r="P717" i="53"/>
  <c r="M717" i="53"/>
  <c r="M716" i="53"/>
  <c r="M715" i="53"/>
  <c r="P714" i="53"/>
  <c r="M714" i="53"/>
  <c r="P713" i="53"/>
  <c r="M713" i="53"/>
  <c r="M712" i="53"/>
  <c r="P711" i="53"/>
  <c r="M711" i="53"/>
  <c r="M710" i="53"/>
  <c r="P709" i="53"/>
  <c r="P708" i="53"/>
  <c r="P707" i="53"/>
  <c r="P706" i="53"/>
  <c r="M705" i="53"/>
  <c r="M704" i="53"/>
  <c r="P703" i="53"/>
  <c r="M703" i="53"/>
  <c r="P702" i="53"/>
  <c r="M702" i="53"/>
  <c r="P701" i="53"/>
  <c r="M701" i="53"/>
  <c r="P700" i="53"/>
  <c r="M700" i="53"/>
  <c r="P699" i="53"/>
  <c r="M699" i="53"/>
  <c r="P698" i="53"/>
  <c r="M698" i="53"/>
  <c r="P697" i="53"/>
  <c r="P696" i="53"/>
  <c r="P695" i="53"/>
  <c r="P694" i="53"/>
  <c r="P693" i="53"/>
  <c r="P692" i="53"/>
  <c r="M692" i="53"/>
  <c r="M691" i="53"/>
  <c r="P690" i="53"/>
  <c r="M690" i="53"/>
  <c r="P689" i="53"/>
  <c r="M689" i="53"/>
  <c r="P688" i="53"/>
  <c r="M688" i="53"/>
  <c r="P687" i="53"/>
  <c r="M687" i="53"/>
  <c r="M686" i="53"/>
  <c r="M685" i="53"/>
  <c r="P684" i="53"/>
  <c r="M684" i="53"/>
  <c r="P683" i="53"/>
  <c r="M683" i="53"/>
  <c r="P682" i="53"/>
  <c r="M682" i="53"/>
  <c r="P681" i="53"/>
  <c r="M681" i="53"/>
  <c r="P680" i="53"/>
  <c r="M680" i="53"/>
  <c r="P679" i="53"/>
  <c r="M679" i="53"/>
  <c r="P678" i="53"/>
  <c r="M678" i="53"/>
  <c r="P677" i="53"/>
  <c r="M677" i="53"/>
  <c r="P676" i="53"/>
  <c r="M676" i="53"/>
  <c r="M675" i="53"/>
  <c r="P674" i="53"/>
  <c r="M674" i="53"/>
  <c r="P673" i="53"/>
  <c r="M673" i="53"/>
  <c r="P672" i="53"/>
  <c r="M672" i="53"/>
  <c r="P671" i="53"/>
  <c r="M671" i="53"/>
  <c r="P670" i="53"/>
  <c r="M670" i="53"/>
  <c r="P669" i="53"/>
  <c r="M669" i="53"/>
  <c r="P668" i="53"/>
  <c r="M668" i="53"/>
  <c r="P667" i="53"/>
  <c r="M667" i="53"/>
  <c r="P666" i="53"/>
  <c r="M666" i="53"/>
  <c r="P665" i="53"/>
  <c r="M665" i="53"/>
  <c r="M664" i="53"/>
  <c r="P663" i="53"/>
  <c r="M663" i="53"/>
  <c r="P662" i="53"/>
  <c r="M662" i="53"/>
  <c r="M661" i="53"/>
  <c r="M660" i="53"/>
  <c r="P659" i="53"/>
  <c r="M659" i="53"/>
  <c r="P658" i="53"/>
  <c r="M658" i="53"/>
  <c r="P657" i="53"/>
  <c r="M657" i="53"/>
  <c r="P656" i="53"/>
  <c r="M656" i="53"/>
  <c r="P655" i="53"/>
  <c r="M655" i="53"/>
  <c r="M654" i="53"/>
  <c r="M653" i="53"/>
  <c r="M652" i="53"/>
  <c r="P651" i="53"/>
  <c r="M651" i="53"/>
  <c r="P650" i="53"/>
  <c r="M650" i="53"/>
  <c r="P648" i="53"/>
  <c r="M648" i="53"/>
  <c r="P647" i="53"/>
  <c r="M647" i="53"/>
  <c r="E640" i="53"/>
  <c r="E567" i="53"/>
  <c r="P566" i="53"/>
  <c r="M566" i="53"/>
  <c r="P565" i="53"/>
  <c r="M565" i="53"/>
  <c r="P564" i="53"/>
  <c r="M564" i="53"/>
  <c r="P563" i="53"/>
  <c r="M563" i="53"/>
  <c r="P562" i="53"/>
  <c r="M562" i="53"/>
  <c r="P561" i="53"/>
  <c r="M561" i="53"/>
  <c r="P560" i="53"/>
  <c r="M560" i="53"/>
  <c r="P559" i="53"/>
  <c r="M559" i="53"/>
  <c r="P558" i="53"/>
  <c r="M558" i="53"/>
  <c r="P557" i="53"/>
  <c r="M557" i="53"/>
  <c r="P556" i="53"/>
  <c r="M556" i="53"/>
  <c r="P555" i="53"/>
  <c r="M555" i="53"/>
  <c r="P554" i="53"/>
  <c r="M554" i="53"/>
  <c r="P553" i="53"/>
  <c r="M553" i="53"/>
  <c r="P552" i="53"/>
  <c r="M552" i="53"/>
  <c r="P551" i="53"/>
  <c r="M551" i="53"/>
  <c r="P545" i="53"/>
  <c r="M545" i="53"/>
  <c r="P507" i="53"/>
  <c r="E494" i="53"/>
  <c r="E495" i="53" s="1"/>
  <c r="P480" i="53"/>
  <c r="M480" i="53"/>
  <c r="P479" i="53"/>
  <c r="M479" i="53"/>
  <c r="P478" i="53"/>
  <c r="M478" i="53"/>
  <c r="P477" i="53"/>
  <c r="M477" i="53"/>
  <c r="P476" i="53"/>
  <c r="M476" i="53"/>
  <c r="P475" i="53"/>
  <c r="M475" i="53"/>
  <c r="P474" i="53"/>
  <c r="M474" i="53"/>
  <c r="P473" i="53"/>
  <c r="M473" i="53"/>
  <c r="P472" i="53"/>
  <c r="M472" i="53"/>
  <c r="P471" i="53"/>
  <c r="M471" i="53"/>
  <c r="P470" i="53"/>
  <c r="M470" i="53"/>
  <c r="P469" i="53"/>
  <c r="M469" i="53"/>
  <c r="P468" i="53"/>
  <c r="M468" i="53"/>
  <c r="P467" i="53"/>
  <c r="M467" i="53"/>
  <c r="P466" i="53"/>
  <c r="M466" i="53"/>
  <c r="P465" i="53"/>
  <c r="M465" i="53"/>
  <c r="P464" i="53"/>
  <c r="M464" i="53"/>
  <c r="P463" i="53"/>
  <c r="M463" i="53"/>
  <c r="P462" i="53"/>
  <c r="M462" i="53"/>
  <c r="P461" i="53"/>
  <c r="M461" i="53"/>
  <c r="P460" i="53"/>
  <c r="M460" i="53"/>
  <c r="P459" i="53"/>
  <c r="M459" i="53"/>
  <c r="P458" i="53"/>
  <c r="M458" i="53"/>
  <c r="P457" i="53"/>
  <c r="M457" i="53"/>
  <c r="P456" i="53"/>
  <c r="M456" i="53"/>
  <c r="P455" i="53"/>
  <c r="M455" i="53"/>
  <c r="P454" i="53"/>
  <c r="M454" i="53"/>
  <c r="P453" i="53"/>
  <c r="M453" i="53"/>
  <c r="P452" i="53"/>
  <c r="M452" i="53"/>
  <c r="P451" i="53"/>
  <c r="M451" i="53"/>
  <c r="P450" i="53"/>
  <c r="M450" i="53"/>
  <c r="P449" i="53"/>
  <c r="M449" i="53"/>
  <c r="P448" i="53"/>
  <c r="M448" i="53"/>
  <c r="P447" i="53"/>
  <c r="M447" i="53"/>
  <c r="P446" i="53"/>
  <c r="M446" i="53"/>
  <c r="P445" i="53"/>
  <c r="M445" i="53"/>
  <c r="P444" i="53"/>
  <c r="M444" i="53"/>
  <c r="P443" i="53"/>
  <c r="M443" i="53"/>
  <c r="P442" i="53"/>
  <c r="M442" i="53"/>
  <c r="E434" i="53"/>
  <c r="P432" i="53"/>
  <c r="P431" i="53"/>
  <c r="P430" i="53"/>
  <c r="P429" i="53"/>
  <c r="P428" i="53"/>
  <c r="P427" i="53"/>
  <c r="P426" i="53"/>
  <c r="P425" i="53"/>
  <c r="P424" i="53"/>
  <c r="P423" i="53"/>
  <c r="P422" i="53"/>
  <c r="P421" i="53"/>
  <c r="P420" i="53"/>
  <c r="P419" i="53"/>
  <c r="P418" i="53"/>
  <c r="P417" i="53"/>
  <c r="P416" i="53"/>
  <c r="P415" i="53"/>
  <c r="P414" i="53"/>
  <c r="P413" i="53"/>
  <c r="P412" i="53"/>
  <c r="P411" i="53"/>
  <c r="P410" i="53"/>
  <c r="P409" i="53"/>
  <c r="P408" i="53"/>
  <c r="P407" i="53"/>
  <c r="P406" i="53"/>
  <c r="M405" i="53"/>
  <c r="M404" i="53"/>
  <c r="M403" i="53"/>
  <c r="M402" i="53"/>
  <c r="M401" i="53"/>
  <c r="M400" i="53"/>
  <c r="M399" i="53"/>
  <c r="M398" i="53"/>
  <c r="M397" i="53"/>
  <c r="M396" i="53"/>
  <c r="M395" i="53"/>
  <c r="M394" i="53"/>
  <c r="M393" i="53"/>
  <c r="M392" i="53"/>
  <c r="M391" i="53"/>
  <c r="M390" i="53"/>
  <c r="M389" i="53"/>
  <c r="M388" i="53"/>
  <c r="M387" i="53"/>
  <c r="M386" i="53"/>
  <c r="M385" i="53"/>
  <c r="M384" i="53"/>
  <c r="M383" i="53"/>
  <c r="M382" i="53"/>
  <c r="M381" i="53"/>
  <c r="M380" i="53"/>
  <c r="M379" i="53"/>
  <c r="M378" i="53"/>
  <c r="M377" i="53"/>
  <c r="M376" i="53"/>
  <c r="M375" i="53"/>
  <c r="M374" i="53"/>
  <c r="M373" i="53"/>
  <c r="M372" i="53"/>
  <c r="M371" i="53"/>
  <c r="M370" i="53"/>
  <c r="M369" i="53"/>
  <c r="M368" i="53"/>
  <c r="M367" i="53"/>
  <c r="M366" i="53"/>
  <c r="M365" i="53"/>
  <c r="M364" i="53"/>
  <c r="M363" i="53"/>
  <c r="M362" i="53"/>
  <c r="M361" i="53"/>
  <c r="M360" i="53"/>
  <c r="E358" i="53"/>
  <c r="P358" i="53" s="1"/>
  <c r="E357" i="53"/>
  <c r="P357" i="53" s="1"/>
  <c r="E356" i="53"/>
  <c r="M356" i="53" s="1"/>
  <c r="E355" i="53"/>
  <c r="M355" i="53" s="1"/>
  <c r="E347" i="53"/>
  <c r="P346" i="53"/>
  <c r="P345" i="53"/>
  <c r="P344" i="53"/>
  <c r="M344" i="53"/>
  <c r="P343" i="53"/>
  <c r="P342" i="53"/>
  <c r="P341" i="53"/>
  <c r="M341" i="53"/>
  <c r="P340" i="53"/>
  <c r="M340" i="53"/>
  <c r="P339" i="53"/>
  <c r="P338" i="53"/>
  <c r="P337" i="53"/>
  <c r="M337" i="53"/>
  <c r="P336" i="53"/>
  <c r="M336" i="53"/>
  <c r="P335" i="53"/>
  <c r="M335" i="53"/>
  <c r="P334" i="53"/>
  <c r="M334" i="53"/>
  <c r="P333" i="53"/>
  <c r="P332" i="53"/>
  <c r="M332" i="53"/>
  <c r="P331" i="53"/>
  <c r="M331" i="53"/>
  <c r="P330" i="53"/>
  <c r="M330" i="53"/>
  <c r="P329" i="53"/>
  <c r="M329" i="53"/>
  <c r="E328" i="53"/>
  <c r="P327" i="53"/>
  <c r="M327" i="53"/>
  <c r="P326" i="53"/>
  <c r="M326" i="53"/>
  <c r="P325" i="53"/>
  <c r="M325" i="53"/>
  <c r="P324" i="53"/>
  <c r="M324" i="53"/>
  <c r="P323" i="53"/>
  <c r="M323" i="53"/>
  <c r="P322" i="53"/>
  <c r="M322" i="53"/>
  <c r="P321" i="53"/>
  <c r="M321" i="53"/>
  <c r="P320" i="53"/>
  <c r="M320" i="53"/>
  <c r="P319" i="53"/>
  <c r="M319" i="53"/>
  <c r="P318" i="53"/>
  <c r="M318" i="53"/>
  <c r="P317" i="53"/>
  <c r="M317" i="53"/>
  <c r="P316" i="53"/>
  <c r="M316" i="53"/>
  <c r="P315" i="53"/>
  <c r="M315" i="53"/>
  <c r="P314" i="53"/>
  <c r="M314" i="53"/>
  <c r="P313" i="53"/>
  <c r="M313" i="53"/>
  <c r="P312" i="53"/>
  <c r="M312" i="53"/>
  <c r="P311" i="53"/>
  <c r="M311" i="53"/>
  <c r="P310" i="53"/>
  <c r="M310" i="53"/>
  <c r="P309" i="53"/>
  <c r="M309" i="53"/>
  <c r="P308" i="53"/>
  <c r="M308" i="53"/>
  <c r="P307" i="53"/>
  <c r="M307" i="53"/>
  <c r="P306" i="53"/>
  <c r="M306" i="53"/>
  <c r="P305" i="53"/>
  <c r="M305" i="53"/>
  <c r="P304" i="53"/>
  <c r="M304" i="53"/>
  <c r="L298" i="53"/>
  <c r="K298" i="53"/>
  <c r="E298" i="53"/>
  <c r="P297" i="53"/>
  <c r="P296" i="53"/>
  <c r="P295" i="53"/>
  <c r="P294" i="53"/>
  <c r="P293" i="53"/>
  <c r="M293" i="53"/>
  <c r="P292" i="53"/>
  <c r="M291" i="53"/>
  <c r="P290" i="53"/>
  <c r="M290" i="53"/>
  <c r="P288" i="53"/>
  <c r="M288" i="53"/>
  <c r="M287" i="53"/>
  <c r="L287" i="53"/>
  <c r="L299" i="53" s="1"/>
  <c r="K287" i="53"/>
  <c r="K299" i="53" s="1"/>
  <c r="E287" i="53"/>
  <c r="E299" i="53" s="1"/>
  <c r="E277" i="53"/>
  <c r="P275" i="53"/>
  <c r="M275" i="53"/>
  <c r="K275" i="53"/>
  <c r="G275" i="53"/>
  <c r="P274" i="53"/>
  <c r="M274" i="53"/>
  <c r="K274" i="53"/>
  <c r="G274" i="53"/>
  <c r="P273" i="53"/>
  <c r="M273" i="53"/>
  <c r="K273" i="53"/>
  <c r="G273" i="53"/>
  <c r="P272" i="53"/>
  <c r="M272" i="53"/>
  <c r="K272" i="53"/>
  <c r="G272" i="53"/>
  <c r="P271" i="53"/>
  <c r="M271" i="53"/>
  <c r="K271" i="53"/>
  <c r="G271" i="53"/>
  <c r="P270" i="53"/>
  <c r="M270" i="53"/>
  <c r="K270" i="53"/>
  <c r="G270" i="53"/>
  <c r="P269" i="53"/>
  <c r="M269" i="53"/>
  <c r="K269" i="53"/>
  <c r="G269" i="53"/>
  <c r="P268" i="53"/>
  <c r="M268" i="53"/>
  <c r="K268" i="53"/>
  <c r="G268" i="53"/>
  <c r="P267" i="53"/>
  <c r="M267" i="53"/>
  <c r="K267" i="53"/>
  <c r="G267" i="53"/>
  <c r="P266" i="53"/>
  <c r="M266" i="53"/>
  <c r="K266" i="53"/>
  <c r="G266" i="53"/>
  <c r="P265" i="53"/>
  <c r="M265" i="53"/>
  <c r="K265" i="53"/>
  <c r="G265" i="53"/>
  <c r="P264" i="53"/>
  <c r="M264" i="53"/>
  <c r="K264" i="53"/>
  <c r="G264" i="53"/>
  <c r="P263" i="53"/>
  <c r="M263" i="53"/>
  <c r="K263" i="53"/>
  <c r="G263" i="53"/>
  <c r="P262" i="53"/>
  <c r="M262" i="53"/>
  <c r="K262" i="53"/>
  <c r="G262" i="53"/>
  <c r="P261" i="53"/>
  <c r="M261" i="53"/>
  <c r="K261" i="53"/>
  <c r="G261" i="53"/>
  <c r="P260" i="53"/>
  <c r="M260" i="53"/>
  <c r="K260" i="53"/>
  <c r="G260" i="53"/>
  <c r="P259" i="53"/>
  <c r="M259" i="53"/>
  <c r="K259" i="53"/>
  <c r="G259" i="53"/>
  <c r="P258" i="53"/>
  <c r="M258" i="53"/>
  <c r="K258" i="53"/>
  <c r="G258" i="53"/>
  <c r="P257" i="53"/>
  <c r="M257" i="53"/>
  <c r="K257" i="53"/>
  <c r="G257" i="53"/>
  <c r="P256" i="53"/>
  <c r="M256" i="53"/>
  <c r="K256" i="53"/>
  <c r="G256" i="53"/>
  <c r="P255" i="53"/>
  <c r="M255" i="53"/>
  <c r="K255" i="53"/>
  <c r="G255" i="53"/>
  <c r="P254" i="53"/>
  <c r="M254" i="53"/>
  <c r="K254" i="53"/>
  <c r="G254" i="53"/>
  <c r="P253" i="53"/>
  <c r="M253" i="53"/>
  <c r="K253" i="53"/>
  <c r="G253" i="53"/>
  <c r="P252" i="53"/>
  <c r="M252" i="53"/>
  <c r="K252" i="53"/>
  <c r="G252" i="53"/>
  <c r="P251" i="53"/>
  <c r="M251" i="53"/>
  <c r="K251" i="53"/>
  <c r="G251" i="53"/>
  <c r="P250" i="53"/>
  <c r="M250" i="53"/>
  <c r="K250" i="53"/>
  <c r="G250" i="53"/>
  <c r="P249" i="53"/>
  <c r="M249" i="53"/>
  <c r="K249" i="53"/>
  <c r="G249" i="53"/>
  <c r="P248" i="53"/>
  <c r="M248" i="53"/>
  <c r="K248" i="53"/>
  <c r="G248" i="53"/>
  <c r="P247" i="53"/>
  <c r="M247" i="53"/>
  <c r="K247" i="53"/>
  <c r="G247" i="53"/>
  <c r="P246" i="53"/>
  <c r="M246" i="53"/>
  <c r="K246" i="53"/>
  <c r="G246" i="53"/>
  <c r="P245" i="53"/>
  <c r="M245" i="53"/>
  <c r="K245" i="53"/>
  <c r="G245" i="53"/>
  <c r="P244" i="53"/>
  <c r="M244" i="53"/>
  <c r="K244" i="53"/>
  <c r="G244" i="53"/>
  <c r="P243" i="53"/>
  <c r="M243" i="53"/>
  <c r="K243" i="53"/>
  <c r="G243" i="53"/>
  <c r="P242" i="53"/>
  <c r="M242" i="53"/>
  <c r="K242" i="53"/>
  <c r="G242" i="53"/>
  <c r="P241" i="53"/>
  <c r="M241" i="53"/>
  <c r="K241" i="53"/>
  <c r="G241" i="53"/>
  <c r="P240" i="53"/>
  <c r="M240" i="53"/>
  <c r="K240" i="53"/>
  <c r="G240" i="53"/>
  <c r="P239" i="53"/>
  <c r="M239" i="53"/>
  <c r="K239" i="53"/>
  <c r="G239" i="53"/>
  <c r="P238" i="53"/>
  <c r="M238" i="53"/>
  <c r="K238" i="53"/>
  <c r="G238" i="53"/>
  <c r="P237" i="53"/>
  <c r="M237" i="53"/>
  <c r="K237" i="53"/>
  <c r="G237" i="53"/>
  <c r="P236" i="53"/>
  <c r="M236" i="53"/>
  <c r="K236" i="53"/>
  <c r="G236" i="53"/>
  <c r="P235" i="53"/>
  <c r="M235" i="53"/>
  <c r="K235" i="53"/>
  <c r="G235" i="53"/>
  <c r="P234" i="53"/>
  <c r="P277" i="53" s="1"/>
  <c r="M234" i="53"/>
  <c r="M277" i="53" s="1"/>
  <c r="K234" i="53"/>
  <c r="G234" i="53"/>
  <c r="E233" i="53"/>
  <c r="E278" i="53" s="1"/>
  <c r="P232" i="53"/>
  <c r="M232" i="53"/>
  <c r="K232" i="53"/>
  <c r="G232" i="53"/>
  <c r="P231" i="53"/>
  <c r="M231" i="53"/>
  <c r="K231" i="53"/>
  <c r="G231" i="53"/>
  <c r="P230" i="53"/>
  <c r="M230" i="53"/>
  <c r="K230" i="53"/>
  <c r="G230" i="53"/>
  <c r="P229" i="53"/>
  <c r="M229" i="53"/>
  <c r="K229" i="53"/>
  <c r="G229" i="53"/>
  <c r="P228" i="53"/>
  <c r="M228" i="53"/>
  <c r="K228" i="53"/>
  <c r="G228" i="53"/>
  <c r="P227" i="53"/>
  <c r="M227" i="53"/>
  <c r="K227" i="53"/>
  <c r="G227" i="53"/>
  <c r="P226" i="53"/>
  <c r="M226" i="53"/>
  <c r="K226" i="53"/>
  <c r="G226" i="53"/>
  <c r="P225" i="53"/>
  <c r="M225" i="53"/>
  <c r="K225" i="53"/>
  <c r="G225" i="53"/>
  <c r="P224" i="53"/>
  <c r="M224" i="53"/>
  <c r="K224" i="53"/>
  <c r="G224" i="53"/>
  <c r="P223" i="53"/>
  <c r="M223" i="53"/>
  <c r="K223" i="53"/>
  <c r="G223" i="53"/>
  <c r="P222" i="53"/>
  <c r="M222" i="53"/>
  <c r="K222" i="53"/>
  <c r="G222" i="53"/>
  <c r="P221" i="53"/>
  <c r="M221" i="53"/>
  <c r="K221" i="53"/>
  <c r="G221" i="53"/>
  <c r="P220" i="53"/>
  <c r="M220" i="53"/>
  <c r="K220" i="53"/>
  <c r="G220" i="53"/>
  <c r="P219" i="53"/>
  <c r="M219" i="53"/>
  <c r="K219" i="53"/>
  <c r="G219" i="53"/>
  <c r="P218" i="53"/>
  <c r="M218" i="53"/>
  <c r="K218" i="53"/>
  <c r="G218" i="53"/>
  <c r="P217" i="53"/>
  <c r="M217" i="53"/>
  <c r="K217" i="53"/>
  <c r="G217" i="53"/>
  <c r="P216" i="53"/>
  <c r="M216" i="53"/>
  <c r="K216" i="53"/>
  <c r="G216" i="53"/>
  <c r="P215" i="53"/>
  <c r="M215" i="53"/>
  <c r="K215" i="53"/>
  <c r="G215" i="53"/>
  <c r="P214" i="53"/>
  <c r="M214" i="53"/>
  <c r="K214" i="53"/>
  <c r="G214" i="53"/>
  <c r="P213" i="53"/>
  <c r="M213" i="53"/>
  <c r="K213" i="53"/>
  <c r="G213" i="53"/>
  <c r="P212" i="53"/>
  <c r="M212" i="53"/>
  <c r="K212" i="53"/>
  <c r="G212" i="53"/>
  <c r="P211" i="53"/>
  <c r="M211" i="53"/>
  <c r="K211" i="53"/>
  <c r="G211" i="53"/>
  <c r="P210" i="53"/>
  <c r="M210" i="53"/>
  <c r="K210" i="53"/>
  <c r="G210" i="53"/>
  <c r="P209" i="53"/>
  <c r="M209" i="53"/>
  <c r="K209" i="53"/>
  <c r="G209" i="53"/>
  <c r="P208" i="53"/>
  <c r="M208" i="53"/>
  <c r="K208" i="53"/>
  <c r="G208" i="53"/>
  <c r="P207" i="53"/>
  <c r="M207" i="53"/>
  <c r="K207" i="53"/>
  <c r="G207" i="53"/>
  <c r="P206" i="53"/>
  <c r="M206" i="53"/>
  <c r="K206" i="53"/>
  <c r="G206" i="53"/>
  <c r="P205" i="53"/>
  <c r="M205" i="53"/>
  <c r="K205" i="53"/>
  <c r="G205" i="53"/>
  <c r="P204" i="53"/>
  <c r="M204" i="53"/>
  <c r="K204" i="53"/>
  <c r="G204" i="53"/>
  <c r="P203" i="53"/>
  <c r="M203" i="53"/>
  <c r="K203" i="53"/>
  <c r="G203" i="53"/>
  <c r="P202" i="53"/>
  <c r="M202" i="53"/>
  <c r="K202" i="53"/>
  <c r="G202" i="53"/>
  <c r="P201" i="53"/>
  <c r="M201" i="53"/>
  <c r="K201" i="53"/>
  <c r="G201" i="53"/>
  <c r="P200" i="53"/>
  <c r="M200" i="53"/>
  <c r="K200" i="53"/>
  <c r="G200" i="53"/>
  <c r="P199" i="53"/>
  <c r="M199" i="53"/>
  <c r="K199" i="53"/>
  <c r="G199" i="53"/>
  <c r="P198" i="53"/>
  <c r="M198" i="53"/>
  <c r="K198" i="53"/>
  <c r="G198" i="53"/>
  <c r="P197" i="53"/>
  <c r="M197" i="53"/>
  <c r="K197" i="53"/>
  <c r="G197" i="53"/>
  <c r="P196" i="53"/>
  <c r="M196" i="53"/>
  <c r="K196" i="53"/>
  <c r="G196" i="53"/>
  <c r="P195" i="53"/>
  <c r="M195" i="53"/>
  <c r="K195" i="53"/>
  <c r="G195" i="53"/>
  <c r="P194" i="53"/>
  <c r="M194" i="53"/>
  <c r="K194" i="53"/>
  <c r="G194" i="53"/>
  <c r="P193" i="53"/>
  <c r="M193" i="53"/>
  <c r="K193" i="53"/>
  <c r="G193" i="53"/>
  <c r="P192" i="53"/>
  <c r="M192" i="53"/>
  <c r="K192" i="53"/>
  <c r="G192" i="53"/>
  <c r="P191" i="53"/>
  <c r="M191" i="53"/>
  <c r="K191" i="53"/>
  <c r="G191" i="53"/>
  <c r="P190" i="53"/>
  <c r="M190" i="53"/>
  <c r="K190" i="53"/>
  <c r="G190" i="53"/>
  <c r="P189" i="53"/>
  <c r="M189" i="53"/>
  <c r="K189" i="53"/>
  <c r="G189" i="53"/>
  <c r="P188" i="53"/>
  <c r="M188" i="53"/>
  <c r="K188" i="53"/>
  <c r="G188" i="53"/>
  <c r="P187" i="53"/>
  <c r="M187" i="53"/>
  <c r="K187" i="53"/>
  <c r="G187" i="53"/>
  <c r="P186" i="53"/>
  <c r="M186" i="53"/>
  <c r="K186" i="53"/>
  <c r="G186" i="53"/>
  <c r="P185" i="53"/>
  <c r="M185" i="53"/>
  <c r="K185" i="53"/>
  <c r="G185" i="53"/>
  <c r="P184" i="53"/>
  <c r="M184" i="53"/>
  <c r="K184" i="53"/>
  <c r="G184" i="53"/>
  <c r="P183" i="53"/>
  <c r="M183" i="53"/>
  <c r="K183" i="53"/>
  <c r="G183" i="53"/>
  <c r="P182" i="53"/>
  <c r="M182" i="53"/>
  <c r="K182" i="53"/>
  <c r="G182" i="53"/>
  <c r="P181" i="53"/>
  <c r="M181" i="53"/>
  <c r="K181" i="53"/>
  <c r="G181" i="53"/>
  <c r="P180" i="53"/>
  <c r="M180" i="53"/>
  <c r="K180" i="53"/>
  <c r="G180" i="53"/>
  <c r="P179" i="53"/>
  <c r="M179" i="53"/>
  <c r="K179" i="53"/>
  <c r="G179" i="53"/>
  <c r="P178" i="53"/>
  <c r="M178" i="53"/>
  <c r="K178" i="53"/>
  <c r="G178" i="53"/>
  <c r="P177" i="53"/>
  <c r="M177" i="53"/>
  <c r="K177" i="53"/>
  <c r="G177" i="53"/>
  <c r="P176" i="53"/>
  <c r="M176" i="53"/>
  <c r="K176" i="53"/>
  <c r="G176" i="53"/>
  <c r="P175" i="53"/>
  <c r="M175" i="53"/>
  <c r="K175" i="53"/>
  <c r="G175" i="53"/>
  <c r="P174" i="53"/>
  <c r="M174" i="53"/>
  <c r="K174" i="53"/>
  <c r="G174" i="53"/>
  <c r="P173" i="53"/>
  <c r="M173" i="53"/>
  <c r="K173" i="53"/>
  <c r="G173" i="53"/>
  <c r="P172" i="53"/>
  <c r="M172" i="53"/>
  <c r="K172" i="53"/>
  <c r="G172" i="53"/>
  <c r="P171" i="53"/>
  <c r="M171" i="53"/>
  <c r="K171" i="53"/>
  <c r="G171" i="53"/>
  <c r="P170" i="53"/>
  <c r="M170" i="53"/>
  <c r="K170" i="53"/>
  <c r="G170" i="53"/>
  <c r="P169" i="53"/>
  <c r="M169" i="53"/>
  <c r="K169" i="53"/>
  <c r="G169" i="53"/>
  <c r="P168" i="53"/>
  <c r="M168" i="53"/>
  <c r="K168" i="53"/>
  <c r="G168" i="53"/>
  <c r="P167" i="53"/>
  <c r="M167" i="53"/>
  <c r="K167" i="53"/>
  <c r="G167" i="53"/>
  <c r="P166" i="53"/>
  <c r="M166" i="53"/>
  <c r="K166" i="53"/>
  <c r="G166" i="53"/>
  <c r="P165" i="53"/>
  <c r="M165" i="53"/>
  <c r="K165" i="53"/>
  <c r="G165" i="53"/>
  <c r="P164" i="53"/>
  <c r="M164" i="53"/>
  <c r="K164" i="53"/>
  <c r="G164" i="53"/>
  <c r="P163" i="53"/>
  <c r="M163" i="53"/>
  <c r="K163" i="53"/>
  <c r="G163" i="53"/>
  <c r="P162" i="53"/>
  <c r="M162" i="53"/>
  <c r="K162" i="53"/>
  <c r="G162" i="53"/>
  <c r="P161" i="53"/>
  <c r="M161" i="53"/>
  <c r="K161" i="53"/>
  <c r="G161" i="53"/>
  <c r="P160" i="53"/>
  <c r="M160" i="53"/>
  <c r="K160" i="53"/>
  <c r="G160" i="53"/>
  <c r="P159" i="53"/>
  <c r="M159" i="53"/>
  <c r="K159" i="53"/>
  <c r="G159" i="53"/>
  <c r="P158" i="53"/>
  <c r="M158" i="53"/>
  <c r="K158" i="53"/>
  <c r="G158" i="53"/>
  <c r="P157" i="53"/>
  <c r="M157" i="53"/>
  <c r="K157" i="53"/>
  <c r="G157" i="53"/>
  <c r="P156" i="53"/>
  <c r="M156" i="53"/>
  <c r="K156" i="53"/>
  <c r="G156" i="53"/>
  <c r="P155" i="53"/>
  <c r="M155" i="53"/>
  <c r="K155" i="53"/>
  <c r="G155" i="53"/>
  <c r="P154" i="53"/>
  <c r="M154" i="53"/>
  <c r="K154" i="53"/>
  <c r="G154" i="53"/>
  <c r="P153" i="53"/>
  <c r="M153" i="53"/>
  <c r="K153" i="53"/>
  <c r="G153" i="53"/>
  <c r="P152" i="53"/>
  <c r="M152" i="53"/>
  <c r="K152" i="53"/>
  <c r="G152" i="53"/>
  <c r="P151" i="53"/>
  <c r="M151" i="53"/>
  <c r="K151" i="53"/>
  <c r="G151" i="53"/>
  <c r="P150" i="53"/>
  <c r="M150" i="53"/>
  <c r="K150" i="53"/>
  <c r="G150" i="53"/>
  <c r="P149" i="53"/>
  <c r="M149" i="53"/>
  <c r="K149" i="53"/>
  <c r="G149" i="53"/>
  <c r="P148" i="53"/>
  <c r="M148" i="53"/>
  <c r="K148" i="53"/>
  <c r="G148" i="53"/>
  <c r="P147" i="53"/>
  <c r="M147" i="53"/>
  <c r="K147" i="53"/>
  <c r="G147" i="53"/>
  <c r="P146" i="53"/>
  <c r="M146" i="53"/>
  <c r="K146" i="53"/>
  <c r="G146" i="53"/>
  <c r="P145" i="53"/>
  <c r="M145" i="53"/>
  <c r="K145" i="53"/>
  <c r="G145" i="53"/>
  <c r="P144" i="53"/>
  <c r="M144" i="53"/>
  <c r="K144" i="53"/>
  <c r="G144" i="53"/>
  <c r="P143" i="53"/>
  <c r="M143" i="53"/>
  <c r="K143" i="53"/>
  <c r="G143" i="53"/>
  <c r="P142" i="53"/>
  <c r="M142" i="53"/>
  <c r="K142" i="53"/>
  <c r="G142" i="53"/>
  <c r="P141" i="53"/>
  <c r="M141" i="53"/>
  <c r="K141" i="53"/>
  <c r="G141" i="53"/>
  <c r="P140" i="53"/>
  <c r="M140" i="53"/>
  <c r="K140" i="53"/>
  <c r="G140" i="53"/>
  <c r="P139" i="53"/>
  <c r="M139" i="53"/>
  <c r="K139" i="53"/>
  <c r="G139" i="53"/>
  <c r="P138" i="53"/>
  <c r="M138" i="53"/>
  <c r="K138" i="53"/>
  <c r="G138" i="53"/>
  <c r="P137" i="53"/>
  <c r="M137" i="53"/>
  <c r="K137" i="53"/>
  <c r="G137" i="53"/>
  <c r="P136" i="53"/>
  <c r="M136" i="53"/>
  <c r="K136" i="53"/>
  <c r="G136" i="53"/>
  <c r="P135" i="53"/>
  <c r="M135" i="53"/>
  <c r="K135" i="53"/>
  <c r="G135" i="53"/>
  <c r="P134" i="53"/>
  <c r="M134" i="53"/>
  <c r="K134" i="53"/>
  <c r="G134" i="53"/>
  <c r="P133" i="53"/>
  <c r="M133" i="53"/>
  <c r="K133" i="53"/>
  <c r="G133" i="53"/>
  <c r="P132" i="53"/>
  <c r="M132" i="53"/>
  <c r="K132" i="53"/>
  <c r="G132" i="53"/>
  <c r="P131" i="53"/>
  <c r="M131" i="53"/>
  <c r="K131" i="53"/>
  <c r="G131" i="53"/>
  <c r="P130" i="53"/>
  <c r="M130" i="53"/>
  <c r="K130" i="53"/>
  <c r="G130" i="53"/>
  <c r="P129" i="53"/>
  <c r="M129" i="53"/>
  <c r="K129" i="53"/>
  <c r="G129" i="53"/>
  <c r="P128" i="53"/>
  <c r="M128" i="53"/>
  <c r="K128" i="53"/>
  <c r="G128" i="53"/>
  <c r="P127" i="53"/>
  <c r="M127" i="53"/>
  <c r="K127" i="53"/>
  <c r="G127" i="53"/>
  <c r="P126" i="53"/>
  <c r="M126" i="53"/>
  <c r="K126" i="53"/>
  <c r="G126" i="53"/>
  <c r="P125" i="53"/>
  <c r="M125" i="53"/>
  <c r="K125" i="53"/>
  <c r="G125" i="53"/>
  <c r="P124" i="53"/>
  <c r="M124" i="53"/>
  <c r="K124" i="53"/>
  <c r="G124" i="53"/>
  <c r="P123" i="53"/>
  <c r="M123" i="53"/>
  <c r="K123" i="53"/>
  <c r="G123" i="53"/>
  <c r="P122" i="53"/>
  <c r="M122" i="53"/>
  <c r="K122" i="53"/>
  <c r="G122" i="53"/>
  <c r="P121" i="53"/>
  <c r="M121" i="53"/>
  <c r="K121" i="53"/>
  <c r="G121" i="53"/>
  <c r="P120" i="53"/>
  <c r="M120" i="53"/>
  <c r="K120" i="53"/>
  <c r="G120" i="53"/>
  <c r="P119" i="53"/>
  <c r="M119" i="53"/>
  <c r="K119" i="53"/>
  <c r="G119" i="53"/>
  <c r="P118" i="53"/>
  <c r="M118" i="53"/>
  <c r="K118" i="53"/>
  <c r="G118" i="53"/>
  <c r="P117" i="53"/>
  <c r="M117" i="53"/>
  <c r="K117" i="53"/>
  <c r="G117" i="53"/>
  <c r="P116" i="53"/>
  <c r="M116" i="53"/>
  <c r="K116" i="53"/>
  <c r="G116" i="53"/>
  <c r="P115" i="53"/>
  <c r="M115" i="53"/>
  <c r="K115" i="53"/>
  <c r="G115" i="53"/>
  <c r="P114" i="53"/>
  <c r="M114" i="53"/>
  <c r="K114" i="53"/>
  <c r="G114" i="53"/>
  <c r="P113" i="53"/>
  <c r="M113" i="53"/>
  <c r="K113" i="53"/>
  <c r="G113" i="53"/>
  <c r="P112" i="53"/>
  <c r="M112" i="53"/>
  <c r="K112" i="53"/>
  <c r="G112" i="53"/>
  <c r="P111" i="53"/>
  <c r="M111" i="53"/>
  <c r="K111" i="53"/>
  <c r="G111" i="53"/>
  <c r="P110" i="53"/>
  <c r="M110" i="53"/>
  <c r="K110" i="53"/>
  <c r="G110" i="53"/>
  <c r="P109" i="53"/>
  <c r="M109" i="53"/>
  <c r="K109" i="53"/>
  <c r="G109" i="53"/>
  <c r="P108" i="53"/>
  <c r="M108" i="53"/>
  <c r="K108" i="53"/>
  <c r="G108" i="53"/>
  <c r="P107" i="53"/>
  <c r="M107" i="53"/>
  <c r="K107" i="53"/>
  <c r="G107" i="53"/>
  <c r="P106" i="53"/>
  <c r="M106" i="53"/>
  <c r="K106" i="53"/>
  <c r="G106" i="53"/>
  <c r="P105" i="53"/>
  <c r="M105" i="53"/>
  <c r="K105" i="53"/>
  <c r="G105" i="53"/>
  <c r="P104" i="53"/>
  <c r="M104" i="53"/>
  <c r="K104" i="53"/>
  <c r="G104" i="53"/>
  <c r="P103" i="53"/>
  <c r="M103" i="53"/>
  <c r="K103" i="53"/>
  <c r="G103" i="53"/>
  <c r="P102" i="53"/>
  <c r="M102" i="53"/>
  <c r="K102" i="53"/>
  <c r="G102" i="53"/>
  <c r="P101" i="53"/>
  <c r="M101" i="53"/>
  <c r="K101" i="53"/>
  <c r="G101" i="53"/>
  <c r="P100" i="53"/>
  <c r="M100" i="53"/>
  <c r="K100" i="53"/>
  <c r="G100" i="53"/>
  <c r="P99" i="53"/>
  <c r="M99" i="53"/>
  <c r="K99" i="53"/>
  <c r="G99" i="53"/>
  <c r="P98" i="53"/>
  <c r="M98" i="53"/>
  <c r="K98" i="53"/>
  <c r="G98" i="53"/>
  <c r="P97" i="53"/>
  <c r="M97" i="53"/>
  <c r="K97" i="53"/>
  <c r="G97" i="53"/>
  <c r="P96" i="53"/>
  <c r="M96" i="53"/>
  <c r="K96" i="53"/>
  <c r="G96" i="53"/>
  <c r="P95" i="53"/>
  <c r="M95" i="53"/>
  <c r="K95" i="53"/>
  <c r="G95" i="53"/>
  <c r="P94" i="53"/>
  <c r="M94" i="53"/>
  <c r="K94" i="53"/>
  <c r="G94" i="53"/>
  <c r="P93" i="53"/>
  <c r="M93" i="53"/>
  <c r="K93" i="53"/>
  <c r="G93" i="53"/>
  <c r="P92" i="53"/>
  <c r="M92" i="53"/>
  <c r="K92" i="53"/>
  <c r="G92" i="53"/>
  <c r="P91" i="53"/>
  <c r="M91" i="53"/>
  <c r="K91" i="53"/>
  <c r="G91" i="53"/>
  <c r="P90" i="53"/>
  <c r="M90" i="53"/>
  <c r="K90" i="53"/>
  <c r="G90" i="53"/>
  <c r="P89" i="53"/>
  <c r="M89" i="53"/>
  <c r="K89" i="53"/>
  <c r="G89" i="53"/>
  <c r="P88" i="53"/>
  <c r="M88" i="53"/>
  <c r="K88" i="53"/>
  <c r="G88" i="53"/>
  <c r="P87" i="53"/>
  <c r="M87" i="53"/>
  <c r="K87" i="53"/>
  <c r="G87" i="53"/>
  <c r="P86" i="53"/>
  <c r="M86" i="53"/>
  <c r="K86" i="53"/>
  <c r="G86" i="53"/>
  <c r="P85" i="53"/>
  <c r="M85" i="53"/>
  <c r="K85" i="53"/>
  <c r="G85" i="53"/>
  <c r="P84" i="53"/>
  <c r="M84" i="53"/>
  <c r="K84" i="53"/>
  <c r="G84" i="53"/>
  <c r="P83" i="53"/>
  <c r="M83" i="53"/>
  <c r="K83" i="53"/>
  <c r="G83" i="53"/>
  <c r="P82" i="53"/>
  <c r="M82" i="53"/>
  <c r="K82" i="53"/>
  <c r="G82" i="53"/>
  <c r="P81" i="53"/>
  <c r="M81" i="53"/>
  <c r="K81" i="53"/>
  <c r="G81" i="53"/>
  <c r="P80" i="53"/>
  <c r="M80" i="53"/>
  <c r="K80" i="53"/>
  <c r="G80" i="53"/>
  <c r="P79" i="53"/>
  <c r="M79" i="53"/>
  <c r="K79" i="53"/>
  <c r="G79" i="53"/>
  <c r="P78" i="53"/>
  <c r="M78" i="53"/>
  <c r="K78" i="53"/>
  <c r="G78" i="53"/>
  <c r="P77" i="53"/>
  <c r="M77" i="53"/>
  <c r="K77" i="53"/>
  <c r="G77" i="53"/>
  <c r="P76" i="53"/>
  <c r="M76" i="53"/>
  <c r="K76" i="53"/>
  <c r="G76" i="53"/>
  <c r="P75" i="53"/>
  <c r="M75" i="53"/>
  <c r="K75" i="53"/>
  <c r="G75" i="53"/>
  <c r="P74" i="53"/>
  <c r="M74" i="53"/>
  <c r="K74" i="53"/>
  <c r="G74" i="53"/>
  <c r="P73" i="53"/>
  <c r="M73" i="53"/>
  <c r="K73" i="53"/>
  <c r="G73" i="53"/>
  <c r="P72" i="53"/>
  <c r="M72" i="53"/>
  <c r="K72" i="53"/>
  <c r="G72" i="53"/>
  <c r="P71" i="53"/>
  <c r="M71" i="53"/>
  <c r="K71" i="53"/>
  <c r="G71" i="53"/>
  <c r="P70" i="53"/>
  <c r="M70" i="53"/>
  <c r="K70" i="53"/>
  <c r="G70" i="53"/>
  <c r="P69" i="53"/>
  <c r="M69" i="53"/>
  <c r="K69" i="53"/>
  <c r="G69" i="53"/>
  <c r="P68" i="53"/>
  <c r="M68" i="53"/>
  <c r="K68" i="53"/>
  <c r="G68" i="53"/>
  <c r="P67" i="53"/>
  <c r="M67" i="53"/>
  <c r="K67" i="53"/>
  <c r="G67" i="53"/>
  <c r="P66" i="53"/>
  <c r="M66" i="53"/>
  <c r="K66" i="53"/>
  <c r="G66" i="53"/>
  <c r="P65" i="53"/>
  <c r="M65" i="53"/>
  <c r="K65" i="53"/>
  <c r="G65" i="53"/>
  <c r="P64" i="53"/>
  <c r="M64" i="53"/>
  <c r="K64" i="53"/>
  <c r="G64" i="53"/>
  <c r="P63" i="53"/>
  <c r="M63" i="53"/>
  <c r="K63" i="53"/>
  <c r="G63" i="53"/>
  <c r="P62" i="53"/>
  <c r="M62" i="53"/>
  <c r="K62" i="53"/>
  <c r="G62" i="53"/>
  <c r="P61" i="53"/>
  <c r="M61" i="53"/>
  <c r="K61" i="53"/>
  <c r="G61" i="53"/>
  <c r="P60" i="53"/>
  <c r="M60" i="53"/>
  <c r="K60" i="53"/>
  <c r="G60" i="53"/>
  <c r="P59" i="53"/>
  <c r="M59" i="53"/>
  <c r="K59" i="53"/>
  <c r="G59" i="53"/>
  <c r="P58" i="53"/>
  <c r="M58" i="53"/>
  <c r="K58" i="53"/>
  <c r="G58" i="53"/>
  <c r="P57" i="53"/>
  <c r="M57" i="53"/>
  <c r="K57" i="53"/>
  <c r="G57" i="53"/>
  <c r="P56" i="53"/>
  <c r="M56" i="53"/>
  <c r="K56" i="53"/>
  <c r="G56" i="53"/>
  <c r="P55" i="53"/>
  <c r="M55" i="53"/>
  <c r="K55" i="53"/>
  <c r="G55" i="53"/>
  <c r="P54" i="53"/>
  <c r="M54" i="53"/>
  <c r="K54" i="53"/>
  <c r="G54" i="53"/>
  <c r="P53" i="53"/>
  <c r="M53" i="53"/>
  <c r="K53" i="53"/>
  <c r="G53" i="53"/>
  <c r="P52" i="53"/>
  <c r="M52" i="53"/>
  <c r="K52" i="53"/>
  <c r="G52" i="53"/>
  <c r="P51" i="53"/>
  <c r="M51" i="53"/>
  <c r="K51" i="53"/>
  <c r="G51" i="53"/>
  <c r="P50" i="53"/>
  <c r="M50" i="53"/>
  <c r="K50" i="53"/>
  <c r="G50" i="53"/>
  <c r="P49" i="53"/>
  <c r="M49" i="53"/>
  <c r="K49" i="53"/>
  <c r="G49" i="53"/>
  <c r="P48" i="53"/>
  <c r="M48" i="53"/>
  <c r="K48" i="53"/>
  <c r="G48" i="53"/>
  <c r="P47" i="53"/>
  <c r="M47" i="53"/>
  <c r="K47" i="53"/>
  <c r="G47" i="53"/>
  <c r="P46" i="53"/>
  <c r="M46" i="53"/>
  <c r="K46" i="53"/>
  <c r="G46" i="53"/>
  <c r="P45" i="53"/>
  <c r="M45" i="53"/>
  <c r="K45" i="53"/>
  <c r="G45" i="53"/>
  <c r="P44" i="53"/>
  <c r="M44" i="53"/>
  <c r="K44" i="53"/>
  <c r="G44" i="53"/>
  <c r="P43" i="53"/>
  <c r="M43" i="53"/>
  <c r="K43" i="53"/>
  <c r="G43" i="53"/>
  <c r="P42" i="53"/>
  <c r="M42" i="53"/>
  <c r="K42" i="53"/>
  <c r="G42" i="53"/>
  <c r="P41" i="53"/>
  <c r="M41" i="53"/>
  <c r="K41" i="53"/>
  <c r="G41" i="53"/>
  <c r="P40" i="53"/>
  <c r="M40" i="53"/>
  <c r="K40" i="53"/>
  <c r="G40" i="53"/>
  <c r="P39" i="53"/>
  <c r="M39" i="53"/>
  <c r="K39" i="53"/>
  <c r="G39" i="53"/>
  <c r="P38" i="53"/>
  <c r="M38" i="53"/>
  <c r="K38" i="53"/>
  <c r="G38" i="53"/>
  <c r="P37" i="53"/>
  <c r="M37" i="53"/>
  <c r="K37" i="53"/>
  <c r="G37" i="53"/>
  <c r="P36" i="53"/>
  <c r="M36" i="53"/>
  <c r="K36" i="53"/>
  <c r="G36" i="53"/>
  <c r="P35" i="53"/>
  <c r="M35" i="53"/>
  <c r="K35" i="53"/>
  <c r="G35" i="53"/>
  <c r="P34" i="53"/>
  <c r="M34" i="53"/>
  <c r="K34" i="53"/>
  <c r="G34" i="53"/>
  <c r="P33" i="53"/>
  <c r="M33" i="53"/>
  <c r="K33" i="53"/>
  <c r="G33" i="53"/>
  <c r="P32" i="53"/>
  <c r="M32" i="53"/>
  <c r="K32" i="53"/>
  <c r="G32" i="53"/>
  <c r="P31" i="53"/>
  <c r="M31" i="53"/>
  <c r="K31" i="53"/>
  <c r="G31" i="53"/>
  <c r="P30" i="53"/>
  <c r="M30" i="53"/>
  <c r="K30" i="53"/>
  <c r="G30" i="53"/>
  <c r="P29" i="53"/>
  <c r="M29" i="53"/>
  <c r="K29" i="53"/>
  <c r="G29" i="53"/>
  <c r="P28" i="53"/>
  <c r="M28" i="53"/>
  <c r="K28" i="53"/>
  <c r="G28" i="53"/>
  <c r="P27" i="53"/>
  <c r="M27" i="53"/>
  <c r="K27" i="53"/>
  <c r="G27" i="53"/>
  <c r="P26" i="53"/>
  <c r="M26" i="53"/>
  <c r="K26" i="53"/>
  <c r="G26" i="53"/>
  <c r="P25" i="53"/>
  <c r="M25" i="53"/>
  <c r="K25" i="53"/>
  <c r="G25" i="53"/>
  <c r="P24" i="53"/>
  <c r="M24" i="53"/>
  <c r="K24" i="53"/>
  <c r="G24" i="53"/>
  <c r="P23" i="53"/>
  <c r="M23" i="53"/>
  <c r="K23" i="53"/>
  <c r="G23" i="53"/>
  <c r="P22" i="53"/>
  <c r="M22" i="53"/>
  <c r="K22" i="53"/>
  <c r="G22" i="53"/>
  <c r="P21" i="53"/>
  <c r="M21" i="53"/>
  <c r="K21" i="53"/>
  <c r="G21" i="53"/>
  <c r="P20" i="53"/>
  <c r="M20" i="53"/>
  <c r="K20" i="53"/>
  <c r="G20" i="53"/>
  <c r="P19" i="53"/>
  <c r="M19" i="53"/>
  <c r="K19" i="53"/>
  <c r="G19" i="53"/>
  <c r="P18" i="53"/>
  <c r="M18" i="53"/>
  <c r="K18" i="53"/>
  <c r="G18" i="53"/>
  <c r="P17" i="53"/>
  <c r="M17" i="53"/>
  <c r="K17" i="53"/>
  <c r="G17" i="53"/>
  <c r="P16" i="53"/>
  <c r="M16" i="53"/>
  <c r="K16" i="53"/>
  <c r="G16" i="53"/>
  <c r="P15" i="53"/>
  <c r="M15" i="53"/>
  <c r="K15" i="53"/>
  <c r="G15" i="53"/>
  <c r="P14" i="53"/>
  <c r="M14" i="53"/>
  <c r="K14" i="53"/>
  <c r="G14" i="53"/>
  <c r="P13" i="53"/>
  <c r="M13" i="53"/>
  <c r="K13" i="53"/>
  <c r="G13" i="53"/>
  <c r="P12" i="53"/>
  <c r="M12" i="53"/>
  <c r="K12" i="53"/>
  <c r="G12" i="53"/>
  <c r="P11" i="53"/>
  <c r="M11" i="53"/>
  <c r="K11" i="53"/>
  <c r="G11" i="53"/>
  <c r="P10" i="53"/>
  <c r="M10" i="53"/>
  <c r="K10" i="53"/>
  <c r="G10" i="53"/>
  <c r="P9" i="53"/>
  <c r="M9" i="53"/>
  <c r="K9" i="53"/>
  <c r="G9" i="53"/>
  <c r="P8" i="53"/>
  <c r="P233" i="53" s="1"/>
  <c r="M8" i="53"/>
  <c r="K8" i="53"/>
  <c r="G8" i="53"/>
  <c r="AB1550" i="45"/>
  <c r="Y1550" i="45"/>
  <c r="Q1550" i="45"/>
  <c r="M1550" i="45"/>
  <c r="C1550" i="45"/>
  <c r="B1550" i="45"/>
  <c r="AH1549" i="45"/>
  <c r="Z1549" i="45"/>
  <c r="AD1549" i="45" s="1"/>
  <c r="AE1549" i="45" s="1"/>
  <c r="AI1549" i="45" s="1"/>
  <c r="K1549" i="45"/>
  <c r="O1549" i="45" s="1"/>
  <c r="P1549" i="45" s="1"/>
  <c r="AH1548" i="45"/>
  <c r="AA1548" i="45"/>
  <c r="X1548" i="45"/>
  <c r="Z1548" i="45" s="1"/>
  <c r="L1548" i="45"/>
  <c r="I1548" i="45"/>
  <c r="K1548" i="45" s="1"/>
  <c r="O1548" i="45" s="1"/>
  <c r="AH1547" i="45"/>
  <c r="AA1547" i="45"/>
  <c r="X1547" i="45"/>
  <c r="Z1547" i="45" s="1"/>
  <c r="L1547" i="45"/>
  <c r="I1547" i="45"/>
  <c r="K1547" i="45" s="1"/>
  <c r="O1547" i="45" s="1"/>
  <c r="AI1546" i="45"/>
  <c r="AH1546" i="45"/>
  <c r="AG1546" i="45"/>
  <c r="AF1546" i="45"/>
  <c r="AH1545" i="45"/>
  <c r="AA1545" i="45"/>
  <c r="X1545" i="45"/>
  <c r="Z1545" i="45" s="1"/>
  <c r="L1545" i="45"/>
  <c r="I1545" i="45"/>
  <c r="K1545" i="45" s="1"/>
  <c r="AH1544" i="45"/>
  <c r="AA1544" i="45"/>
  <c r="X1544" i="45"/>
  <c r="Z1544" i="45" s="1"/>
  <c r="L1544" i="45"/>
  <c r="I1544" i="45"/>
  <c r="K1544" i="45" s="1"/>
  <c r="AH1543" i="45"/>
  <c r="AA1543" i="45"/>
  <c r="X1543" i="45"/>
  <c r="Z1543" i="45" s="1"/>
  <c r="L1543" i="45"/>
  <c r="I1543" i="45"/>
  <c r="K1543" i="45" s="1"/>
  <c r="AH1542" i="45"/>
  <c r="AA1542" i="45"/>
  <c r="X1542" i="45"/>
  <c r="Z1542" i="45" s="1"/>
  <c r="L1542" i="45"/>
  <c r="I1542" i="45"/>
  <c r="K1542" i="45" s="1"/>
  <c r="AH1541" i="45"/>
  <c r="AA1541" i="45"/>
  <c r="X1541" i="45"/>
  <c r="Z1541" i="45" s="1"/>
  <c r="L1541" i="45"/>
  <c r="I1541" i="45"/>
  <c r="K1541" i="45" s="1"/>
  <c r="AH1540" i="45"/>
  <c r="AA1540" i="45"/>
  <c r="X1540" i="45"/>
  <c r="Z1540" i="45" s="1"/>
  <c r="L1540" i="45"/>
  <c r="I1540" i="45"/>
  <c r="K1540" i="45" s="1"/>
  <c r="AH1539" i="45"/>
  <c r="AA1539" i="45"/>
  <c r="X1539" i="45"/>
  <c r="Z1539" i="45" s="1"/>
  <c r="L1539" i="45"/>
  <c r="I1539" i="45"/>
  <c r="K1539" i="45" s="1"/>
  <c r="AH1538" i="45"/>
  <c r="Z1538" i="45"/>
  <c r="K1538" i="45"/>
  <c r="AH1537" i="45"/>
  <c r="AA1537" i="45"/>
  <c r="X1537" i="45"/>
  <c r="Z1537" i="45" s="1"/>
  <c r="L1537" i="45"/>
  <c r="I1537" i="45"/>
  <c r="K1537" i="45" s="1"/>
  <c r="AH1536" i="45"/>
  <c r="AA1536" i="45"/>
  <c r="X1536" i="45"/>
  <c r="Z1536" i="45" s="1"/>
  <c r="L1536" i="45"/>
  <c r="I1536" i="45"/>
  <c r="K1536" i="45" s="1"/>
  <c r="AH1535" i="45"/>
  <c r="AA1535" i="45"/>
  <c r="X1535" i="45"/>
  <c r="Z1535" i="45" s="1"/>
  <c r="L1535" i="45"/>
  <c r="I1535" i="45"/>
  <c r="K1535" i="45" s="1"/>
  <c r="O1535" i="45" s="1"/>
  <c r="AH1534" i="45"/>
  <c r="AA1534" i="45"/>
  <c r="X1534" i="45"/>
  <c r="Z1534" i="45" s="1"/>
  <c r="L1534" i="45"/>
  <c r="I1534" i="45"/>
  <c r="K1534" i="45" s="1"/>
  <c r="AH1533" i="45"/>
  <c r="AA1533" i="45"/>
  <c r="X1533" i="45"/>
  <c r="Z1533" i="45" s="1"/>
  <c r="L1533" i="45"/>
  <c r="I1533" i="45"/>
  <c r="K1533" i="45" s="1"/>
  <c r="AH1532" i="45"/>
  <c r="AA1532" i="45"/>
  <c r="X1532" i="45"/>
  <c r="Z1532" i="45" s="1"/>
  <c r="L1532" i="45"/>
  <c r="I1532" i="45"/>
  <c r="K1532" i="45" s="1"/>
  <c r="AH1531" i="45"/>
  <c r="AA1531" i="45"/>
  <c r="X1531" i="45"/>
  <c r="Z1531" i="45" s="1"/>
  <c r="L1531" i="45"/>
  <c r="I1531" i="45"/>
  <c r="K1531" i="45" s="1"/>
  <c r="O1531" i="45" s="1"/>
  <c r="AH1530" i="45"/>
  <c r="AA1530" i="45"/>
  <c r="X1530" i="45"/>
  <c r="Z1530" i="45" s="1"/>
  <c r="L1530" i="45"/>
  <c r="I1530" i="45"/>
  <c r="K1530" i="45" s="1"/>
  <c r="AH1529" i="45"/>
  <c r="AA1529" i="45"/>
  <c r="X1529" i="45"/>
  <c r="Z1529" i="45" s="1"/>
  <c r="L1529" i="45"/>
  <c r="I1529" i="45"/>
  <c r="AH1528" i="45"/>
  <c r="Z1528" i="45"/>
  <c r="AD1528" i="45" s="1"/>
  <c r="AE1528" i="45" s="1"/>
  <c r="AI1528" i="45" s="1"/>
  <c r="K1528" i="45"/>
  <c r="AH1527" i="45"/>
  <c r="AA1527" i="45"/>
  <c r="Z1527" i="45"/>
  <c r="L1527" i="45"/>
  <c r="K1527" i="45"/>
  <c r="N1527" i="45" s="1"/>
  <c r="AH1526" i="45"/>
  <c r="AA1526" i="45"/>
  <c r="S1526" i="45"/>
  <c r="Z1526" i="45" s="1"/>
  <c r="L1526" i="45"/>
  <c r="D1526" i="45"/>
  <c r="K1526" i="45" s="1"/>
  <c r="AH1525" i="45"/>
  <c r="AA1525" i="45"/>
  <c r="S1525" i="45"/>
  <c r="Z1525" i="45" s="1"/>
  <c r="L1525" i="45"/>
  <c r="D1525" i="45"/>
  <c r="K1525" i="45" s="1"/>
  <c r="AH1524" i="45"/>
  <c r="AA1524" i="45"/>
  <c r="Z1524" i="45"/>
  <c r="AD1524" i="45" s="1"/>
  <c r="AE1524" i="45" s="1"/>
  <c r="AI1524" i="45" s="1"/>
  <c r="L1524" i="45"/>
  <c r="K1524" i="45"/>
  <c r="N1524" i="45" s="1"/>
  <c r="AH1523" i="45"/>
  <c r="AA1523" i="45"/>
  <c r="S1523" i="45"/>
  <c r="Z1523" i="45" s="1"/>
  <c r="AD1523" i="45" s="1"/>
  <c r="AE1523" i="45" s="1"/>
  <c r="AI1523" i="45" s="1"/>
  <c r="L1523" i="45"/>
  <c r="D1523" i="45"/>
  <c r="K1523" i="45" s="1"/>
  <c r="AH1522" i="45"/>
  <c r="AA1522" i="45"/>
  <c r="S1522" i="45"/>
  <c r="Z1522" i="45" s="1"/>
  <c r="AD1522" i="45" s="1"/>
  <c r="AE1522" i="45" s="1"/>
  <c r="L1522" i="45"/>
  <c r="D1522" i="45"/>
  <c r="AH1521" i="45"/>
  <c r="AA1521" i="45"/>
  <c r="Z1521" i="45"/>
  <c r="AD1521" i="45" s="1"/>
  <c r="AE1521" i="45" s="1"/>
  <c r="L1521" i="45"/>
  <c r="K1521" i="45"/>
  <c r="AI1512" i="45"/>
  <c r="AH1512" i="45"/>
  <c r="AG1512" i="45"/>
  <c r="AF1512" i="45"/>
  <c r="AE1512" i="45"/>
  <c r="AC1512" i="45"/>
  <c r="AB1512" i="45"/>
  <c r="AA1512" i="45"/>
  <c r="Y1512" i="45"/>
  <c r="X1512" i="45"/>
  <c r="W1512" i="45"/>
  <c r="V1512" i="45"/>
  <c r="U1512" i="45"/>
  <c r="T1512" i="45"/>
  <c r="S1512" i="45"/>
  <c r="R1512" i="45"/>
  <c r="Q1512" i="45"/>
  <c r="P1512" i="45"/>
  <c r="N1512" i="45"/>
  <c r="M1512" i="45"/>
  <c r="L1512" i="45"/>
  <c r="J1512" i="45"/>
  <c r="I1512" i="45"/>
  <c r="H1512" i="45"/>
  <c r="G1512" i="45"/>
  <c r="F1512" i="45"/>
  <c r="E1512" i="45"/>
  <c r="D1512" i="45"/>
  <c r="C1512" i="45"/>
  <c r="B1512" i="45"/>
  <c r="Z1503" i="45"/>
  <c r="AD1503" i="45" s="1"/>
  <c r="K1503" i="45"/>
  <c r="O1503" i="45" s="1"/>
  <c r="Z1502" i="45"/>
  <c r="AD1502" i="45" s="1"/>
  <c r="K1502" i="45"/>
  <c r="O1502" i="45" s="1"/>
  <c r="Z1501" i="45"/>
  <c r="AD1501" i="45" s="1"/>
  <c r="K1501" i="45"/>
  <c r="O1501" i="45" s="1"/>
  <c r="Z1500" i="45"/>
  <c r="AD1500" i="45" s="1"/>
  <c r="K1500" i="45"/>
  <c r="O1500" i="45" s="1"/>
  <c r="Z1498" i="45"/>
  <c r="AD1498" i="45" s="1"/>
  <c r="K1498" i="45"/>
  <c r="O1498" i="45" s="1"/>
  <c r="Z1497" i="45"/>
  <c r="AD1497" i="45" s="1"/>
  <c r="K1497" i="45"/>
  <c r="O1497" i="45" s="1"/>
  <c r="Z1496" i="45"/>
  <c r="AD1496" i="45" s="1"/>
  <c r="K1496" i="45"/>
  <c r="O1496" i="45" s="1"/>
  <c r="Z1495" i="45"/>
  <c r="AD1495" i="45" s="1"/>
  <c r="K1495" i="45"/>
  <c r="O1495" i="45" s="1"/>
  <c r="Z1488" i="45"/>
  <c r="AD1488" i="45" s="1"/>
  <c r="K1488" i="45"/>
  <c r="O1488" i="45" s="1"/>
  <c r="Z1486" i="45"/>
  <c r="AD1486" i="45" s="1"/>
  <c r="K1486" i="45"/>
  <c r="O1486" i="45" s="1"/>
  <c r="Z1484" i="45"/>
  <c r="AD1484" i="45" s="1"/>
  <c r="K1484" i="45"/>
  <c r="O1484" i="45" s="1"/>
  <c r="Z1482" i="45"/>
  <c r="AD1482" i="45" s="1"/>
  <c r="K1482" i="45"/>
  <c r="O1482" i="45" s="1"/>
  <c r="Z1481" i="45"/>
  <c r="AD1481" i="45" s="1"/>
  <c r="K1481" i="45"/>
  <c r="O1481" i="45" s="1"/>
  <c r="Z1478" i="45"/>
  <c r="AD1478" i="45" s="1"/>
  <c r="K1478" i="45"/>
  <c r="O1478" i="45" s="1"/>
  <c r="Z1477" i="45"/>
  <c r="AD1477" i="45" s="1"/>
  <c r="K1477" i="45"/>
  <c r="O1477" i="45" s="1"/>
  <c r="Z1476" i="45"/>
  <c r="AD1476" i="45" s="1"/>
  <c r="K1476" i="45"/>
  <c r="O1476" i="45" s="1"/>
  <c r="Z1474" i="45"/>
  <c r="AD1474" i="45" s="1"/>
  <c r="K1474" i="45"/>
  <c r="O1474" i="45" s="1"/>
  <c r="Z1473" i="45"/>
  <c r="AD1473" i="45" s="1"/>
  <c r="K1473" i="45"/>
  <c r="O1473" i="45" s="1"/>
  <c r="Z1471" i="45"/>
  <c r="AD1471" i="45" s="1"/>
  <c r="K1471" i="45"/>
  <c r="O1471" i="45" s="1"/>
  <c r="Z1470" i="45"/>
  <c r="AD1470" i="45" s="1"/>
  <c r="K1470" i="45"/>
  <c r="O1470" i="45" s="1"/>
  <c r="Z1469" i="45"/>
  <c r="AD1469" i="45" s="1"/>
  <c r="K1469" i="45"/>
  <c r="O1469" i="45" s="1"/>
  <c r="Z1468" i="45"/>
  <c r="AD1468" i="45" s="1"/>
  <c r="K1468" i="45"/>
  <c r="O1468" i="45" s="1"/>
  <c r="Z1463" i="45"/>
  <c r="AD1463" i="45" s="1"/>
  <c r="K1463" i="45"/>
  <c r="O1463" i="45" s="1"/>
  <c r="Z1461" i="45"/>
  <c r="AD1461" i="45" s="1"/>
  <c r="K1461" i="45"/>
  <c r="O1461" i="45" s="1"/>
  <c r="Z1459" i="45"/>
  <c r="AD1459" i="45" s="1"/>
  <c r="K1459" i="45"/>
  <c r="O1459" i="45" s="1"/>
  <c r="Z1458" i="45"/>
  <c r="AD1458" i="45" s="1"/>
  <c r="K1458" i="45"/>
  <c r="O1458" i="45" s="1"/>
  <c r="Z1457" i="45"/>
  <c r="AD1457" i="45" s="1"/>
  <c r="K1457" i="45"/>
  <c r="AI1448" i="45"/>
  <c r="AH1448" i="45"/>
  <c r="AB1448" i="45"/>
  <c r="AA1448" i="45"/>
  <c r="Y1448" i="45"/>
  <c r="X1448" i="45"/>
  <c r="W1448" i="45"/>
  <c r="V1448" i="45"/>
  <c r="U1448" i="45"/>
  <c r="T1448" i="45"/>
  <c r="S1448" i="45"/>
  <c r="R1448" i="45"/>
  <c r="Q1448" i="45"/>
  <c r="M1448" i="45"/>
  <c r="L1448" i="45"/>
  <c r="J1448" i="45"/>
  <c r="I1448" i="45"/>
  <c r="H1448" i="45"/>
  <c r="G1448" i="45"/>
  <c r="F1448" i="45"/>
  <c r="E1448" i="45"/>
  <c r="D1448" i="45"/>
  <c r="C1448" i="45"/>
  <c r="B1448" i="45"/>
  <c r="AC1445" i="45"/>
  <c r="Z1445" i="45"/>
  <c r="N1445" i="45"/>
  <c r="K1445" i="45"/>
  <c r="AC1444" i="45"/>
  <c r="Z1444" i="45"/>
  <c r="N1444" i="45"/>
  <c r="K1444" i="45"/>
  <c r="AC1443" i="45"/>
  <c r="Z1443" i="45"/>
  <c r="N1443" i="45"/>
  <c r="K1443" i="45"/>
  <c r="AC1442" i="45"/>
  <c r="Z1442" i="45"/>
  <c r="N1442" i="45"/>
  <c r="K1442" i="45"/>
  <c r="AC1441" i="45"/>
  <c r="Z1441" i="45"/>
  <c r="N1441" i="45"/>
  <c r="K1441" i="45"/>
  <c r="AC1440" i="45"/>
  <c r="Z1440" i="45"/>
  <c r="N1440" i="45"/>
  <c r="K1440" i="45"/>
  <c r="AC1439" i="45"/>
  <c r="Z1439" i="45"/>
  <c r="N1439" i="45"/>
  <c r="K1439" i="45"/>
  <c r="AC1438" i="45"/>
  <c r="Z1438" i="45"/>
  <c r="N1438" i="45"/>
  <c r="K1438" i="45"/>
  <c r="AC1437" i="45"/>
  <c r="Z1437" i="45"/>
  <c r="N1437" i="45"/>
  <c r="K1437" i="45"/>
  <c r="AC1436" i="45"/>
  <c r="Z1436" i="45"/>
  <c r="N1436" i="45"/>
  <c r="K1436" i="45"/>
  <c r="AC1435" i="45"/>
  <c r="Z1435" i="45"/>
  <c r="N1435" i="45"/>
  <c r="K1435" i="45"/>
  <c r="AC1434" i="45"/>
  <c r="Z1434" i="45"/>
  <c r="N1434" i="45"/>
  <c r="K1434" i="45"/>
  <c r="AC1433" i="45"/>
  <c r="Z1433" i="45"/>
  <c r="N1433" i="45"/>
  <c r="K1433" i="45"/>
  <c r="AC1432" i="45"/>
  <c r="Z1432" i="45"/>
  <c r="N1432" i="45"/>
  <c r="K1432" i="45"/>
  <c r="AC1431" i="45"/>
  <c r="Z1431" i="45"/>
  <c r="N1431" i="45"/>
  <c r="K1431" i="45"/>
  <c r="AC1430" i="45"/>
  <c r="Z1430" i="45"/>
  <c r="N1430" i="45"/>
  <c r="K1430" i="45"/>
  <c r="AC1429" i="45"/>
  <c r="Z1429" i="45"/>
  <c r="N1429" i="45"/>
  <c r="K1429" i="45"/>
  <c r="AC1428" i="45"/>
  <c r="Z1428" i="45"/>
  <c r="N1428" i="45"/>
  <c r="K1428" i="45"/>
  <c r="AC1427" i="45"/>
  <c r="Z1427" i="45"/>
  <c r="N1427" i="45"/>
  <c r="K1427" i="45"/>
  <c r="AC1426" i="45"/>
  <c r="Z1426" i="45"/>
  <c r="N1426" i="45"/>
  <c r="K1426" i="45"/>
  <c r="AC1425" i="45"/>
  <c r="Z1425" i="45"/>
  <c r="AD1425" i="45" s="1"/>
  <c r="AE1425" i="45" s="1"/>
  <c r="N1425" i="45"/>
  <c r="K1425" i="45"/>
  <c r="AC1424" i="45"/>
  <c r="Z1424" i="45"/>
  <c r="AD1424" i="45" s="1"/>
  <c r="AE1424" i="45" s="1"/>
  <c r="N1424" i="45"/>
  <c r="K1424" i="45"/>
  <c r="AC1423" i="45"/>
  <c r="Z1423" i="45"/>
  <c r="N1423" i="45"/>
  <c r="K1423" i="45"/>
  <c r="AC1422" i="45"/>
  <c r="Z1422" i="45"/>
  <c r="N1422" i="45"/>
  <c r="K1422" i="45"/>
  <c r="AC1421" i="45"/>
  <c r="Z1421" i="45"/>
  <c r="N1421" i="45"/>
  <c r="K1421" i="45"/>
  <c r="AC1420" i="45"/>
  <c r="Z1420" i="45"/>
  <c r="N1420" i="45"/>
  <c r="K1420" i="45"/>
  <c r="AC1419" i="45"/>
  <c r="Z1419" i="45"/>
  <c r="N1419" i="45"/>
  <c r="K1419" i="45"/>
  <c r="AC1418" i="45"/>
  <c r="Z1418" i="45"/>
  <c r="N1418" i="45"/>
  <c r="K1418" i="45"/>
  <c r="AC1417" i="45"/>
  <c r="Z1417" i="45"/>
  <c r="N1417" i="45"/>
  <c r="K1417" i="45"/>
  <c r="AC1416" i="45"/>
  <c r="Z1416" i="45"/>
  <c r="N1416" i="45"/>
  <c r="K1416" i="45"/>
  <c r="AC1415" i="45"/>
  <c r="Z1415" i="45"/>
  <c r="AD1415" i="45" s="1"/>
  <c r="AE1415" i="45" s="1"/>
  <c r="N1415" i="45"/>
  <c r="K1415" i="45"/>
  <c r="AC1414" i="45"/>
  <c r="Z1414" i="45"/>
  <c r="N1414" i="45"/>
  <c r="K1414" i="45"/>
  <c r="AC1413" i="45"/>
  <c r="Z1413" i="45"/>
  <c r="AD1413" i="45" s="1"/>
  <c r="AE1413" i="45" s="1"/>
  <c r="N1413" i="45"/>
  <c r="K1413" i="45"/>
  <c r="AC1412" i="45"/>
  <c r="Z1412" i="45"/>
  <c r="AD1412" i="45" s="1"/>
  <c r="AE1412" i="45" s="1"/>
  <c r="N1412" i="45"/>
  <c r="K1412" i="45"/>
  <c r="AC1411" i="45"/>
  <c r="Z1411" i="45"/>
  <c r="AD1411" i="45" s="1"/>
  <c r="AE1411" i="45" s="1"/>
  <c r="N1411" i="45"/>
  <c r="K1411" i="45"/>
  <c r="AC1410" i="45"/>
  <c r="Z1410" i="45"/>
  <c r="N1410" i="45"/>
  <c r="K1410" i="45"/>
  <c r="AC1409" i="45"/>
  <c r="Z1409" i="45"/>
  <c r="AD1409" i="45" s="1"/>
  <c r="AE1409" i="45" s="1"/>
  <c r="N1409" i="45"/>
  <c r="K1409" i="45"/>
  <c r="AC1408" i="45"/>
  <c r="Z1408" i="45"/>
  <c r="AD1408" i="45" s="1"/>
  <c r="AE1408" i="45" s="1"/>
  <c r="N1408" i="45"/>
  <c r="K1408" i="45"/>
  <c r="AC1405" i="45"/>
  <c r="Z1405" i="45"/>
  <c r="N1405" i="45"/>
  <c r="K1405" i="45"/>
  <c r="AC1404" i="45"/>
  <c r="Z1404" i="45"/>
  <c r="N1404" i="45"/>
  <c r="K1404" i="45"/>
  <c r="AC1403" i="45"/>
  <c r="Z1403" i="45"/>
  <c r="N1403" i="45"/>
  <c r="K1403" i="45"/>
  <c r="AC1402" i="45"/>
  <c r="Z1402" i="45"/>
  <c r="N1402" i="45"/>
  <c r="K1402" i="45"/>
  <c r="AC1401" i="45"/>
  <c r="Z1401" i="45"/>
  <c r="N1401" i="45"/>
  <c r="K1401" i="45"/>
  <c r="AC1400" i="45"/>
  <c r="Z1400" i="45"/>
  <c r="N1400" i="45"/>
  <c r="K1400" i="45"/>
  <c r="AC1399" i="45"/>
  <c r="Z1399" i="45"/>
  <c r="N1399" i="45"/>
  <c r="K1399" i="45"/>
  <c r="AC1398" i="45"/>
  <c r="Z1398" i="45"/>
  <c r="N1398" i="45"/>
  <c r="K1398" i="45"/>
  <c r="AC1397" i="45"/>
  <c r="Z1397" i="45"/>
  <c r="N1397" i="45"/>
  <c r="K1397" i="45"/>
  <c r="AC1396" i="45"/>
  <c r="Z1396" i="45"/>
  <c r="N1396" i="45"/>
  <c r="K1396" i="45"/>
  <c r="AC1395" i="45"/>
  <c r="Z1395" i="45"/>
  <c r="N1395" i="45"/>
  <c r="K1395" i="45"/>
  <c r="AC1394" i="45"/>
  <c r="Z1394" i="45"/>
  <c r="AD1394" i="45" s="1"/>
  <c r="AE1394" i="45" s="1"/>
  <c r="N1394" i="45"/>
  <c r="K1394" i="45"/>
  <c r="AC1393" i="45"/>
  <c r="Z1393" i="45"/>
  <c r="AD1393" i="45" s="1"/>
  <c r="AE1393" i="45" s="1"/>
  <c r="N1393" i="45"/>
  <c r="K1393" i="45"/>
  <c r="AC1392" i="45"/>
  <c r="Z1392" i="45"/>
  <c r="AD1392" i="45" s="1"/>
  <c r="AE1392" i="45" s="1"/>
  <c r="N1392" i="45"/>
  <c r="K1392" i="45"/>
  <c r="AC1391" i="45"/>
  <c r="Z1391" i="45"/>
  <c r="N1391" i="45"/>
  <c r="K1391" i="45"/>
  <c r="AC1390" i="45"/>
  <c r="Z1390" i="45"/>
  <c r="N1390" i="45"/>
  <c r="K1390" i="45"/>
  <c r="AC1389" i="45"/>
  <c r="Z1389" i="45"/>
  <c r="N1389" i="45"/>
  <c r="K1389" i="45"/>
  <c r="AC1388" i="45"/>
  <c r="Z1388" i="45"/>
  <c r="N1388" i="45"/>
  <c r="K1388" i="45"/>
  <c r="AC1387" i="45"/>
  <c r="Z1387" i="45"/>
  <c r="N1387" i="45"/>
  <c r="K1387" i="45"/>
  <c r="AC1386" i="45"/>
  <c r="Z1386" i="45"/>
  <c r="N1386" i="45"/>
  <c r="K1386" i="45"/>
  <c r="AC1385" i="45"/>
  <c r="Z1385" i="45"/>
  <c r="N1385" i="45"/>
  <c r="K1385" i="45"/>
  <c r="AC1384" i="45"/>
  <c r="Z1384" i="45"/>
  <c r="N1384" i="45"/>
  <c r="K1384" i="45"/>
  <c r="AC1383" i="45"/>
  <c r="Z1383" i="45"/>
  <c r="N1383" i="45"/>
  <c r="K1383" i="45"/>
  <c r="AC1382" i="45"/>
  <c r="Z1382" i="45"/>
  <c r="N1382" i="45"/>
  <c r="K1382" i="45"/>
  <c r="AC1381" i="45"/>
  <c r="Z1381" i="45"/>
  <c r="N1381" i="45"/>
  <c r="K1381" i="45"/>
  <c r="AC1380" i="45"/>
  <c r="Z1380" i="45"/>
  <c r="N1380" i="45"/>
  <c r="K1380" i="45"/>
  <c r="AC1379" i="45"/>
  <c r="Z1379" i="45"/>
  <c r="N1379" i="45"/>
  <c r="K1379" i="45"/>
  <c r="AC1378" i="45"/>
  <c r="Z1378" i="45"/>
  <c r="N1378" i="45"/>
  <c r="K1378" i="45"/>
  <c r="AC1377" i="45"/>
  <c r="Z1377" i="45"/>
  <c r="N1377" i="45"/>
  <c r="K1377" i="45"/>
  <c r="AC1376" i="45"/>
  <c r="Z1376" i="45"/>
  <c r="N1376" i="45"/>
  <c r="K1376" i="45"/>
  <c r="AC1375" i="45"/>
  <c r="Z1375" i="45"/>
  <c r="N1375" i="45"/>
  <c r="K1375" i="45"/>
  <c r="AC1374" i="45"/>
  <c r="Z1374" i="45"/>
  <c r="N1374" i="45"/>
  <c r="K1374" i="45"/>
  <c r="AC1373" i="45"/>
  <c r="Z1373" i="45"/>
  <c r="N1373" i="45"/>
  <c r="K1373" i="45"/>
  <c r="AC1372" i="45"/>
  <c r="Z1372" i="45"/>
  <c r="N1372" i="45"/>
  <c r="K1372" i="45"/>
  <c r="AC1369" i="45"/>
  <c r="Z1369" i="45"/>
  <c r="N1369" i="45"/>
  <c r="K1369" i="45"/>
  <c r="AC1368" i="45"/>
  <c r="Z1368" i="45"/>
  <c r="N1368" i="45"/>
  <c r="K1368" i="45"/>
  <c r="AC1367" i="45"/>
  <c r="Z1367" i="45"/>
  <c r="N1367" i="45"/>
  <c r="K1367" i="45"/>
  <c r="AC1366" i="45"/>
  <c r="Z1366" i="45"/>
  <c r="N1366" i="45"/>
  <c r="K1366" i="45"/>
  <c r="AC1365" i="45"/>
  <c r="Z1365" i="45"/>
  <c r="N1365" i="45"/>
  <c r="K1365" i="45"/>
  <c r="AC1364" i="45"/>
  <c r="Z1364" i="45"/>
  <c r="N1364" i="45"/>
  <c r="K1364" i="45"/>
  <c r="AC1363" i="45"/>
  <c r="Z1363" i="45"/>
  <c r="N1363" i="45"/>
  <c r="K1363" i="45"/>
  <c r="AA1354" i="45"/>
  <c r="S1354" i="45"/>
  <c r="L1354" i="45"/>
  <c r="D1354" i="45"/>
  <c r="C1354" i="45"/>
  <c r="AD1348" i="45"/>
  <c r="AF1342" i="45"/>
  <c r="AE1342" i="45"/>
  <c r="AG1342" i="45" s="1"/>
  <c r="AD1320" i="45"/>
  <c r="AE1320" i="45" s="1"/>
  <c r="O1320" i="45"/>
  <c r="AD1318" i="45"/>
  <c r="AE1318" i="45" s="1"/>
  <c r="O1318" i="45"/>
  <c r="P1318" i="45" s="1"/>
  <c r="R1312" i="45"/>
  <c r="O1312" i="45"/>
  <c r="P1312" i="45" s="1"/>
  <c r="AI1303" i="45"/>
  <c r="AH1303" i="45"/>
  <c r="AB1303" i="45"/>
  <c r="AA1303" i="45"/>
  <c r="Y1303" i="45"/>
  <c r="X1303" i="45"/>
  <c r="W1303" i="45"/>
  <c r="V1303" i="45"/>
  <c r="U1303" i="45"/>
  <c r="T1303" i="45"/>
  <c r="S1303" i="45"/>
  <c r="R1303" i="45"/>
  <c r="Q1303" i="45"/>
  <c r="M1303" i="45"/>
  <c r="L1303" i="45"/>
  <c r="J1303" i="45"/>
  <c r="I1303" i="45"/>
  <c r="H1303" i="45"/>
  <c r="G1303" i="45"/>
  <c r="F1303" i="45"/>
  <c r="E1303" i="45"/>
  <c r="D1303" i="45"/>
  <c r="C1303" i="45"/>
  <c r="B1303" i="45"/>
  <c r="AC1302" i="45"/>
  <c r="Z1302" i="45"/>
  <c r="N1302" i="45"/>
  <c r="K1302" i="45"/>
  <c r="AC1301" i="45"/>
  <c r="Z1301" i="45"/>
  <c r="N1301" i="45"/>
  <c r="K1301" i="45"/>
  <c r="AC1300" i="45"/>
  <c r="Z1300" i="45"/>
  <c r="N1300" i="45"/>
  <c r="K1300" i="45"/>
  <c r="AC1299" i="45"/>
  <c r="Z1299" i="45"/>
  <c r="N1299" i="45"/>
  <c r="K1299" i="45"/>
  <c r="AC1298" i="45"/>
  <c r="Z1298" i="45"/>
  <c r="N1298" i="45"/>
  <c r="K1298" i="45"/>
  <c r="AC1297" i="45"/>
  <c r="Z1297" i="45"/>
  <c r="N1297" i="45"/>
  <c r="K1297" i="45"/>
  <c r="AC1295" i="45"/>
  <c r="Z1295" i="45"/>
  <c r="N1295" i="45"/>
  <c r="K1295" i="45"/>
  <c r="AC1293" i="45"/>
  <c r="Z1293" i="45"/>
  <c r="N1293" i="45"/>
  <c r="K1293" i="45"/>
  <c r="AC1291" i="45"/>
  <c r="Z1291" i="45"/>
  <c r="N1291" i="45"/>
  <c r="K1291" i="45"/>
  <c r="AC1289" i="45"/>
  <c r="Z1289" i="45"/>
  <c r="N1289" i="45"/>
  <c r="K1289" i="45"/>
  <c r="AC1288" i="45"/>
  <c r="Z1288" i="45"/>
  <c r="N1288" i="45"/>
  <c r="K1288" i="45"/>
  <c r="AC1287" i="45"/>
  <c r="Z1287" i="45"/>
  <c r="N1287" i="45"/>
  <c r="K1287" i="45"/>
  <c r="AC1286" i="45"/>
  <c r="Z1286" i="45"/>
  <c r="N1286" i="45"/>
  <c r="K1286" i="45"/>
  <c r="AC1284" i="45"/>
  <c r="Z1284" i="45"/>
  <c r="N1284" i="45"/>
  <c r="K1284" i="45"/>
  <c r="AC1283" i="45"/>
  <c r="Z1283" i="45"/>
  <c r="N1283" i="45"/>
  <c r="K1283" i="45"/>
  <c r="AC1282" i="45"/>
  <c r="Z1282" i="45"/>
  <c r="N1282" i="45"/>
  <c r="K1282" i="45"/>
  <c r="AC1281" i="45"/>
  <c r="Z1281" i="45"/>
  <c r="N1281" i="45"/>
  <c r="K1281" i="45"/>
  <c r="AC1280" i="45"/>
  <c r="Z1280" i="45"/>
  <c r="N1280" i="45"/>
  <c r="K1280" i="45"/>
  <c r="AC1279" i="45"/>
  <c r="Z1279" i="45"/>
  <c r="N1279" i="45"/>
  <c r="K1279" i="45"/>
  <c r="AC1278" i="45"/>
  <c r="Z1278" i="45"/>
  <c r="N1278" i="45"/>
  <c r="K1278" i="45"/>
  <c r="AC1276" i="45"/>
  <c r="Z1276" i="45"/>
  <c r="N1276" i="45"/>
  <c r="K1276" i="45"/>
  <c r="AC1275" i="45"/>
  <c r="Z1275" i="45"/>
  <c r="N1275" i="45"/>
  <c r="K1275" i="45"/>
  <c r="AC1274" i="45"/>
  <c r="Z1274" i="45"/>
  <c r="N1274" i="45"/>
  <c r="K1274" i="45"/>
  <c r="AC1273" i="45"/>
  <c r="Z1273" i="45"/>
  <c r="N1273" i="45"/>
  <c r="K1273" i="45"/>
  <c r="AC1272" i="45"/>
  <c r="Z1272" i="45"/>
  <c r="N1272" i="45"/>
  <c r="K1272" i="45"/>
  <c r="AC1270" i="45"/>
  <c r="Z1270" i="45"/>
  <c r="N1270" i="45"/>
  <c r="K1270" i="45"/>
  <c r="AC1269" i="45"/>
  <c r="Z1269" i="45"/>
  <c r="N1269" i="45"/>
  <c r="K1269" i="45"/>
  <c r="AC1267" i="45"/>
  <c r="Z1267" i="45"/>
  <c r="N1267" i="45"/>
  <c r="K1267" i="45"/>
  <c r="AC1266" i="45"/>
  <c r="Z1266" i="45"/>
  <c r="N1266" i="45"/>
  <c r="K1266" i="45"/>
  <c r="AC1265" i="45"/>
  <c r="Z1265" i="45"/>
  <c r="N1265" i="45"/>
  <c r="K1265" i="45"/>
  <c r="AC1264" i="45"/>
  <c r="Z1264" i="45"/>
  <c r="N1264" i="45"/>
  <c r="K1264" i="45"/>
  <c r="AC1263" i="45"/>
  <c r="Z1263" i="45"/>
  <c r="N1263" i="45"/>
  <c r="K1263" i="45"/>
  <c r="AC1262" i="45"/>
  <c r="Z1262" i="45"/>
  <c r="N1262" i="45"/>
  <c r="K1262" i="45"/>
  <c r="AC1261" i="45"/>
  <c r="Z1261" i="45"/>
  <c r="N1261" i="45"/>
  <c r="K1261" i="45"/>
  <c r="AC1260" i="45"/>
  <c r="Z1260" i="45"/>
  <c r="N1260" i="45"/>
  <c r="K1260" i="45"/>
  <c r="AC1258" i="45"/>
  <c r="Z1258" i="45"/>
  <c r="N1258" i="45"/>
  <c r="K1258" i="45"/>
  <c r="AC1257" i="45"/>
  <c r="Z1257" i="45"/>
  <c r="N1257" i="45"/>
  <c r="K1257" i="45"/>
  <c r="AC1256" i="45"/>
  <c r="Z1256" i="45"/>
  <c r="N1256" i="45"/>
  <c r="K1256" i="45"/>
  <c r="AC1255" i="45"/>
  <c r="Z1255" i="45"/>
  <c r="N1255" i="45"/>
  <c r="K1255" i="45"/>
  <c r="AC1254" i="45"/>
  <c r="Z1254" i="45"/>
  <c r="N1254" i="45"/>
  <c r="K1254" i="45"/>
  <c r="AC1252" i="45"/>
  <c r="Z1252" i="45"/>
  <c r="N1252" i="45"/>
  <c r="K1252" i="45"/>
  <c r="AC1250" i="45"/>
  <c r="Z1250" i="45"/>
  <c r="N1250" i="45"/>
  <c r="K1250" i="45"/>
  <c r="AC1248" i="45"/>
  <c r="Z1248" i="45"/>
  <c r="N1248" i="45"/>
  <c r="K1248" i="45"/>
  <c r="AC1247" i="45"/>
  <c r="Z1247" i="45"/>
  <c r="N1247" i="45"/>
  <c r="K1247" i="45"/>
  <c r="AC1246" i="45"/>
  <c r="Z1246" i="45"/>
  <c r="N1246" i="45"/>
  <c r="K1246" i="45"/>
  <c r="AC1245" i="45"/>
  <c r="Z1245" i="45"/>
  <c r="N1245" i="45"/>
  <c r="K1245" i="45"/>
  <c r="O1245" i="45" s="1"/>
  <c r="P1245" i="45" s="1"/>
  <c r="AC1244" i="45"/>
  <c r="Z1244" i="45"/>
  <c r="N1244" i="45"/>
  <c r="K1244" i="45"/>
  <c r="AC1242" i="45"/>
  <c r="Z1242" i="45"/>
  <c r="N1242" i="45"/>
  <c r="K1242" i="45"/>
  <c r="AC1241" i="45"/>
  <c r="Z1241" i="45"/>
  <c r="N1241" i="45"/>
  <c r="K1241" i="45"/>
  <c r="AC1240" i="45"/>
  <c r="Z1240" i="45"/>
  <c r="N1240" i="45"/>
  <c r="K1240" i="45"/>
  <c r="AC1239" i="45"/>
  <c r="Z1239" i="45"/>
  <c r="N1239" i="45"/>
  <c r="K1239" i="45"/>
  <c r="AC1238" i="45"/>
  <c r="Z1238" i="45"/>
  <c r="N1238" i="45"/>
  <c r="K1238" i="45"/>
  <c r="AC1237" i="45"/>
  <c r="Z1237" i="45"/>
  <c r="N1237" i="45"/>
  <c r="K1237" i="45"/>
  <c r="AC1236" i="45"/>
  <c r="Z1236" i="45"/>
  <c r="N1236" i="45"/>
  <c r="K1236" i="45"/>
  <c r="AC1235" i="45"/>
  <c r="Z1235" i="45"/>
  <c r="N1235" i="45"/>
  <c r="K1235" i="45"/>
  <c r="AC1234" i="45"/>
  <c r="Z1234" i="45"/>
  <c r="N1234" i="45"/>
  <c r="K1234" i="45"/>
  <c r="AC1233" i="45"/>
  <c r="Z1233" i="45"/>
  <c r="N1233" i="45"/>
  <c r="K1233" i="45"/>
  <c r="AC1230" i="45"/>
  <c r="Z1230" i="45"/>
  <c r="N1230" i="45"/>
  <c r="K1230" i="45"/>
  <c r="AC1229" i="45"/>
  <c r="Z1229" i="45"/>
  <c r="N1229" i="45"/>
  <c r="K1229" i="45"/>
  <c r="AC1228" i="45"/>
  <c r="Z1228" i="45"/>
  <c r="N1228" i="45"/>
  <c r="K1228" i="45"/>
  <c r="AC1226" i="45"/>
  <c r="Z1226" i="45"/>
  <c r="N1226" i="45"/>
  <c r="K1226" i="45"/>
  <c r="AC1225" i="45"/>
  <c r="Z1225" i="45"/>
  <c r="N1225" i="45"/>
  <c r="K1225" i="45"/>
  <c r="AC1223" i="45"/>
  <c r="Z1223" i="45"/>
  <c r="N1223" i="45"/>
  <c r="K1223" i="45"/>
  <c r="AC1221" i="45"/>
  <c r="Z1221" i="45"/>
  <c r="N1221" i="45"/>
  <c r="K1221" i="45"/>
  <c r="AC1220" i="45"/>
  <c r="Z1220" i="45"/>
  <c r="N1220" i="45"/>
  <c r="K1220" i="45"/>
  <c r="AC1210" i="45"/>
  <c r="Z1210" i="45"/>
  <c r="N1210" i="45"/>
  <c r="K1210" i="45"/>
  <c r="AC1209" i="45"/>
  <c r="Z1209" i="45"/>
  <c r="N1209" i="45"/>
  <c r="K1209" i="45"/>
  <c r="AC1208" i="45"/>
  <c r="Z1208" i="45"/>
  <c r="N1208" i="45"/>
  <c r="K1208" i="45"/>
  <c r="AH1207" i="45"/>
  <c r="AA1207" i="45"/>
  <c r="Y1207" i="45"/>
  <c r="X1207" i="45"/>
  <c r="W1207" i="45"/>
  <c r="V1207" i="45"/>
  <c r="U1207" i="45"/>
  <c r="T1207" i="45"/>
  <c r="R1207" i="45"/>
  <c r="Q1207" i="45"/>
  <c r="N1207" i="45"/>
  <c r="L1207" i="45"/>
  <c r="J1207" i="45"/>
  <c r="I1207" i="45"/>
  <c r="H1207" i="45"/>
  <c r="G1207" i="45"/>
  <c r="F1207" i="45"/>
  <c r="E1207" i="45"/>
  <c r="C1207" i="45"/>
  <c r="B1207" i="45"/>
  <c r="AC1206" i="45"/>
  <c r="Z1206" i="45"/>
  <c r="N1206" i="45"/>
  <c r="K1206" i="45"/>
  <c r="AC1205" i="45"/>
  <c r="Z1205" i="45"/>
  <c r="N1205" i="45"/>
  <c r="K1205" i="45"/>
  <c r="AC1204" i="45"/>
  <c r="Z1204" i="45"/>
  <c r="N1204" i="45"/>
  <c r="K1204" i="45"/>
  <c r="AC1203" i="45"/>
  <c r="Z1203" i="45"/>
  <c r="N1203" i="45"/>
  <c r="K1203" i="45"/>
  <c r="AC1202" i="45"/>
  <c r="Z1202" i="45"/>
  <c r="N1202" i="45"/>
  <c r="K1202" i="45"/>
  <c r="AC1201" i="45"/>
  <c r="Z1201" i="45"/>
  <c r="N1201" i="45"/>
  <c r="K1201" i="45"/>
  <c r="AC1200" i="45"/>
  <c r="Z1200" i="45"/>
  <c r="N1200" i="45"/>
  <c r="K1200" i="45"/>
  <c r="AC1199" i="45"/>
  <c r="Z1199" i="45"/>
  <c r="N1199" i="45"/>
  <c r="K1199" i="45"/>
  <c r="AC1198" i="45"/>
  <c r="Z1198" i="45"/>
  <c r="N1198" i="45"/>
  <c r="K1198" i="45"/>
  <c r="AC1197" i="45"/>
  <c r="Z1197" i="45"/>
  <c r="N1197" i="45"/>
  <c r="K1197" i="45"/>
  <c r="AC1196" i="45"/>
  <c r="Z1196" i="45"/>
  <c r="N1196" i="45"/>
  <c r="K1196" i="45"/>
  <c r="AC1195" i="45"/>
  <c r="Z1195" i="45"/>
  <c r="N1195" i="45"/>
  <c r="K1195" i="45"/>
  <c r="AC1194" i="45"/>
  <c r="Z1194" i="45"/>
  <c r="N1194" i="45"/>
  <c r="K1194" i="45"/>
  <c r="AH1193" i="45"/>
  <c r="AA1193" i="45"/>
  <c r="Y1193" i="45"/>
  <c r="X1193" i="45"/>
  <c r="W1193" i="45"/>
  <c r="V1193" i="45"/>
  <c r="U1193" i="45"/>
  <c r="T1193" i="45"/>
  <c r="S1193" i="45"/>
  <c r="R1193" i="45"/>
  <c r="Q1193" i="45"/>
  <c r="L1193" i="45"/>
  <c r="J1193" i="45"/>
  <c r="I1193" i="45"/>
  <c r="H1193" i="45"/>
  <c r="G1193" i="45"/>
  <c r="F1193" i="45"/>
  <c r="E1193" i="45"/>
  <c r="D1193" i="45"/>
  <c r="C1193" i="45"/>
  <c r="B1193" i="45"/>
  <c r="AC1192" i="45"/>
  <c r="Z1192" i="45"/>
  <c r="N1192" i="45"/>
  <c r="K1192" i="45"/>
  <c r="AC1191" i="45"/>
  <c r="Z1191" i="45"/>
  <c r="N1191" i="45"/>
  <c r="K1191" i="45"/>
  <c r="AC1190" i="45"/>
  <c r="Z1190" i="45"/>
  <c r="N1190" i="45"/>
  <c r="K1190" i="45"/>
  <c r="AC1189" i="45"/>
  <c r="Z1189" i="45"/>
  <c r="N1189" i="45"/>
  <c r="K1189" i="45"/>
  <c r="AC1188" i="45"/>
  <c r="Z1188" i="45"/>
  <c r="N1188" i="45"/>
  <c r="K1188" i="45"/>
  <c r="AC1187" i="45"/>
  <c r="Z1187" i="45"/>
  <c r="N1187" i="45"/>
  <c r="K1187" i="45"/>
  <c r="AC1186" i="45"/>
  <c r="Z1186" i="45"/>
  <c r="N1186" i="45"/>
  <c r="K1186" i="45"/>
  <c r="AC1185" i="45"/>
  <c r="Z1185" i="45"/>
  <c r="N1185" i="45"/>
  <c r="K1185" i="45"/>
  <c r="AC1184" i="45"/>
  <c r="Z1184" i="45"/>
  <c r="N1184" i="45"/>
  <c r="K1184" i="45"/>
  <c r="AC1183" i="45"/>
  <c r="Z1183" i="45"/>
  <c r="N1183" i="45"/>
  <c r="K1183" i="45"/>
  <c r="AC1182" i="45"/>
  <c r="Z1182" i="45"/>
  <c r="N1182" i="45"/>
  <c r="K1182" i="45"/>
  <c r="AC1181" i="45"/>
  <c r="Z1181" i="45"/>
  <c r="N1181" i="45"/>
  <c r="K1181" i="45"/>
  <c r="AC1180" i="45"/>
  <c r="Z1180" i="45"/>
  <c r="N1180" i="45"/>
  <c r="K1180" i="45"/>
  <c r="AC1179" i="45"/>
  <c r="Z1179" i="45"/>
  <c r="N1179" i="45"/>
  <c r="K1179" i="45"/>
  <c r="AH1178" i="45"/>
  <c r="AB1178" i="45"/>
  <c r="AA1178" i="45"/>
  <c r="Q1178" i="45"/>
  <c r="M1178" i="45"/>
  <c r="L1178" i="45"/>
  <c r="B1178" i="45"/>
  <c r="AC1177" i="45"/>
  <c r="Z1177" i="45"/>
  <c r="N1177" i="45"/>
  <c r="K1177" i="45"/>
  <c r="AC1176" i="45"/>
  <c r="Z1176" i="45"/>
  <c r="N1176" i="45"/>
  <c r="K1176" i="45"/>
  <c r="AC1175" i="45"/>
  <c r="Z1175" i="45"/>
  <c r="N1175" i="45"/>
  <c r="K1175" i="45"/>
  <c r="AC1174" i="45"/>
  <c r="Z1174" i="45"/>
  <c r="N1174" i="45"/>
  <c r="K1174" i="45"/>
  <c r="AC1173" i="45"/>
  <c r="Z1173" i="45"/>
  <c r="N1173" i="45"/>
  <c r="K1173" i="45"/>
  <c r="AC1172" i="45"/>
  <c r="Z1172" i="45"/>
  <c r="N1172" i="45"/>
  <c r="K1172" i="45"/>
  <c r="AC1171" i="45"/>
  <c r="Z1171" i="45"/>
  <c r="N1171" i="45"/>
  <c r="K1171" i="45"/>
  <c r="AH1170" i="45"/>
  <c r="AA1170" i="45"/>
  <c r="Y1170" i="45"/>
  <c r="X1170" i="45"/>
  <c r="W1170" i="45"/>
  <c r="V1170" i="45"/>
  <c r="U1170" i="45"/>
  <c r="T1170" i="45"/>
  <c r="R1170" i="45"/>
  <c r="Q1170" i="45"/>
  <c r="L1170" i="45"/>
  <c r="J1170" i="45"/>
  <c r="I1170" i="45"/>
  <c r="H1170" i="45"/>
  <c r="G1170" i="45"/>
  <c r="F1170" i="45"/>
  <c r="E1170" i="45"/>
  <c r="C1170" i="45"/>
  <c r="B1170" i="45"/>
  <c r="AC1169" i="45"/>
  <c r="Z1169" i="45"/>
  <c r="N1169" i="45"/>
  <c r="K1169" i="45"/>
  <c r="AC1168" i="45"/>
  <c r="Z1168" i="45"/>
  <c r="N1168" i="45"/>
  <c r="K1168" i="45"/>
  <c r="AC1167" i="45"/>
  <c r="Z1167" i="45"/>
  <c r="N1167" i="45"/>
  <c r="K1167" i="45"/>
  <c r="AC1166" i="45"/>
  <c r="Z1166" i="45"/>
  <c r="N1166" i="45"/>
  <c r="K1166" i="45"/>
  <c r="AC1165" i="45"/>
  <c r="Z1165" i="45"/>
  <c r="N1165" i="45"/>
  <c r="K1165" i="45"/>
  <c r="AC1164" i="45"/>
  <c r="Z1164" i="45"/>
  <c r="N1164" i="45"/>
  <c r="K1164" i="45"/>
  <c r="AC1163" i="45"/>
  <c r="Z1163" i="45"/>
  <c r="N1163" i="45"/>
  <c r="K1163" i="45"/>
  <c r="AC1162" i="45"/>
  <c r="Z1162" i="45"/>
  <c r="N1162" i="45"/>
  <c r="K1162" i="45"/>
  <c r="AC1161" i="45"/>
  <c r="Z1161" i="45"/>
  <c r="N1161" i="45"/>
  <c r="K1161" i="45"/>
  <c r="AC1160" i="45"/>
  <c r="Z1160" i="45"/>
  <c r="N1160" i="45"/>
  <c r="K1160" i="45"/>
  <c r="AC1159" i="45"/>
  <c r="Z1159" i="45"/>
  <c r="N1159" i="45"/>
  <c r="K1159" i="45"/>
  <c r="AH1158" i="45"/>
  <c r="AA1158" i="45"/>
  <c r="Y1158" i="45"/>
  <c r="X1158" i="45"/>
  <c r="W1158" i="45"/>
  <c r="V1158" i="45"/>
  <c r="U1158" i="45"/>
  <c r="T1158" i="45"/>
  <c r="R1158" i="45"/>
  <c r="Q1158" i="45"/>
  <c r="L1158" i="45"/>
  <c r="J1158" i="45"/>
  <c r="I1158" i="45"/>
  <c r="H1158" i="45"/>
  <c r="G1158" i="45"/>
  <c r="F1158" i="45"/>
  <c r="E1158" i="45"/>
  <c r="C1158" i="45"/>
  <c r="B1158" i="45"/>
  <c r="AC1157" i="45"/>
  <c r="Z1157" i="45"/>
  <c r="N1157" i="45"/>
  <c r="K1157" i="45"/>
  <c r="AC1156" i="45"/>
  <c r="Z1156" i="45"/>
  <c r="N1156" i="45"/>
  <c r="K1156" i="45"/>
  <c r="AC1155" i="45"/>
  <c r="Z1155" i="45"/>
  <c r="N1155" i="45"/>
  <c r="K1155" i="45"/>
  <c r="AC1154" i="45"/>
  <c r="Z1154" i="45"/>
  <c r="N1154" i="45"/>
  <c r="K1154" i="45"/>
  <c r="AC1153" i="45"/>
  <c r="Z1153" i="45"/>
  <c r="N1153" i="45"/>
  <c r="K1153" i="45"/>
  <c r="AC1152" i="45"/>
  <c r="Z1152" i="45"/>
  <c r="AD1152" i="45" s="1"/>
  <c r="AE1152" i="45" s="1"/>
  <c r="AI1152" i="45" s="1"/>
  <c r="N1152" i="45"/>
  <c r="K1152" i="45"/>
  <c r="AC1151" i="45"/>
  <c r="Z1151" i="45"/>
  <c r="N1151" i="45"/>
  <c r="K1151" i="45"/>
  <c r="AC1150" i="45"/>
  <c r="Z1150" i="45"/>
  <c r="N1150" i="45"/>
  <c r="K1150" i="45"/>
  <c r="AC1149" i="45"/>
  <c r="Z1149" i="45"/>
  <c r="AD1149" i="45" s="1"/>
  <c r="AE1149" i="45" s="1"/>
  <c r="AI1149" i="45" s="1"/>
  <c r="N1149" i="45"/>
  <c r="K1149" i="45"/>
  <c r="AC1148" i="45"/>
  <c r="Z1148" i="45"/>
  <c r="AD1148" i="45" s="1"/>
  <c r="N1148" i="45"/>
  <c r="K1148" i="45"/>
  <c r="AC1147" i="45"/>
  <c r="Z1147" i="45"/>
  <c r="AD1147" i="45" s="1"/>
  <c r="N1147" i="45"/>
  <c r="K1147" i="45"/>
  <c r="AH1146" i="45"/>
  <c r="AC1146" i="45"/>
  <c r="Q1146" i="45"/>
  <c r="N1146" i="45"/>
  <c r="B1146" i="45"/>
  <c r="AC1144" i="45"/>
  <c r="Z1144" i="45"/>
  <c r="N1144" i="45"/>
  <c r="K1144" i="45"/>
  <c r="AC1143" i="45"/>
  <c r="Z1143" i="45"/>
  <c r="N1143" i="45"/>
  <c r="K1143" i="45"/>
  <c r="AC1142" i="45"/>
  <c r="Z1142" i="45"/>
  <c r="N1142" i="45"/>
  <c r="K1142" i="45"/>
  <c r="AC1141" i="45"/>
  <c r="Z1141" i="45"/>
  <c r="N1141" i="45"/>
  <c r="K1141" i="45"/>
  <c r="AC1140" i="45"/>
  <c r="Z1140" i="45"/>
  <c r="N1140" i="45"/>
  <c r="K1140" i="45"/>
  <c r="AC1139" i="45"/>
  <c r="Z1139" i="45"/>
  <c r="N1139" i="45"/>
  <c r="K1139" i="45"/>
  <c r="AC1138" i="45"/>
  <c r="Z1138" i="45"/>
  <c r="N1138" i="45"/>
  <c r="K1138" i="45"/>
  <c r="AC1137" i="45"/>
  <c r="Z1137" i="45"/>
  <c r="N1137" i="45"/>
  <c r="K1137" i="45"/>
  <c r="AC1136" i="45"/>
  <c r="Z1136" i="45"/>
  <c r="N1136" i="45"/>
  <c r="K1136" i="45"/>
  <c r="AC1135" i="45"/>
  <c r="Z1135" i="45"/>
  <c r="N1135" i="45"/>
  <c r="K1135" i="45"/>
  <c r="AC1134" i="45"/>
  <c r="Z1134" i="45"/>
  <c r="N1134" i="45"/>
  <c r="K1134" i="45"/>
  <c r="AC1133" i="45"/>
  <c r="Z1133" i="45"/>
  <c r="N1133" i="45"/>
  <c r="K1133" i="45"/>
  <c r="AC1132" i="45"/>
  <c r="Z1132" i="45"/>
  <c r="N1132" i="45"/>
  <c r="K1132" i="45"/>
  <c r="AC1131" i="45"/>
  <c r="Z1131" i="45"/>
  <c r="N1131" i="45"/>
  <c r="K1131" i="45"/>
  <c r="AC1130" i="45"/>
  <c r="Z1130" i="45"/>
  <c r="N1130" i="45"/>
  <c r="K1130" i="45"/>
  <c r="AC1129" i="45"/>
  <c r="Z1129" i="45"/>
  <c r="N1129" i="45"/>
  <c r="K1129" i="45"/>
  <c r="AC1128" i="45"/>
  <c r="Z1128" i="45"/>
  <c r="N1128" i="45"/>
  <c r="K1128" i="45"/>
  <c r="AC1127" i="45"/>
  <c r="Z1127" i="45"/>
  <c r="N1127" i="45"/>
  <c r="K1127" i="45"/>
  <c r="AC1126" i="45"/>
  <c r="Z1126" i="45"/>
  <c r="N1126" i="45"/>
  <c r="K1126" i="45"/>
  <c r="AC1125" i="45"/>
  <c r="Z1125" i="45"/>
  <c r="N1125" i="45"/>
  <c r="K1125" i="45"/>
  <c r="AC1124" i="45"/>
  <c r="Z1124" i="45"/>
  <c r="N1124" i="45"/>
  <c r="K1124" i="45"/>
  <c r="AC1123" i="45"/>
  <c r="Z1123" i="45"/>
  <c r="N1123" i="45"/>
  <c r="K1123" i="45"/>
  <c r="AC1122" i="45"/>
  <c r="Z1122" i="45"/>
  <c r="N1122" i="45"/>
  <c r="K1122" i="45"/>
  <c r="AC1121" i="45"/>
  <c r="Z1121" i="45"/>
  <c r="N1121" i="45"/>
  <c r="K1121" i="45"/>
  <c r="AC1120" i="45"/>
  <c r="Z1120" i="45"/>
  <c r="N1120" i="45"/>
  <c r="K1120" i="45"/>
  <c r="AC1119" i="45"/>
  <c r="Z1119" i="45"/>
  <c r="N1119" i="45"/>
  <c r="K1119" i="45"/>
  <c r="AC1118" i="45"/>
  <c r="Z1118" i="45"/>
  <c r="N1118" i="45"/>
  <c r="K1118" i="45"/>
  <c r="AC1117" i="45"/>
  <c r="Z1117" i="45"/>
  <c r="N1117" i="45"/>
  <c r="K1117" i="45"/>
  <c r="AC1116" i="45"/>
  <c r="Z1116" i="45"/>
  <c r="N1116" i="45"/>
  <c r="K1116" i="45"/>
  <c r="AC1115" i="45"/>
  <c r="Z1115" i="45"/>
  <c r="N1115" i="45"/>
  <c r="K1115" i="45"/>
  <c r="AC1114" i="45"/>
  <c r="Z1114" i="45"/>
  <c r="N1114" i="45"/>
  <c r="K1114" i="45"/>
  <c r="AC1113" i="45"/>
  <c r="Z1113" i="45"/>
  <c r="N1113" i="45"/>
  <c r="K1113" i="45"/>
  <c r="AC1112" i="45"/>
  <c r="Z1112" i="45"/>
  <c r="N1112" i="45"/>
  <c r="K1112" i="45"/>
  <c r="AC1111" i="45"/>
  <c r="Z1111" i="45"/>
  <c r="N1111" i="45"/>
  <c r="K1111" i="45"/>
  <c r="AC1110" i="45"/>
  <c r="Z1110" i="45"/>
  <c r="N1110" i="45"/>
  <c r="K1110" i="45"/>
  <c r="AC1109" i="45"/>
  <c r="Z1109" i="45"/>
  <c r="N1109" i="45"/>
  <c r="K1109" i="45"/>
  <c r="AC1108" i="45"/>
  <c r="Z1108" i="45"/>
  <c r="N1108" i="45"/>
  <c r="K1108" i="45"/>
  <c r="AC1107" i="45"/>
  <c r="Z1107" i="45"/>
  <c r="N1107" i="45"/>
  <c r="K1107" i="45"/>
  <c r="AC1106" i="45"/>
  <c r="Z1106" i="45"/>
  <c r="N1106" i="45"/>
  <c r="K1106" i="45"/>
  <c r="AC1105" i="45"/>
  <c r="Z1105" i="45"/>
  <c r="N1105" i="45"/>
  <c r="K1105" i="45"/>
  <c r="AC1104" i="45"/>
  <c r="Z1104" i="45"/>
  <c r="N1104" i="45"/>
  <c r="K1104" i="45"/>
  <c r="AC1103" i="45"/>
  <c r="Z1103" i="45"/>
  <c r="N1103" i="45"/>
  <c r="K1103" i="45"/>
  <c r="AC1102" i="45"/>
  <c r="Z1102" i="45"/>
  <c r="N1102" i="45"/>
  <c r="K1102" i="45"/>
  <c r="AC1101" i="45"/>
  <c r="Z1101" i="45"/>
  <c r="N1101" i="45"/>
  <c r="K1101" i="45"/>
  <c r="AC1100" i="45"/>
  <c r="Z1100" i="45"/>
  <c r="N1100" i="45"/>
  <c r="K1100" i="45"/>
  <c r="AC1099" i="45"/>
  <c r="Z1099" i="45"/>
  <c r="N1099" i="45"/>
  <c r="K1099" i="45"/>
  <c r="AC1098" i="45"/>
  <c r="Z1098" i="45"/>
  <c r="N1098" i="45"/>
  <c r="K1098" i="45"/>
  <c r="AC1097" i="45"/>
  <c r="Z1097" i="45"/>
  <c r="N1097" i="45"/>
  <c r="K1097" i="45"/>
  <c r="AC1096" i="45"/>
  <c r="Z1096" i="45"/>
  <c r="N1096" i="45"/>
  <c r="K1096" i="45"/>
  <c r="AC1095" i="45"/>
  <c r="Z1095" i="45"/>
  <c r="N1095" i="45"/>
  <c r="K1095" i="45"/>
  <c r="AC1094" i="45"/>
  <c r="Z1094" i="45"/>
  <c r="N1094" i="45"/>
  <c r="K1094" i="45"/>
  <c r="AC1093" i="45"/>
  <c r="Z1093" i="45"/>
  <c r="N1093" i="45"/>
  <c r="K1093" i="45"/>
  <c r="AC1092" i="45"/>
  <c r="Z1092" i="45"/>
  <c r="N1092" i="45"/>
  <c r="K1092" i="45"/>
  <c r="AC1091" i="45"/>
  <c r="Z1091" i="45"/>
  <c r="N1091" i="45"/>
  <c r="K1091" i="45"/>
  <c r="AC1090" i="45"/>
  <c r="Z1090" i="45"/>
  <c r="N1090" i="45"/>
  <c r="K1090" i="45"/>
  <c r="AC1089" i="45"/>
  <c r="Z1089" i="45"/>
  <c r="N1089" i="45"/>
  <c r="K1089" i="45"/>
  <c r="AC1088" i="45"/>
  <c r="Z1088" i="45"/>
  <c r="N1088" i="45"/>
  <c r="K1088" i="45"/>
  <c r="AC1087" i="45"/>
  <c r="Z1087" i="45"/>
  <c r="N1087" i="45"/>
  <c r="K1087" i="45"/>
  <c r="AC1086" i="45"/>
  <c r="Z1086" i="45"/>
  <c r="N1086" i="45"/>
  <c r="K1086" i="45"/>
  <c r="AC1085" i="45"/>
  <c r="Z1085" i="45"/>
  <c r="N1085" i="45"/>
  <c r="K1085" i="45"/>
  <c r="AC1084" i="45"/>
  <c r="Z1084" i="45"/>
  <c r="N1084" i="45"/>
  <c r="K1084" i="45"/>
  <c r="AC1083" i="45"/>
  <c r="Z1083" i="45"/>
  <c r="N1083" i="45"/>
  <c r="K1083" i="45"/>
  <c r="AC1082" i="45"/>
  <c r="Z1082" i="45"/>
  <c r="N1082" i="45"/>
  <c r="K1082" i="45"/>
  <c r="AC1081" i="45"/>
  <c r="Z1081" i="45"/>
  <c r="N1081" i="45"/>
  <c r="K1081" i="45"/>
  <c r="AC1080" i="45"/>
  <c r="Z1080" i="45"/>
  <c r="N1080" i="45"/>
  <c r="K1080" i="45"/>
  <c r="AC1079" i="45"/>
  <c r="Z1079" i="45"/>
  <c r="N1079" i="45"/>
  <c r="K1079" i="45"/>
  <c r="AC1078" i="45"/>
  <c r="Z1078" i="45"/>
  <c r="N1078" i="45"/>
  <c r="K1078" i="45"/>
  <c r="AC1077" i="45"/>
  <c r="Z1077" i="45"/>
  <c r="N1077" i="45"/>
  <c r="K1077" i="45"/>
  <c r="AC1076" i="45"/>
  <c r="Z1076" i="45"/>
  <c r="N1076" i="45"/>
  <c r="K1076" i="45"/>
  <c r="AC1075" i="45"/>
  <c r="Z1075" i="45"/>
  <c r="N1075" i="45"/>
  <c r="K1075" i="45"/>
  <c r="AC1074" i="45"/>
  <c r="Z1074" i="45"/>
  <c r="N1074" i="45"/>
  <c r="K1074" i="45"/>
  <c r="AC1073" i="45"/>
  <c r="Z1073" i="45"/>
  <c r="N1073" i="45"/>
  <c r="K1073" i="45"/>
  <c r="AC1072" i="45"/>
  <c r="Z1072" i="45"/>
  <c r="N1072" i="45"/>
  <c r="K1072" i="45"/>
  <c r="AC1071" i="45"/>
  <c r="Z1071" i="45"/>
  <c r="N1071" i="45"/>
  <c r="K1071" i="45"/>
  <c r="AC1070" i="45"/>
  <c r="Z1070" i="45"/>
  <c r="N1070" i="45"/>
  <c r="K1070" i="45"/>
  <c r="AC1069" i="45"/>
  <c r="Z1069" i="45"/>
  <c r="N1069" i="45"/>
  <c r="K1069" i="45"/>
  <c r="AC1068" i="45"/>
  <c r="Z1068" i="45"/>
  <c r="N1068" i="45"/>
  <c r="K1068" i="45"/>
  <c r="AC1067" i="45"/>
  <c r="Z1067" i="45"/>
  <c r="N1067" i="45"/>
  <c r="K1067" i="45"/>
  <c r="AC1066" i="45"/>
  <c r="Z1066" i="45"/>
  <c r="N1066" i="45"/>
  <c r="K1066" i="45"/>
  <c r="AC1065" i="45"/>
  <c r="Z1065" i="45"/>
  <c r="N1065" i="45"/>
  <c r="K1065" i="45"/>
  <c r="AC1064" i="45"/>
  <c r="Z1064" i="45"/>
  <c r="N1064" i="45"/>
  <c r="K1064" i="45"/>
  <c r="AC1063" i="45"/>
  <c r="Z1063" i="45"/>
  <c r="N1063" i="45"/>
  <c r="K1063" i="45"/>
  <c r="AC1062" i="45"/>
  <c r="Z1062" i="45"/>
  <c r="N1062" i="45"/>
  <c r="K1062" i="45"/>
  <c r="AC1061" i="45"/>
  <c r="Z1061" i="45"/>
  <c r="N1061" i="45"/>
  <c r="K1061" i="45"/>
  <c r="AC1060" i="45"/>
  <c r="Z1060" i="45"/>
  <c r="N1060" i="45"/>
  <c r="K1060" i="45"/>
  <c r="AC1059" i="45"/>
  <c r="Z1059" i="45"/>
  <c r="N1059" i="45"/>
  <c r="K1059" i="45"/>
  <c r="AC1058" i="45"/>
  <c r="Z1058" i="45"/>
  <c r="N1058" i="45"/>
  <c r="K1058" i="45"/>
  <c r="AC1057" i="45"/>
  <c r="Z1057" i="45"/>
  <c r="N1057" i="45"/>
  <c r="K1057" i="45"/>
  <c r="AC1056" i="45"/>
  <c r="Z1056" i="45"/>
  <c r="N1056" i="45"/>
  <c r="K1056" i="45"/>
  <c r="AC1055" i="45"/>
  <c r="Z1055" i="45"/>
  <c r="N1055" i="45"/>
  <c r="K1055" i="45"/>
  <c r="AC1054" i="45"/>
  <c r="Z1054" i="45"/>
  <c r="N1054" i="45"/>
  <c r="K1054" i="45"/>
  <c r="AC1053" i="45"/>
  <c r="Z1053" i="45"/>
  <c r="N1053" i="45"/>
  <c r="K1053" i="45"/>
  <c r="AC1052" i="45"/>
  <c r="Z1052" i="45"/>
  <c r="N1052" i="45"/>
  <c r="K1052" i="45"/>
  <c r="AC1051" i="45"/>
  <c r="Z1051" i="45"/>
  <c r="N1051" i="45"/>
  <c r="K1051" i="45"/>
  <c r="AC1050" i="45"/>
  <c r="Z1050" i="45"/>
  <c r="N1050" i="45"/>
  <c r="K1050" i="45"/>
  <c r="AC1049" i="45"/>
  <c r="Z1049" i="45"/>
  <c r="N1049" i="45"/>
  <c r="K1049" i="45"/>
  <c r="AC1048" i="45"/>
  <c r="Z1048" i="45"/>
  <c r="N1048" i="45"/>
  <c r="K1048" i="45"/>
  <c r="AC1047" i="45"/>
  <c r="Z1047" i="45"/>
  <c r="N1047" i="45"/>
  <c r="K1047" i="45"/>
  <c r="AC1046" i="45"/>
  <c r="Z1046" i="45"/>
  <c r="N1046" i="45"/>
  <c r="K1046" i="45"/>
  <c r="AC1045" i="45"/>
  <c r="Z1045" i="45"/>
  <c r="N1045" i="45"/>
  <c r="K1045" i="45"/>
  <c r="AC1044" i="45"/>
  <c r="Z1044" i="45"/>
  <c r="N1044" i="45"/>
  <c r="K1044" i="45"/>
  <c r="AC1043" i="45"/>
  <c r="Z1043" i="45"/>
  <c r="N1043" i="45"/>
  <c r="K1043" i="45"/>
  <c r="AC1042" i="45"/>
  <c r="Z1042" i="45"/>
  <c r="N1042" i="45"/>
  <c r="K1042" i="45"/>
  <c r="AC1041" i="45"/>
  <c r="Z1041" i="45"/>
  <c r="N1041" i="45"/>
  <c r="K1041" i="45"/>
  <c r="AC1040" i="45"/>
  <c r="Z1040" i="45"/>
  <c r="N1040" i="45"/>
  <c r="K1040" i="45"/>
  <c r="AC1039" i="45"/>
  <c r="Z1039" i="45"/>
  <c r="N1039" i="45"/>
  <c r="K1039" i="45"/>
  <c r="AC1038" i="45"/>
  <c r="Z1038" i="45"/>
  <c r="N1038" i="45"/>
  <c r="K1038" i="45"/>
  <c r="AC1037" i="45"/>
  <c r="Z1037" i="45"/>
  <c r="N1037" i="45"/>
  <c r="K1037" i="45"/>
  <c r="AC1036" i="45"/>
  <c r="Z1036" i="45"/>
  <c r="N1036" i="45"/>
  <c r="K1036" i="45"/>
  <c r="AC1035" i="45"/>
  <c r="Z1035" i="45"/>
  <c r="N1035" i="45"/>
  <c r="K1035" i="45"/>
  <c r="AC1034" i="45"/>
  <c r="Z1034" i="45"/>
  <c r="N1034" i="45"/>
  <c r="K1034" i="45"/>
  <c r="AC1033" i="45"/>
  <c r="Z1033" i="45"/>
  <c r="N1033" i="45"/>
  <c r="K1033" i="45"/>
  <c r="AC1032" i="45"/>
  <c r="Z1032" i="45"/>
  <c r="N1032" i="45"/>
  <c r="K1032" i="45"/>
  <c r="AC1031" i="45"/>
  <c r="Z1031" i="45"/>
  <c r="N1031" i="45"/>
  <c r="K1031" i="45"/>
  <c r="AC1030" i="45"/>
  <c r="Z1030" i="45"/>
  <c r="N1030" i="45"/>
  <c r="K1030" i="45"/>
  <c r="AC1029" i="45"/>
  <c r="Z1029" i="45"/>
  <c r="N1029" i="45"/>
  <c r="K1029" i="45"/>
  <c r="AC1028" i="45"/>
  <c r="Z1028" i="45"/>
  <c r="N1028" i="45"/>
  <c r="K1028" i="45"/>
  <c r="AC1027" i="45"/>
  <c r="Z1027" i="45"/>
  <c r="N1027" i="45"/>
  <c r="K1027" i="45"/>
  <c r="AH1026" i="45"/>
  <c r="AA1026" i="45"/>
  <c r="AC1026" i="45" s="1"/>
  <c r="Y1026" i="45"/>
  <c r="X1026" i="45"/>
  <c r="W1026" i="45"/>
  <c r="V1026" i="45"/>
  <c r="U1026" i="45"/>
  <c r="T1026" i="45"/>
  <c r="S1026" i="45"/>
  <c r="R1026" i="45"/>
  <c r="Q1026" i="45"/>
  <c r="L1026" i="45"/>
  <c r="N1026" i="45" s="1"/>
  <c r="J1026" i="45"/>
  <c r="I1026" i="45"/>
  <c r="H1026" i="45"/>
  <c r="G1026" i="45"/>
  <c r="F1026" i="45"/>
  <c r="E1026" i="45"/>
  <c r="D1026" i="45"/>
  <c r="C1026" i="45"/>
  <c r="B1026" i="45"/>
  <c r="AC1025" i="45"/>
  <c r="Z1025" i="45"/>
  <c r="N1025" i="45"/>
  <c r="K1025" i="45"/>
  <c r="AC1024" i="45"/>
  <c r="Z1024" i="45"/>
  <c r="N1024" i="45"/>
  <c r="K1024" i="45"/>
  <c r="AC1023" i="45"/>
  <c r="Z1023" i="45"/>
  <c r="N1023" i="45"/>
  <c r="K1023" i="45"/>
  <c r="AC1022" i="45"/>
  <c r="Z1022" i="45"/>
  <c r="N1022" i="45"/>
  <c r="K1022" i="45"/>
  <c r="AC1021" i="45"/>
  <c r="Z1021" i="45"/>
  <c r="N1021" i="45"/>
  <c r="K1021" i="45"/>
  <c r="AC1020" i="45"/>
  <c r="Z1020" i="45"/>
  <c r="N1020" i="45"/>
  <c r="K1020" i="45"/>
  <c r="AC1019" i="45"/>
  <c r="Z1019" i="45"/>
  <c r="N1019" i="45"/>
  <c r="K1019" i="45"/>
  <c r="AC1018" i="45"/>
  <c r="Z1018" i="45"/>
  <c r="N1018" i="45"/>
  <c r="K1018" i="45"/>
  <c r="AC1017" i="45"/>
  <c r="Z1017" i="45"/>
  <c r="N1017" i="45"/>
  <c r="K1017" i="45"/>
  <c r="AC1016" i="45"/>
  <c r="Z1016" i="45"/>
  <c r="N1016" i="45"/>
  <c r="K1016" i="45"/>
  <c r="AC1015" i="45"/>
  <c r="Z1015" i="45"/>
  <c r="N1015" i="45"/>
  <c r="K1015" i="45"/>
  <c r="AC1014" i="45"/>
  <c r="Z1014" i="45"/>
  <c r="N1014" i="45"/>
  <c r="K1014" i="45"/>
  <c r="AC1013" i="45"/>
  <c r="Z1013" i="45"/>
  <c r="N1013" i="45"/>
  <c r="K1013" i="45"/>
  <c r="AC1012" i="45"/>
  <c r="Z1012" i="45"/>
  <c r="N1012" i="45"/>
  <c r="K1012" i="45"/>
  <c r="AC1011" i="45"/>
  <c r="Z1011" i="45"/>
  <c r="N1011" i="45"/>
  <c r="K1011" i="45"/>
  <c r="AC1010" i="45"/>
  <c r="Z1010" i="45"/>
  <c r="N1010" i="45"/>
  <c r="K1010" i="45"/>
  <c r="AC1009" i="45"/>
  <c r="Z1009" i="45"/>
  <c r="N1009" i="45"/>
  <c r="K1009" i="45"/>
  <c r="AC1008" i="45"/>
  <c r="Z1008" i="45"/>
  <c r="N1008" i="45"/>
  <c r="K1008" i="45"/>
  <c r="AC1007" i="45"/>
  <c r="Z1007" i="45"/>
  <c r="N1007" i="45"/>
  <c r="K1007" i="45"/>
  <c r="AC1006" i="45"/>
  <c r="Z1006" i="45"/>
  <c r="N1006" i="45"/>
  <c r="K1006" i="45"/>
  <c r="AC1005" i="45"/>
  <c r="Z1005" i="45"/>
  <c r="N1005" i="45"/>
  <c r="K1005" i="45"/>
  <c r="AC1004" i="45"/>
  <c r="Z1004" i="45"/>
  <c r="N1004" i="45"/>
  <c r="K1004" i="45"/>
  <c r="AC1003" i="45"/>
  <c r="Z1003" i="45"/>
  <c r="N1003" i="45"/>
  <c r="K1003" i="45"/>
  <c r="AC1002" i="45"/>
  <c r="Z1002" i="45"/>
  <c r="N1002" i="45"/>
  <c r="K1002" i="45"/>
  <c r="AC1001" i="45"/>
  <c r="Z1001" i="45"/>
  <c r="N1001" i="45"/>
  <c r="K1001" i="45"/>
  <c r="AC1000" i="45"/>
  <c r="Z1000" i="45"/>
  <c r="N1000" i="45"/>
  <c r="K1000" i="45"/>
  <c r="AC999" i="45"/>
  <c r="Z999" i="45"/>
  <c r="N999" i="45"/>
  <c r="K999" i="45"/>
  <c r="AC998" i="45"/>
  <c r="Z998" i="45"/>
  <c r="N998" i="45"/>
  <c r="K998" i="45"/>
  <c r="AC997" i="45"/>
  <c r="Z997" i="45"/>
  <c r="N997" i="45"/>
  <c r="K997" i="45"/>
  <c r="AC996" i="45"/>
  <c r="Z996" i="45"/>
  <c r="N996" i="45"/>
  <c r="K996" i="45"/>
  <c r="AC995" i="45"/>
  <c r="Z995" i="45"/>
  <c r="N995" i="45"/>
  <c r="K995" i="45"/>
  <c r="AC994" i="45"/>
  <c r="Z994" i="45"/>
  <c r="N994" i="45"/>
  <c r="K994" i="45"/>
  <c r="AC993" i="45"/>
  <c r="Z993" i="45"/>
  <c r="N993" i="45"/>
  <c r="K993" i="45"/>
  <c r="AC992" i="45"/>
  <c r="Z992" i="45"/>
  <c r="N992" i="45"/>
  <c r="K992" i="45"/>
  <c r="AC991" i="45"/>
  <c r="Z991" i="45"/>
  <c r="N991" i="45"/>
  <c r="K991" i="45"/>
  <c r="AC990" i="45"/>
  <c r="Z990" i="45"/>
  <c r="N990" i="45"/>
  <c r="K990" i="45"/>
  <c r="AC989" i="45"/>
  <c r="Z989" i="45"/>
  <c r="N989" i="45"/>
  <c r="K989" i="45"/>
  <c r="AC988" i="45"/>
  <c r="Z988" i="45"/>
  <c r="N988" i="45"/>
  <c r="K988" i="45"/>
  <c r="AC987" i="45"/>
  <c r="Z987" i="45"/>
  <c r="N987" i="45"/>
  <c r="K987" i="45"/>
  <c r="AC986" i="45"/>
  <c r="Z986" i="45"/>
  <c r="N986" i="45"/>
  <c r="K986" i="45"/>
  <c r="AC985" i="45"/>
  <c r="Z985" i="45"/>
  <c r="N985" i="45"/>
  <c r="K985" i="45"/>
  <c r="AC984" i="45"/>
  <c r="Z984" i="45"/>
  <c r="N984" i="45"/>
  <c r="K984" i="45"/>
  <c r="AC983" i="45"/>
  <c r="Z983" i="45"/>
  <c r="N983" i="45"/>
  <c r="K983" i="45"/>
  <c r="AC982" i="45"/>
  <c r="Z982" i="45"/>
  <c r="N982" i="45"/>
  <c r="K982" i="45"/>
  <c r="AC981" i="45"/>
  <c r="Z981" i="45"/>
  <c r="N981" i="45"/>
  <c r="K981" i="45"/>
  <c r="AC980" i="45"/>
  <c r="Z980" i="45"/>
  <c r="N980" i="45"/>
  <c r="K980" i="45"/>
  <c r="AC979" i="45"/>
  <c r="Z979" i="45"/>
  <c r="N979" i="45"/>
  <c r="K979" i="45"/>
  <c r="AH978" i="45"/>
  <c r="AA978" i="45"/>
  <c r="AC978" i="45" s="1"/>
  <c r="Y978" i="45"/>
  <c r="X978" i="45"/>
  <c r="W978" i="45"/>
  <c r="V978" i="45"/>
  <c r="U978" i="45"/>
  <c r="T978" i="45"/>
  <c r="S978" i="45"/>
  <c r="R978" i="45"/>
  <c r="Q978" i="45"/>
  <c r="L978" i="45"/>
  <c r="N978" i="45" s="1"/>
  <c r="J978" i="45"/>
  <c r="I978" i="45"/>
  <c r="H978" i="45"/>
  <c r="G978" i="45"/>
  <c r="F978" i="45"/>
  <c r="E978" i="45"/>
  <c r="D978" i="45"/>
  <c r="C978" i="45"/>
  <c r="B978" i="45"/>
  <c r="AC977" i="45"/>
  <c r="Z977" i="45"/>
  <c r="N977" i="45"/>
  <c r="K977" i="45"/>
  <c r="AC976" i="45"/>
  <c r="Z976" i="45"/>
  <c r="N976" i="45"/>
  <c r="K976" i="45"/>
  <c r="AC975" i="45"/>
  <c r="Z975" i="45"/>
  <c r="N975" i="45"/>
  <c r="K975" i="45"/>
  <c r="AC974" i="45"/>
  <c r="Z974" i="45"/>
  <c r="N974" i="45"/>
  <c r="K974" i="45"/>
  <c r="AC973" i="45"/>
  <c r="Z973" i="45"/>
  <c r="N973" i="45"/>
  <c r="K973" i="45"/>
  <c r="AC972" i="45"/>
  <c r="Z972" i="45"/>
  <c r="N972" i="45"/>
  <c r="K972" i="45"/>
  <c r="AC971" i="45"/>
  <c r="Z971" i="45"/>
  <c r="N971" i="45"/>
  <c r="K971" i="45"/>
  <c r="AC970" i="45"/>
  <c r="Z970" i="45"/>
  <c r="N970" i="45"/>
  <c r="K970" i="45"/>
  <c r="AC969" i="45"/>
  <c r="Z969" i="45"/>
  <c r="N969" i="45"/>
  <c r="K969" i="45"/>
  <c r="AC968" i="45"/>
  <c r="Z968" i="45"/>
  <c r="N968" i="45"/>
  <c r="K968" i="45"/>
  <c r="AC967" i="45"/>
  <c r="Z967" i="45"/>
  <c r="N967" i="45"/>
  <c r="K967" i="45"/>
  <c r="AC966" i="45"/>
  <c r="Z966" i="45"/>
  <c r="N966" i="45"/>
  <c r="K966" i="45"/>
  <c r="AC965" i="45"/>
  <c r="Z965" i="45"/>
  <c r="N965" i="45"/>
  <c r="K965" i="45"/>
  <c r="AC964" i="45"/>
  <c r="Z964" i="45"/>
  <c r="N964" i="45"/>
  <c r="K964" i="45"/>
  <c r="AC963" i="45"/>
  <c r="Z963" i="45"/>
  <c r="N963" i="45"/>
  <c r="K963" i="45"/>
  <c r="AC962" i="45"/>
  <c r="Z962" i="45"/>
  <c r="N962" i="45"/>
  <c r="K962" i="45"/>
  <c r="AC961" i="45"/>
  <c r="Z961" i="45"/>
  <c r="N961" i="45"/>
  <c r="K961" i="45"/>
  <c r="AC960" i="45"/>
  <c r="Z960" i="45"/>
  <c r="N960" i="45"/>
  <c r="K960" i="45"/>
  <c r="AC959" i="45"/>
  <c r="Z959" i="45"/>
  <c r="N959" i="45"/>
  <c r="K959" i="45"/>
  <c r="AC958" i="45"/>
  <c r="Z958" i="45"/>
  <c r="N958" i="45"/>
  <c r="K958" i="45"/>
  <c r="AC957" i="45"/>
  <c r="Z957" i="45"/>
  <c r="N957" i="45"/>
  <c r="K957" i="45"/>
  <c r="AC956" i="45"/>
  <c r="Z956" i="45"/>
  <c r="N956" i="45"/>
  <c r="K956" i="45"/>
  <c r="AC955" i="45"/>
  <c r="Z955" i="45"/>
  <c r="N955" i="45"/>
  <c r="K955" i="45"/>
  <c r="AC954" i="45"/>
  <c r="Z954" i="45"/>
  <c r="N954" i="45"/>
  <c r="K954" i="45"/>
  <c r="AC953" i="45"/>
  <c r="Z953" i="45"/>
  <c r="N953" i="45"/>
  <c r="K953" i="45"/>
  <c r="AC952" i="45"/>
  <c r="Z952" i="45"/>
  <c r="N952" i="45"/>
  <c r="K952" i="45"/>
  <c r="AC951" i="45"/>
  <c r="Z951" i="45"/>
  <c r="N951" i="45"/>
  <c r="K951" i="45"/>
  <c r="AC950" i="45"/>
  <c r="Z950" i="45"/>
  <c r="N950" i="45"/>
  <c r="K950" i="45"/>
  <c r="AC949" i="45"/>
  <c r="Z949" i="45"/>
  <c r="N949" i="45"/>
  <c r="K949" i="45"/>
  <c r="AC948" i="45"/>
  <c r="Z948" i="45"/>
  <c r="N948" i="45"/>
  <c r="K948" i="45"/>
  <c r="AC947" i="45"/>
  <c r="Z947" i="45"/>
  <c r="N947" i="45"/>
  <c r="K947" i="45"/>
  <c r="AC946" i="45"/>
  <c r="Z946" i="45"/>
  <c r="N946" i="45"/>
  <c r="K946" i="45"/>
  <c r="AC945" i="45"/>
  <c r="Z945" i="45"/>
  <c r="N945" i="45"/>
  <c r="K945" i="45"/>
  <c r="AC944" i="45"/>
  <c r="Z944" i="45"/>
  <c r="N944" i="45"/>
  <c r="K944" i="45"/>
  <c r="AC943" i="45"/>
  <c r="Z943" i="45"/>
  <c r="N943" i="45"/>
  <c r="K943" i="45"/>
  <c r="AC942" i="45"/>
  <c r="Z942" i="45"/>
  <c r="N942" i="45"/>
  <c r="K942" i="45"/>
  <c r="AC941" i="45"/>
  <c r="Z941" i="45"/>
  <c r="N941" i="45"/>
  <c r="K941" i="45"/>
  <c r="AC940" i="45"/>
  <c r="Z940" i="45"/>
  <c r="N940" i="45"/>
  <c r="K940" i="45"/>
  <c r="AC939" i="45"/>
  <c r="Z939" i="45"/>
  <c r="N939" i="45"/>
  <c r="K939" i="45"/>
  <c r="AC938" i="45"/>
  <c r="Z938" i="45"/>
  <c r="N938" i="45"/>
  <c r="K938" i="45"/>
  <c r="AC937" i="45"/>
  <c r="Z937" i="45"/>
  <c r="N937" i="45"/>
  <c r="K937" i="45"/>
  <c r="AC936" i="45"/>
  <c r="Z936" i="45"/>
  <c r="N936" i="45"/>
  <c r="K936" i="45"/>
  <c r="AC935" i="45"/>
  <c r="Z935" i="45"/>
  <c r="N935" i="45"/>
  <c r="K935" i="45"/>
  <c r="AC934" i="45"/>
  <c r="Z934" i="45"/>
  <c r="N934" i="45"/>
  <c r="K934" i="45"/>
  <c r="AC933" i="45"/>
  <c r="Z933" i="45"/>
  <c r="N933" i="45"/>
  <c r="K933" i="45"/>
  <c r="AC932" i="45"/>
  <c r="Z932" i="45"/>
  <c r="N932" i="45"/>
  <c r="K932" i="45"/>
  <c r="AC931" i="45"/>
  <c r="Z931" i="45"/>
  <c r="N931" i="45"/>
  <c r="K931" i="45"/>
  <c r="AC930" i="45"/>
  <c r="Z930" i="45"/>
  <c r="N930" i="45"/>
  <c r="K930" i="45"/>
  <c r="AC929" i="45"/>
  <c r="Z929" i="45"/>
  <c r="N929" i="45"/>
  <c r="K929" i="45"/>
  <c r="AC928" i="45"/>
  <c r="Z928" i="45"/>
  <c r="N928" i="45"/>
  <c r="K928" i="45"/>
  <c r="AC927" i="45"/>
  <c r="Z927" i="45"/>
  <c r="N927" i="45"/>
  <c r="K927" i="45"/>
  <c r="AC926" i="45"/>
  <c r="Z926" i="45"/>
  <c r="N926" i="45"/>
  <c r="K926" i="45"/>
  <c r="AC925" i="45"/>
  <c r="Z925" i="45"/>
  <c r="N925" i="45"/>
  <c r="K925" i="45"/>
  <c r="AC924" i="45"/>
  <c r="Z924" i="45"/>
  <c r="N924" i="45"/>
  <c r="K924" i="45"/>
  <c r="AC923" i="45"/>
  <c r="Z923" i="45"/>
  <c r="N923" i="45"/>
  <c r="K923" i="45"/>
  <c r="AC922" i="45"/>
  <c r="Z922" i="45"/>
  <c r="N922" i="45"/>
  <c r="K922" i="45"/>
  <c r="AC921" i="45"/>
  <c r="Z921" i="45"/>
  <c r="N921" i="45"/>
  <c r="K921" i="45"/>
  <c r="AC920" i="45"/>
  <c r="Z920" i="45"/>
  <c r="N920" i="45"/>
  <c r="K920" i="45"/>
  <c r="AC919" i="45"/>
  <c r="Z919" i="45"/>
  <c r="N919" i="45"/>
  <c r="K919" i="45"/>
  <c r="AC918" i="45"/>
  <c r="Z918" i="45"/>
  <c r="N918" i="45"/>
  <c r="K918" i="45"/>
  <c r="AC917" i="45"/>
  <c r="Z917" i="45"/>
  <c r="N917" i="45"/>
  <c r="K917" i="45"/>
  <c r="AH916" i="45"/>
  <c r="AA916" i="45"/>
  <c r="AC916" i="45" s="1"/>
  <c r="Y916" i="45"/>
  <c r="X916" i="45"/>
  <c r="W916" i="45"/>
  <c r="V916" i="45"/>
  <c r="U916" i="45"/>
  <c r="T916" i="45"/>
  <c r="S916" i="45"/>
  <c r="R916" i="45"/>
  <c r="Q916" i="45"/>
  <c r="L916" i="45"/>
  <c r="N916" i="45" s="1"/>
  <c r="J916" i="45"/>
  <c r="I916" i="45"/>
  <c r="H916" i="45"/>
  <c r="G916" i="45"/>
  <c r="F916" i="45"/>
  <c r="E916" i="45"/>
  <c r="D916" i="45"/>
  <c r="C916" i="45"/>
  <c r="B916" i="45"/>
  <c r="AC915" i="45"/>
  <c r="Z915" i="45"/>
  <c r="N915" i="45"/>
  <c r="K915" i="45"/>
  <c r="AC914" i="45"/>
  <c r="Z914" i="45"/>
  <c r="N914" i="45"/>
  <c r="K914" i="45"/>
  <c r="AC913" i="45"/>
  <c r="Z913" i="45"/>
  <c r="N913" i="45"/>
  <c r="K913" i="45"/>
  <c r="AC912" i="45"/>
  <c r="Z912" i="45"/>
  <c r="N912" i="45"/>
  <c r="K912" i="45"/>
  <c r="AC911" i="45"/>
  <c r="Z911" i="45"/>
  <c r="N911" i="45"/>
  <c r="K911" i="45"/>
  <c r="AC910" i="45"/>
  <c r="Z910" i="45"/>
  <c r="N910" i="45"/>
  <c r="K910" i="45"/>
  <c r="AC909" i="45"/>
  <c r="Z909" i="45"/>
  <c r="N909" i="45"/>
  <c r="K909" i="45"/>
  <c r="AC908" i="45"/>
  <c r="Z908" i="45"/>
  <c r="N908" i="45"/>
  <c r="K908" i="45"/>
  <c r="AC907" i="45"/>
  <c r="Z907" i="45"/>
  <c r="N907" i="45"/>
  <c r="K907" i="45"/>
  <c r="AC906" i="45"/>
  <c r="Z906" i="45"/>
  <c r="N906" i="45"/>
  <c r="K906" i="45"/>
  <c r="AC905" i="45"/>
  <c r="Z905" i="45"/>
  <c r="N905" i="45"/>
  <c r="K905" i="45"/>
  <c r="AC904" i="45"/>
  <c r="Z904" i="45"/>
  <c r="N904" i="45"/>
  <c r="K904" i="45"/>
  <c r="AC903" i="45"/>
  <c r="Z903" i="45"/>
  <c r="N903" i="45"/>
  <c r="K903" i="45"/>
  <c r="AC902" i="45"/>
  <c r="Z902" i="45"/>
  <c r="N902" i="45"/>
  <c r="K902" i="45"/>
  <c r="AC901" i="45"/>
  <c r="Z901" i="45"/>
  <c r="N901" i="45"/>
  <c r="K901" i="45"/>
  <c r="AC900" i="45"/>
  <c r="Z900" i="45"/>
  <c r="N900" i="45"/>
  <c r="K900" i="45"/>
  <c r="AC899" i="45"/>
  <c r="Z899" i="45"/>
  <c r="N899" i="45"/>
  <c r="K899" i="45"/>
  <c r="AC898" i="45"/>
  <c r="Z898" i="45"/>
  <c r="N898" i="45"/>
  <c r="K898" i="45"/>
  <c r="AC897" i="45"/>
  <c r="Z897" i="45"/>
  <c r="N897" i="45"/>
  <c r="K897" i="45"/>
  <c r="AC896" i="45"/>
  <c r="Z896" i="45"/>
  <c r="N896" i="45"/>
  <c r="K896" i="45"/>
  <c r="AC895" i="45"/>
  <c r="Z895" i="45"/>
  <c r="N895" i="45"/>
  <c r="K895" i="45"/>
  <c r="AC894" i="45"/>
  <c r="Z894" i="45"/>
  <c r="N894" i="45"/>
  <c r="K894" i="45"/>
  <c r="AC893" i="45"/>
  <c r="Z893" i="45"/>
  <c r="N893" i="45"/>
  <c r="K893" i="45"/>
  <c r="AC892" i="45"/>
  <c r="Z892" i="45"/>
  <c r="N892" i="45"/>
  <c r="K892" i="45"/>
  <c r="AC891" i="45"/>
  <c r="Z891" i="45"/>
  <c r="N891" i="45"/>
  <c r="K891" i="45"/>
  <c r="AC890" i="45"/>
  <c r="Z890" i="45"/>
  <c r="N890" i="45"/>
  <c r="K890" i="45"/>
  <c r="AC889" i="45"/>
  <c r="Z889" i="45"/>
  <c r="N889" i="45"/>
  <c r="K889" i="45"/>
  <c r="AC888" i="45"/>
  <c r="Z888" i="45"/>
  <c r="N888" i="45"/>
  <c r="K888" i="45"/>
  <c r="AC887" i="45"/>
  <c r="Z887" i="45"/>
  <c r="N887" i="45"/>
  <c r="K887" i="45"/>
  <c r="AC886" i="45"/>
  <c r="Z886" i="45"/>
  <c r="N886" i="45"/>
  <c r="K886" i="45"/>
  <c r="AH885" i="45"/>
  <c r="AA885" i="45"/>
  <c r="AC885" i="45" s="1"/>
  <c r="Y885" i="45"/>
  <c r="X885" i="45"/>
  <c r="W885" i="45"/>
  <c r="V885" i="45"/>
  <c r="U885" i="45"/>
  <c r="T885" i="45"/>
  <c r="R885" i="45"/>
  <c r="Q885" i="45"/>
  <c r="L885" i="45"/>
  <c r="N885" i="45" s="1"/>
  <c r="J885" i="45"/>
  <c r="I885" i="45"/>
  <c r="H885" i="45"/>
  <c r="G885" i="45"/>
  <c r="F885" i="45"/>
  <c r="E885" i="45"/>
  <c r="C885" i="45"/>
  <c r="B885" i="45"/>
  <c r="AC884" i="45"/>
  <c r="Z884" i="45"/>
  <c r="N884" i="45"/>
  <c r="K884" i="45"/>
  <c r="AC883" i="45"/>
  <c r="Z883" i="45"/>
  <c r="N883" i="45"/>
  <c r="K883" i="45"/>
  <c r="AC882" i="45"/>
  <c r="Z882" i="45"/>
  <c r="N882" i="45"/>
  <c r="K882" i="45"/>
  <c r="AC881" i="45"/>
  <c r="Z881" i="45"/>
  <c r="N881" i="45"/>
  <c r="K881" i="45"/>
  <c r="AC880" i="45"/>
  <c r="Z880" i="45"/>
  <c r="N880" i="45"/>
  <c r="K880" i="45"/>
  <c r="AC879" i="45"/>
  <c r="Z879" i="45"/>
  <c r="N879" i="45"/>
  <c r="K879" i="45"/>
  <c r="AC878" i="45"/>
  <c r="Z878" i="45"/>
  <c r="N878" i="45"/>
  <c r="K878" i="45"/>
  <c r="AC877" i="45"/>
  <c r="Z877" i="45"/>
  <c r="N877" i="45"/>
  <c r="K877" i="45"/>
  <c r="AC876" i="45"/>
  <c r="Z876" i="45"/>
  <c r="N876" i="45"/>
  <c r="K876" i="45"/>
  <c r="AC875" i="45"/>
  <c r="Z875" i="45"/>
  <c r="N875" i="45"/>
  <c r="K875" i="45"/>
  <c r="AC874" i="45"/>
  <c r="Z874" i="45"/>
  <c r="N874" i="45"/>
  <c r="K874" i="45"/>
  <c r="AC873" i="45"/>
  <c r="Z873" i="45"/>
  <c r="N873" i="45"/>
  <c r="K873" i="45"/>
  <c r="AC872" i="45"/>
  <c r="Z872" i="45"/>
  <c r="N872" i="45"/>
  <c r="K872" i="45"/>
  <c r="AC871" i="45"/>
  <c r="Z871" i="45"/>
  <c r="N871" i="45"/>
  <c r="K871" i="45"/>
  <c r="AC870" i="45"/>
  <c r="Z870" i="45"/>
  <c r="N870" i="45"/>
  <c r="K870" i="45"/>
  <c r="AC869" i="45"/>
  <c r="Z869" i="45"/>
  <c r="N869" i="45"/>
  <c r="K869" i="45"/>
  <c r="AC868" i="45"/>
  <c r="Z868" i="45"/>
  <c r="N868" i="45"/>
  <c r="K868" i="45"/>
  <c r="AC867" i="45"/>
  <c r="Z867" i="45"/>
  <c r="N867" i="45"/>
  <c r="K867" i="45"/>
  <c r="AC866" i="45"/>
  <c r="Z866" i="45"/>
  <c r="N866" i="45"/>
  <c r="K866" i="45"/>
  <c r="AC865" i="45"/>
  <c r="Z865" i="45"/>
  <c r="N865" i="45"/>
  <c r="K865" i="45"/>
  <c r="AC864" i="45"/>
  <c r="Z864" i="45"/>
  <c r="N864" i="45"/>
  <c r="K864" i="45"/>
  <c r="AC863" i="45"/>
  <c r="Z863" i="45"/>
  <c r="N863" i="45"/>
  <c r="K863" i="45"/>
  <c r="AC862" i="45"/>
  <c r="Z862" i="45"/>
  <c r="N862" i="45"/>
  <c r="K862" i="45"/>
  <c r="AC861" i="45"/>
  <c r="Z861" i="45"/>
  <c r="N861" i="45"/>
  <c r="K861" i="45"/>
  <c r="AC860" i="45"/>
  <c r="Z860" i="45"/>
  <c r="N860" i="45"/>
  <c r="K860" i="45"/>
  <c r="AC859" i="45"/>
  <c r="Z859" i="45"/>
  <c r="N859" i="45"/>
  <c r="K859" i="45"/>
  <c r="AC858" i="45"/>
  <c r="Z858" i="45"/>
  <c r="N858" i="45"/>
  <c r="K858" i="45"/>
  <c r="AC857" i="45"/>
  <c r="Z857" i="45"/>
  <c r="N857" i="45"/>
  <c r="K857" i="45"/>
  <c r="AC856" i="45"/>
  <c r="Z856" i="45"/>
  <c r="N856" i="45"/>
  <c r="K856" i="45"/>
  <c r="AC855" i="45"/>
  <c r="Z855" i="45"/>
  <c r="N855" i="45"/>
  <c r="K855" i="45"/>
  <c r="AC854" i="45"/>
  <c r="Z854" i="45"/>
  <c r="N854" i="45"/>
  <c r="K854" i="45"/>
  <c r="AC853" i="45"/>
  <c r="Z853" i="45"/>
  <c r="N853" i="45"/>
  <c r="K853" i="45"/>
  <c r="AC852" i="45"/>
  <c r="Z852" i="45"/>
  <c r="N852" i="45"/>
  <c r="K852" i="45"/>
  <c r="AC851" i="45"/>
  <c r="Z851" i="45"/>
  <c r="N851" i="45"/>
  <c r="K851" i="45"/>
  <c r="AC850" i="45"/>
  <c r="Z850" i="45"/>
  <c r="N850" i="45"/>
  <c r="K850" i="45"/>
  <c r="AC849" i="45"/>
  <c r="Z849" i="45"/>
  <c r="N849" i="45"/>
  <c r="K849" i="45"/>
  <c r="AC848" i="45"/>
  <c r="Z848" i="45"/>
  <c r="N848" i="45"/>
  <c r="K848" i="45"/>
  <c r="AC847" i="45"/>
  <c r="Z847" i="45"/>
  <c r="N847" i="45"/>
  <c r="K847" i="45"/>
  <c r="AC846" i="45"/>
  <c r="Z846" i="45"/>
  <c r="N846" i="45"/>
  <c r="K846" i="45"/>
  <c r="AC845" i="45"/>
  <c r="Z845" i="45"/>
  <c r="N845" i="45"/>
  <c r="K845" i="45"/>
  <c r="AC844" i="45"/>
  <c r="Z844" i="45"/>
  <c r="N844" i="45"/>
  <c r="K844" i="45"/>
  <c r="AC843" i="45"/>
  <c r="Z843" i="45"/>
  <c r="N843" i="45"/>
  <c r="K843" i="45"/>
  <c r="AC842" i="45"/>
  <c r="Z842" i="45"/>
  <c r="N842" i="45"/>
  <c r="K842" i="45"/>
  <c r="AC841" i="45"/>
  <c r="Z841" i="45"/>
  <c r="N841" i="45"/>
  <c r="K841" i="45"/>
  <c r="AC840" i="45"/>
  <c r="Z840" i="45"/>
  <c r="N840" i="45"/>
  <c r="K840" i="45"/>
  <c r="AC839" i="45"/>
  <c r="Z839" i="45"/>
  <c r="N839" i="45"/>
  <c r="K839" i="45"/>
  <c r="AC838" i="45"/>
  <c r="Z838" i="45"/>
  <c r="N838" i="45"/>
  <c r="K838" i="45"/>
  <c r="AC837" i="45"/>
  <c r="Z837" i="45"/>
  <c r="N837" i="45"/>
  <c r="K837" i="45"/>
  <c r="AC836" i="45"/>
  <c r="Z836" i="45"/>
  <c r="N836" i="45"/>
  <c r="K836" i="45"/>
  <c r="AC835" i="45"/>
  <c r="Z835" i="45"/>
  <c r="N835" i="45"/>
  <c r="K835" i="45"/>
  <c r="AH834" i="45"/>
  <c r="AA834" i="45"/>
  <c r="AC834" i="45" s="1"/>
  <c r="Y834" i="45"/>
  <c r="X834" i="45"/>
  <c r="W834" i="45"/>
  <c r="V834" i="45"/>
  <c r="U834" i="45"/>
  <c r="T834" i="45"/>
  <c r="S834" i="45"/>
  <c r="R834" i="45"/>
  <c r="Q834" i="45"/>
  <c r="L834" i="45"/>
  <c r="N834" i="45" s="1"/>
  <c r="J834" i="45"/>
  <c r="I834" i="45"/>
  <c r="H834" i="45"/>
  <c r="G834" i="45"/>
  <c r="F834" i="45"/>
  <c r="E834" i="45"/>
  <c r="D834" i="45"/>
  <c r="C834" i="45"/>
  <c r="B834" i="45"/>
  <c r="AC833" i="45"/>
  <c r="Z833" i="45"/>
  <c r="N833" i="45"/>
  <c r="K833" i="45"/>
  <c r="AC832" i="45"/>
  <c r="Z832" i="45"/>
  <c r="N832" i="45"/>
  <c r="K832" i="45"/>
  <c r="AC831" i="45"/>
  <c r="Z831" i="45"/>
  <c r="N831" i="45"/>
  <c r="K831" i="45"/>
  <c r="AC830" i="45"/>
  <c r="Z830" i="45"/>
  <c r="N830" i="45"/>
  <c r="K830" i="45"/>
  <c r="AC829" i="45"/>
  <c r="Z829" i="45"/>
  <c r="N829" i="45"/>
  <c r="K829" i="45"/>
  <c r="AC828" i="45"/>
  <c r="Z828" i="45"/>
  <c r="N828" i="45"/>
  <c r="K828" i="45"/>
  <c r="AC827" i="45"/>
  <c r="Z827" i="45"/>
  <c r="N827" i="45"/>
  <c r="K827" i="45"/>
  <c r="AC826" i="45"/>
  <c r="Z826" i="45"/>
  <c r="N826" i="45"/>
  <c r="K826" i="45"/>
  <c r="AC825" i="45"/>
  <c r="Z825" i="45"/>
  <c r="N825" i="45"/>
  <c r="K825" i="45"/>
  <c r="AC824" i="45"/>
  <c r="Z824" i="45"/>
  <c r="N824" i="45"/>
  <c r="K824" i="45"/>
  <c r="AC823" i="45"/>
  <c r="Z823" i="45"/>
  <c r="N823" i="45"/>
  <c r="K823" i="45"/>
  <c r="AC822" i="45"/>
  <c r="Z822" i="45"/>
  <c r="N822" i="45"/>
  <c r="K822" i="45"/>
  <c r="AC821" i="45"/>
  <c r="Z821" i="45"/>
  <c r="N821" i="45"/>
  <c r="K821" i="45"/>
  <c r="AC820" i="45"/>
  <c r="Z820" i="45"/>
  <c r="N820" i="45"/>
  <c r="K820" i="45"/>
  <c r="AC819" i="45"/>
  <c r="Z819" i="45"/>
  <c r="N819" i="45"/>
  <c r="K819" i="45"/>
  <c r="AC818" i="45"/>
  <c r="Z818" i="45"/>
  <c r="N818" i="45"/>
  <c r="K818" i="45"/>
  <c r="AC817" i="45"/>
  <c r="Z817" i="45"/>
  <c r="N817" i="45"/>
  <c r="K817" i="45"/>
  <c r="AC816" i="45"/>
  <c r="Z816" i="45"/>
  <c r="N816" i="45"/>
  <c r="K816" i="45"/>
  <c r="AC815" i="45"/>
  <c r="Z815" i="45"/>
  <c r="N815" i="45"/>
  <c r="K815" i="45"/>
  <c r="AC814" i="45"/>
  <c r="Z814" i="45"/>
  <c r="N814" i="45"/>
  <c r="K814" i="45"/>
  <c r="AC813" i="45"/>
  <c r="Z813" i="45"/>
  <c r="N813" i="45"/>
  <c r="K813" i="45"/>
  <c r="AC812" i="45"/>
  <c r="Z812" i="45"/>
  <c r="N812" i="45"/>
  <c r="K812" i="45"/>
  <c r="AC811" i="45"/>
  <c r="Z811" i="45"/>
  <c r="N811" i="45"/>
  <c r="K811" i="45"/>
  <c r="AC810" i="45"/>
  <c r="Z810" i="45"/>
  <c r="N810" i="45"/>
  <c r="K810" i="45"/>
  <c r="AC809" i="45"/>
  <c r="Z809" i="45"/>
  <c r="N809" i="45"/>
  <c r="K809" i="45"/>
  <c r="AC808" i="45"/>
  <c r="Z808" i="45"/>
  <c r="N808" i="45"/>
  <c r="K808" i="45"/>
  <c r="AC807" i="45"/>
  <c r="Z807" i="45"/>
  <c r="N807" i="45"/>
  <c r="K807" i="45"/>
  <c r="AC806" i="45"/>
  <c r="Z806" i="45"/>
  <c r="N806" i="45"/>
  <c r="K806" i="45"/>
  <c r="AC805" i="45"/>
  <c r="Z805" i="45"/>
  <c r="N805" i="45"/>
  <c r="K805" i="45"/>
  <c r="AC804" i="45"/>
  <c r="Z804" i="45"/>
  <c r="N804" i="45"/>
  <c r="K804" i="45"/>
  <c r="AC803" i="45"/>
  <c r="Z803" i="45"/>
  <c r="N803" i="45"/>
  <c r="K803" i="45"/>
  <c r="AC802" i="45"/>
  <c r="Z802" i="45"/>
  <c r="N802" i="45"/>
  <c r="K802" i="45"/>
  <c r="AC801" i="45"/>
  <c r="Z801" i="45"/>
  <c r="N801" i="45"/>
  <c r="K801" i="45"/>
  <c r="AC800" i="45"/>
  <c r="Z800" i="45"/>
  <c r="N800" i="45"/>
  <c r="K800" i="45"/>
  <c r="AC799" i="45"/>
  <c r="Z799" i="45"/>
  <c r="N799" i="45"/>
  <c r="K799" i="45"/>
  <c r="AC798" i="45"/>
  <c r="Z798" i="45"/>
  <c r="N798" i="45"/>
  <c r="K798" i="45"/>
  <c r="AC797" i="45"/>
  <c r="Z797" i="45"/>
  <c r="N797" i="45"/>
  <c r="K797" i="45"/>
  <c r="AC796" i="45"/>
  <c r="Z796" i="45"/>
  <c r="N796" i="45"/>
  <c r="K796" i="45"/>
  <c r="AC795" i="45"/>
  <c r="Z795" i="45"/>
  <c r="N795" i="45"/>
  <c r="K795" i="45"/>
  <c r="AC794" i="45"/>
  <c r="Z794" i="45"/>
  <c r="N794" i="45"/>
  <c r="K794" i="45"/>
  <c r="AH793" i="45"/>
  <c r="AA793" i="45"/>
  <c r="AC793" i="45" s="1"/>
  <c r="Y793" i="45"/>
  <c r="X793" i="45"/>
  <c r="W793" i="45"/>
  <c r="V793" i="45"/>
  <c r="U793" i="45"/>
  <c r="T793" i="45"/>
  <c r="R793" i="45"/>
  <c r="Q793" i="45"/>
  <c r="L793" i="45"/>
  <c r="N793" i="45" s="1"/>
  <c r="J793" i="45"/>
  <c r="I793" i="45"/>
  <c r="H793" i="45"/>
  <c r="G793" i="45"/>
  <c r="F793" i="45"/>
  <c r="E793" i="45"/>
  <c r="C793" i="45"/>
  <c r="B793" i="45"/>
  <c r="AC792" i="45"/>
  <c r="R792" i="45"/>
  <c r="R791" i="45" s="1"/>
  <c r="N792" i="45"/>
  <c r="C792" i="45"/>
  <c r="AH791" i="45"/>
  <c r="AA791" i="45"/>
  <c r="Y791" i="45"/>
  <c r="X791" i="45"/>
  <c r="W791" i="45"/>
  <c r="V791" i="45"/>
  <c r="U791" i="45"/>
  <c r="T791" i="45"/>
  <c r="S791" i="45"/>
  <c r="Q791" i="45"/>
  <c r="L791" i="45"/>
  <c r="N791" i="45" s="1"/>
  <c r="J791" i="45"/>
  <c r="I791" i="45"/>
  <c r="H791" i="45"/>
  <c r="G791" i="45"/>
  <c r="F791" i="45"/>
  <c r="E791" i="45"/>
  <c r="D791" i="45"/>
  <c r="B791" i="45"/>
  <c r="AC790" i="45"/>
  <c r="Z790" i="45"/>
  <c r="N790" i="45"/>
  <c r="K790" i="45"/>
  <c r="AC789" i="45"/>
  <c r="Z789" i="45"/>
  <c r="N789" i="45"/>
  <c r="K789" i="45"/>
  <c r="O789" i="45" s="1"/>
  <c r="P789" i="45" s="1"/>
  <c r="AC788" i="45"/>
  <c r="Z788" i="45"/>
  <c r="N788" i="45"/>
  <c r="K788" i="45"/>
  <c r="AC787" i="45"/>
  <c r="Z787" i="45"/>
  <c r="N787" i="45"/>
  <c r="K787" i="45"/>
  <c r="O787" i="45" s="1"/>
  <c r="P787" i="45" s="1"/>
  <c r="AC786" i="45"/>
  <c r="Z786" i="45"/>
  <c r="N786" i="45"/>
  <c r="K786" i="45"/>
  <c r="O786" i="45" s="1"/>
  <c r="P786" i="45" s="1"/>
  <c r="AC785" i="45"/>
  <c r="Z785" i="45"/>
  <c r="N785" i="45"/>
  <c r="K785" i="45"/>
  <c r="O785" i="45" s="1"/>
  <c r="AH784" i="45"/>
  <c r="AA784" i="45"/>
  <c r="AC784" i="45" s="1"/>
  <c r="Y784" i="45"/>
  <c r="X784" i="45"/>
  <c r="W784" i="45"/>
  <c r="V784" i="45"/>
  <c r="U784" i="45"/>
  <c r="T784" i="45"/>
  <c r="R784" i="45"/>
  <c r="Q784" i="45"/>
  <c r="L784" i="45"/>
  <c r="N784" i="45" s="1"/>
  <c r="J784" i="45"/>
  <c r="I784" i="45"/>
  <c r="H784" i="45"/>
  <c r="G784" i="45"/>
  <c r="F784" i="45"/>
  <c r="E784" i="45"/>
  <c r="C784" i="45"/>
  <c r="B784" i="45"/>
  <c r="AC783" i="45"/>
  <c r="Z783" i="45"/>
  <c r="N783" i="45"/>
  <c r="K783" i="45"/>
  <c r="AC782" i="45"/>
  <c r="Z782" i="45"/>
  <c r="N782" i="45"/>
  <c r="K782" i="45"/>
  <c r="AH781" i="45"/>
  <c r="AA781" i="45"/>
  <c r="AC781" i="45" s="1"/>
  <c r="Y781" i="45"/>
  <c r="X781" i="45"/>
  <c r="W781" i="45"/>
  <c r="V781" i="45"/>
  <c r="U781" i="45"/>
  <c r="T781" i="45"/>
  <c r="R781" i="45"/>
  <c r="Q781" i="45"/>
  <c r="L781" i="45"/>
  <c r="N781" i="45" s="1"/>
  <c r="J781" i="45"/>
  <c r="I781" i="45"/>
  <c r="H781" i="45"/>
  <c r="G781" i="45"/>
  <c r="F781" i="45"/>
  <c r="E781" i="45"/>
  <c r="C781" i="45"/>
  <c r="B781" i="45"/>
  <c r="AC780" i="45"/>
  <c r="Z780" i="45"/>
  <c r="AD780" i="45" s="1"/>
  <c r="AE780" i="45" s="1"/>
  <c r="AI780" i="45" s="1"/>
  <c r="N780" i="45"/>
  <c r="K780" i="45"/>
  <c r="AC779" i="45"/>
  <c r="Z779" i="45"/>
  <c r="N779" i="45"/>
  <c r="K779" i="45"/>
  <c r="AC778" i="45"/>
  <c r="Z778" i="45"/>
  <c r="N778" i="45"/>
  <c r="K778" i="45"/>
  <c r="AH777" i="45"/>
  <c r="AA777" i="45"/>
  <c r="AC777" i="45" s="1"/>
  <c r="Y777" i="45"/>
  <c r="R777" i="45"/>
  <c r="Q777" i="45"/>
  <c r="L777" i="45"/>
  <c r="J777" i="45"/>
  <c r="C777" i="45"/>
  <c r="B777" i="45"/>
  <c r="AG776" i="45"/>
  <c r="AC776" i="45"/>
  <c r="Z776" i="45"/>
  <c r="N776" i="45"/>
  <c r="K776" i="45"/>
  <c r="AC774" i="45"/>
  <c r="Z774" i="45"/>
  <c r="N774" i="45"/>
  <c r="K774" i="45"/>
  <c r="AC773" i="45"/>
  <c r="S773" i="45"/>
  <c r="R773" i="45"/>
  <c r="N773" i="45"/>
  <c r="D773" i="45"/>
  <c r="C773" i="45"/>
  <c r="AC772" i="45"/>
  <c r="S772" i="45"/>
  <c r="R772" i="45"/>
  <c r="N772" i="45"/>
  <c r="D772" i="45"/>
  <c r="C772" i="45"/>
  <c r="AC771" i="45"/>
  <c r="Z771" i="45"/>
  <c r="N771" i="45"/>
  <c r="K771" i="45"/>
  <c r="AC770" i="45"/>
  <c r="S770" i="45"/>
  <c r="R770" i="45"/>
  <c r="N770" i="45"/>
  <c r="D770" i="45"/>
  <c r="C770" i="45"/>
  <c r="AC769" i="45"/>
  <c r="Z769" i="45"/>
  <c r="N769" i="45"/>
  <c r="K769" i="45"/>
  <c r="AC768" i="45"/>
  <c r="Z768" i="45"/>
  <c r="N768" i="45"/>
  <c r="K768" i="45"/>
  <c r="AC767" i="45"/>
  <c r="Z767" i="45"/>
  <c r="N767" i="45"/>
  <c r="K767" i="45"/>
  <c r="AH766" i="45"/>
  <c r="AB766" i="45"/>
  <c r="AA766" i="45"/>
  <c r="Y766" i="45"/>
  <c r="X766" i="45"/>
  <c r="W766" i="45"/>
  <c r="V766" i="45"/>
  <c r="U766" i="45"/>
  <c r="T766" i="45"/>
  <c r="Q766" i="45"/>
  <c r="L766" i="45"/>
  <c r="I766" i="45"/>
  <c r="H766" i="45"/>
  <c r="G766" i="45"/>
  <c r="F766" i="45"/>
  <c r="E766" i="45"/>
  <c r="B766" i="45"/>
  <c r="AC765" i="45"/>
  <c r="Z765" i="45"/>
  <c r="N765" i="45"/>
  <c r="K765" i="45"/>
  <c r="AA764" i="45"/>
  <c r="AC764" i="45" s="1"/>
  <c r="S764" i="45"/>
  <c r="R764" i="45"/>
  <c r="R759" i="45" s="1"/>
  <c r="N764" i="45"/>
  <c r="D764" i="45"/>
  <c r="D759" i="45" s="1"/>
  <c r="C764" i="45"/>
  <c r="AC763" i="45"/>
  <c r="Z763" i="45"/>
  <c r="N763" i="45"/>
  <c r="K763" i="45"/>
  <c r="AC762" i="45"/>
  <c r="Z762" i="45"/>
  <c r="N762" i="45"/>
  <c r="K762" i="45"/>
  <c r="AC761" i="45"/>
  <c r="Z761" i="45"/>
  <c r="N761" i="45"/>
  <c r="K761" i="45"/>
  <c r="AC760" i="45"/>
  <c r="Z760" i="45"/>
  <c r="N760" i="45"/>
  <c r="K760" i="45"/>
  <c r="AH759" i="45"/>
  <c r="AB759" i="45"/>
  <c r="AA759" i="45"/>
  <c r="Y759" i="45"/>
  <c r="X759" i="45"/>
  <c r="W759" i="45"/>
  <c r="V759" i="45"/>
  <c r="U759" i="45"/>
  <c r="T759" i="45"/>
  <c r="Q759" i="45"/>
  <c r="M759" i="45"/>
  <c r="L759" i="45"/>
  <c r="I759" i="45"/>
  <c r="H759" i="45"/>
  <c r="G759" i="45"/>
  <c r="F759" i="45"/>
  <c r="E759" i="45"/>
  <c r="C759" i="45"/>
  <c r="B759" i="45"/>
  <c r="AC758" i="45"/>
  <c r="Z758" i="45"/>
  <c r="N758" i="45"/>
  <c r="K758" i="45"/>
  <c r="AC757" i="45"/>
  <c r="Z757" i="45"/>
  <c r="N757" i="45"/>
  <c r="K757" i="45"/>
  <c r="AA756" i="45"/>
  <c r="AC756" i="45" s="1"/>
  <c r="S756" i="45"/>
  <c r="S754" i="45" s="1"/>
  <c r="R756" i="45"/>
  <c r="N756" i="45"/>
  <c r="D756" i="45"/>
  <c r="D754" i="45" s="1"/>
  <c r="C756" i="45"/>
  <c r="AC755" i="45"/>
  <c r="Z755" i="45"/>
  <c r="N755" i="45"/>
  <c r="K755" i="45"/>
  <c r="AH754" i="45"/>
  <c r="AB754" i="45"/>
  <c r="AA754" i="45"/>
  <c r="Y754" i="45"/>
  <c r="X754" i="45"/>
  <c r="W754" i="45"/>
  <c r="V754" i="45"/>
  <c r="U754" i="45"/>
  <c r="T754" i="45"/>
  <c r="Q754" i="45"/>
  <c r="L754" i="45"/>
  <c r="C754" i="45"/>
  <c r="B754" i="45"/>
  <c r="AC753" i="45"/>
  <c r="AC752" i="45" s="1"/>
  <c r="S753" i="45"/>
  <c r="S752" i="45" s="1"/>
  <c r="R753" i="45"/>
  <c r="R752" i="45" s="1"/>
  <c r="N753" i="45"/>
  <c r="N752" i="45" s="1"/>
  <c r="D753" i="45"/>
  <c r="D752" i="45" s="1"/>
  <c r="C753" i="45"/>
  <c r="C752" i="45" s="1"/>
  <c r="AH752" i="45"/>
  <c r="AB752" i="45"/>
  <c r="AA752" i="45"/>
  <c r="Y752" i="45"/>
  <c r="X752" i="45"/>
  <c r="W752" i="45"/>
  <c r="V752" i="45"/>
  <c r="U752" i="45"/>
  <c r="T752" i="45"/>
  <c r="Q752" i="45"/>
  <c r="M752" i="45"/>
  <c r="L752" i="45"/>
  <c r="I752" i="45"/>
  <c r="H752" i="45"/>
  <c r="G752" i="45"/>
  <c r="F752" i="45"/>
  <c r="E752" i="45"/>
  <c r="B752" i="45"/>
  <c r="J751" i="45"/>
  <c r="AH743" i="45"/>
  <c r="AA743" i="45"/>
  <c r="S743" i="45"/>
  <c r="R743" i="45"/>
  <c r="Q743" i="45"/>
  <c r="D743" i="45"/>
  <c r="C743" i="45"/>
  <c r="B743" i="45"/>
  <c r="AE742" i="45"/>
  <c r="AI742" i="45" s="1"/>
  <c r="AD742" i="45"/>
  <c r="Z742" i="45"/>
  <c r="P742" i="45"/>
  <c r="O742" i="45"/>
  <c r="K742" i="45"/>
  <c r="AE741" i="45"/>
  <c r="AI741" i="45" s="1"/>
  <c r="AD741" i="45"/>
  <c r="Z741" i="45"/>
  <c r="P741" i="45"/>
  <c r="O741" i="45"/>
  <c r="K741" i="45"/>
  <c r="AE740" i="45"/>
  <c r="AI740" i="45" s="1"/>
  <c r="AD740" i="45"/>
  <c r="Z740" i="45"/>
  <c r="P740" i="45"/>
  <c r="O740" i="45"/>
  <c r="K740" i="45"/>
  <c r="AE739" i="45"/>
  <c r="AI739" i="45" s="1"/>
  <c r="AD739" i="45"/>
  <c r="Z739" i="45"/>
  <c r="P739" i="45"/>
  <c r="O739" i="45"/>
  <c r="K739" i="45"/>
  <c r="AE738" i="45"/>
  <c r="AI738" i="45" s="1"/>
  <c r="AD738" i="45"/>
  <c r="Z738" i="45"/>
  <c r="P738" i="45"/>
  <c r="O738" i="45"/>
  <c r="K738" i="45"/>
  <c r="AE737" i="45"/>
  <c r="AI737" i="45" s="1"/>
  <c r="AD737" i="45"/>
  <c r="Z737" i="45"/>
  <c r="P737" i="45"/>
  <c r="O737" i="45"/>
  <c r="K737" i="45"/>
  <c r="AE734" i="45"/>
  <c r="AI734" i="45" s="1"/>
  <c r="AD734" i="45"/>
  <c r="Z734" i="45"/>
  <c r="P734" i="45"/>
  <c r="O734" i="45"/>
  <c r="K734" i="45"/>
  <c r="AE733" i="45"/>
  <c r="AI733" i="45" s="1"/>
  <c r="AD733" i="45"/>
  <c r="Z733" i="45"/>
  <c r="P733" i="45"/>
  <c r="O733" i="45"/>
  <c r="K733" i="45"/>
  <c r="AE732" i="45"/>
  <c r="AI732" i="45" s="1"/>
  <c r="AD732" i="45"/>
  <c r="Z732" i="45"/>
  <c r="P732" i="45"/>
  <c r="O732" i="45"/>
  <c r="K732" i="45"/>
  <c r="AE731" i="45"/>
  <c r="AI731" i="45" s="1"/>
  <c r="AD731" i="45"/>
  <c r="Z731" i="45"/>
  <c r="P731" i="45"/>
  <c r="O731" i="45"/>
  <c r="K731" i="45"/>
  <c r="AE730" i="45"/>
  <c r="AI730" i="45" s="1"/>
  <c r="AD730" i="45"/>
  <c r="Z730" i="45"/>
  <c r="P730" i="45"/>
  <c r="O730" i="45"/>
  <c r="K730" i="45"/>
  <c r="AE729" i="45"/>
  <c r="AI729" i="45" s="1"/>
  <c r="AD729" i="45"/>
  <c r="Z729" i="45"/>
  <c r="P729" i="45"/>
  <c r="O729" i="45"/>
  <c r="K729" i="45"/>
  <c r="AE728" i="45"/>
  <c r="AI728" i="45" s="1"/>
  <c r="AD728" i="45"/>
  <c r="Z728" i="45"/>
  <c r="P728" i="45"/>
  <c r="O728" i="45"/>
  <c r="K728" i="45"/>
  <c r="AE727" i="45"/>
  <c r="AI727" i="45" s="1"/>
  <c r="AD727" i="45"/>
  <c r="Z727" i="45"/>
  <c r="P727" i="45"/>
  <c r="O727" i="45"/>
  <c r="K727" i="45"/>
  <c r="AE724" i="45"/>
  <c r="AI724" i="45" s="1"/>
  <c r="AD724" i="45"/>
  <c r="Z724" i="45"/>
  <c r="P724" i="45"/>
  <c r="O724" i="45"/>
  <c r="K724" i="45"/>
  <c r="AE723" i="45"/>
  <c r="AI723" i="45" s="1"/>
  <c r="AD723" i="45"/>
  <c r="Z723" i="45"/>
  <c r="P723" i="45"/>
  <c r="O723" i="45"/>
  <c r="K723" i="45"/>
  <c r="AE722" i="45"/>
  <c r="AI722" i="45" s="1"/>
  <c r="AD722" i="45"/>
  <c r="Z722" i="45"/>
  <c r="P722" i="45"/>
  <c r="O722" i="45"/>
  <c r="K722" i="45"/>
  <c r="AE721" i="45"/>
  <c r="AI721" i="45" s="1"/>
  <c r="AD721" i="45"/>
  <c r="Z721" i="45"/>
  <c r="P721" i="45"/>
  <c r="O721" i="45"/>
  <c r="K721" i="45"/>
  <c r="AE718" i="45"/>
  <c r="AI718" i="45" s="1"/>
  <c r="AD718" i="45"/>
  <c r="AF718" i="45" s="1"/>
  <c r="Z718" i="45"/>
  <c r="P718" i="45"/>
  <c r="AE717" i="45"/>
  <c r="AD717" i="45"/>
  <c r="Z717" i="45"/>
  <c r="L717" i="45"/>
  <c r="K717" i="45"/>
  <c r="AI708" i="45"/>
  <c r="AH708" i="45"/>
  <c r="AG708" i="45"/>
  <c r="AE708" i="45"/>
  <c r="AA708" i="45"/>
  <c r="U708" i="45"/>
  <c r="Q708" i="45"/>
  <c r="L708" i="45"/>
  <c r="F708" i="45"/>
  <c r="B708" i="45"/>
  <c r="R706" i="45"/>
  <c r="Z706" i="45" s="1"/>
  <c r="AD706" i="45" s="1"/>
  <c r="C706" i="45"/>
  <c r="K706" i="45" s="1"/>
  <c r="O706" i="45" s="1"/>
  <c r="Z705" i="45"/>
  <c r="AD705" i="45" s="1"/>
  <c r="K705" i="45"/>
  <c r="O705" i="45" s="1"/>
  <c r="Z704" i="45"/>
  <c r="AD704" i="45" s="1"/>
  <c r="K704" i="45"/>
  <c r="O704" i="45" s="1"/>
  <c r="Z703" i="45"/>
  <c r="AD703" i="45" s="1"/>
  <c r="K703" i="45"/>
  <c r="O703" i="45" s="1"/>
  <c r="Z702" i="45"/>
  <c r="AD702" i="45" s="1"/>
  <c r="K702" i="45"/>
  <c r="O702" i="45" s="1"/>
  <c r="R700" i="45"/>
  <c r="Z700" i="45" s="1"/>
  <c r="AD700" i="45" s="1"/>
  <c r="C700" i="45"/>
  <c r="K700" i="45" s="1"/>
  <c r="O700" i="45" s="1"/>
  <c r="Z699" i="45"/>
  <c r="AD699" i="45" s="1"/>
  <c r="K699" i="45"/>
  <c r="O699" i="45" s="1"/>
  <c r="Z698" i="45"/>
  <c r="AD698" i="45" s="1"/>
  <c r="K698" i="45"/>
  <c r="O698" i="45" s="1"/>
  <c r="Z697" i="45"/>
  <c r="AD697" i="45" s="1"/>
  <c r="K697" i="45"/>
  <c r="O697" i="45" s="1"/>
  <c r="Z696" i="45"/>
  <c r="AD696" i="45" s="1"/>
  <c r="K696" i="45"/>
  <c r="O696" i="45" s="1"/>
  <c r="Z695" i="45"/>
  <c r="AD695" i="45" s="1"/>
  <c r="K695" i="45"/>
  <c r="O695" i="45" s="1"/>
  <c r="Z692" i="45"/>
  <c r="AD692" i="45" s="1"/>
  <c r="K692" i="45"/>
  <c r="O692" i="45" s="1"/>
  <c r="R691" i="45"/>
  <c r="Z691" i="45" s="1"/>
  <c r="AD691" i="45" s="1"/>
  <c r="C691" i="45"/>
  <c r="K691" i="45" s="1"/>
  <c r="O691" i="45" s="1"/>
  <c r="Z690" i="45"/>
  <c r="AD690" i="45" s="1"/>
  <c r="K690" i="45"/>
  <c r="O690" i="45" s="1"/>
  <c r="Z689" i="45"/>
  <c r="AD689" i="45" s="1"/>
  <c r="K689" i="45"/>
  <c r="O689" i="45" s="1"/>
  <c r="Z688" i="45"/>
  <c r="AD688" i="45" s="1"/>
  <c r="K688" i="45"/>
  <c r="O688" i="45" s="1"/>
  <c r="Z687" i="45"/>
  <c r="AD687" i="45" s="1"/>
  <c r="K687" i="45"/>
  <c r="O687" i="45" s="1"/>
  <c r="R685" i="45"/>
  <c r="Z685" i="45" s="1"/>
  <c r="AD685" i="45" s="1"/>
  <c r="C685" i="45"/>
  <c r="K685" i="45" s="1"/>
  <c r="O685" i="45" s="1"/>
  <c r="Z684" i="45"/>
  <c r="AD684" i="45" s="1"/>
  <c r="K684" i="45"/>
  <c r="O684" i="45" s="1"/>
  <c r="Z683" i="45"/>
  <c r="AD683" i="45" s="1"/>
  <c r="K683" i="45"/>
  <c r="O683" i="45" s="1"/>
  <c r="Z682" i="45"/>
  <c r="AD682" i="45" s="1"/>
  <c r="K682" i="45"/>
  <c r="O682" i="45" s="1"/>
  <c r="Z681" i="45"/>
  <c r="AD681" i="45" s="1"/>
  <c r="K681" i="45"/>
  <c r="O681" i="45" s="1"/>
  <c r="R679" i="45"/>
  <c r="Z679" i="45" s="1"/>
  <c r="AD679" i="45" s="1"/>
  <c r="C679" i="45"/>
  <c r="K679" i="45" s="1"/>
  <c r="O679" i="45" s="1"/>
  <c r="Z678" i="45"/>
  <c r="AD678" i="45" s="1"/>
  <c r="K678" i="45"/>
  <c r="O678" i="45" s="1"/>
  <c r="Z677" i="45"/>
  <c r="AD677" i="45" s="1"/>
  <c r="K677" i="45"/>
  <c r="O677" i="45" s="1"/>
  <c r="Z676" i="45"/>
  <c r="AD676" i="45" s="1"/>
  <c r="K676" i="45"/>
  <c r="O676" i="45" s="1"/>
  <c r="Z675" i="45"/>
  <c r="AD675" i="45" s="1"/>
  <c r="K675" i="45"/>
  <c r="O675" i="45" s="1"/>
  <c r="R673" i="45"/>
  <c r="Z673" i="45" s="1"/>
  <c r="AD673" i="45" s="1"/>
  <c r="C673" i="45"/>
  <c r="Z672" i="45"/>
  <c r="AD672" i="45" s="1"/>
  <c r="K672" i="45"/>
  <c r="O672" i="45" s="1"/>
  <c r="Z671" i="45"/>
  <c r="AD671" i="45" s="1"/>
  <c r="K671" i="45"/>
  <c r="O671" i="45" s="1"/>
  <c r="Z670" i="45"/>
  <c r="AD670" i="45" s="1"/>
  <c r="K670" i="45"/>
  <c r="O670" i="45" s="1"/>
  <c r="Z667" i="45"/>
  <c r="AD667" i="45" s="1"/>
  <c r="K667" i="45"/>
  <c r="O667" i="45" s="1"/>
  <c r="Z666" i="45"/>
  <c r="AD666" i="45" s="1"/>
  <c r="K666" i="45"/>
  <c r="O666" i="45" s="1"/>
  <c r="Z665" i="45"/>
  <c r="AD665" i="45" s="1"/>
  <c r="K665" i="45"/>
  <c r="O665" i="45" s="1"/>
  <c r="Z663" i="45"/>
  <c r="AD663" i="45" s="1"/>
  <c r="K663" i="45"/>
  <c r="O663" i="45" s="1"/>
  <c r="Z662" i="45"/>
  <c r="AD662" i="45" s="1"/>
  <c r="K662" i="45"/>
  <c r="O662" i="45" s="1"/>
  <c r="Z661" i="45"/>
  <c r="AD661" i="45" s="1"/>
  <c r="K661" i="45"/>
  <c r="O661" i="45" s="1"/>
  <c r="Z660" i="45"/>
  <c r="AD660" i="45" s="1"/>
  <c r="K660" i="45"/>
  <c r="O660" i="45" s="1"/>
  <c r="Z658" i="45"/>
  <c r="AD658" i="45" s="1"/>
  <c r="K658" i="45"/>
  <c r="O658" i="45" s="1"/>
  <c r="Z657" i="45"/>
  <c r="AD657" i="45" s="1"/>
  <c r="K657" i="45"/>
  <c r="O657" i="45" s="1"/>
  <c r="Z655" i="45"/>
  <c r="AD655" i="45" s="1"/>
  <c r="K655" i="45"/>
  <c r="O655" i="45" s="1"/>
  <c r="Z654" i="45"/>
  <c r="AD654" i="45" s="1"/>
  <c r="K654" i="45"/>
  <c r="O654" i="45" s="1"/>
  <c r="Z653" i="45"/>
  <c r="K653" i="45"/>
  <c r="O653" i="45" s="1"/>
  <c r="AI644" i="45"/>
  <c r="AG644" i="45"/>
  <c r="AF644" i="45"/>
  <c r="AC644" i="45"/>
  <c r="AB644" i="45"/>
  <c r="AA644" i="45"/>
  <c r="Y644" i="45"/>
  <c r="W644" i="45"/>
  <c r="V644" i="45"/>
  <c r="U644" i="45"/>
  <c r="T644" i="45"/>
  <c r="S644" i="45"/>
  <c r="R644" i="45"/>
  <c r="N644" i="45"/>
  <c r="M644" i="45"/>
  <c r="L644" i="45"/>
  <c r="J644" i="45"/>
  <c r="H644" i="45"/>
  <c r="G644" i="45"/>
  <c r="F644" i="45"/>
  <c r="E644" i="45"/>
  <c r="D644" i="45"/>
  <c r="C644" i="45"/>
  <c r="Z642" i="45"/>
  <c r="K642" i="45"/>
  <c r="Z641" i="45"/>
  <c r="K641" i="45"/>
  <c r="Z639" i="45"/>
  <c r="K639" i="45"/>
  <c r="AH638" i="45"/>
  <c r="Q638" i="45"/>
  <c r="B638" i="45"/>
  <c r="AH637" i="45"/>
  <c r="AH632" i="45" s="1"/>
  <c r="Z637" i="45"/>
  <c r="Q637" i="45"/>
  <c r="Q632" i="45" s="1"/>
  <c r="K637" i="45"/>
  <c r="B637" i="45"/>
  <c r="B632" i="45" s="1"/>
  <c r="Z636" i="45"/>
  <c r="AD636" i="45" s="1"/>
  <c r="K636" i="45"/>
  <c r="Z635" i="45"/>
  <c r="AD635" i="45" s="1"/>
  <c r="K635" i="45"/>
  <c r="P635" i="45" s="1"/>
  <c r="Z634" i="45"/>
  <c r="AD634" i="45" s="1"/>
  <c r="K634" i="45"/>
  <c r="O634" i="45" s="1"/>
  <c r="Z633" i="45"/>
  <c r="AD633" i="45" s="1"/>
  <c r="K633" i="45"/>
  <c r="O633" i="45" s="1"/>
  <c r="AH631" i="45"/>
  <c r="AH626" i="45" s="1"/>
  <c r="Z631" i="45"/>
  <c r="AD631" i="45" s="1"/>
  <c r="Q631" i="45"/>
  <c r="Q626" i="45" s="1"/>
  <c r="K631" i="45"/>
  <c r="O631" i="45" s="1"/>
  <c r="B631" i="45"/>
  <c r="B626" i="45" s="1"/>
  <c r="Z630" i="45"/>
  <c r="AE630" i="45" s="1"/>
  <c r="K630" i="45"/>
  <c r="Z629" i="45"/>
  <c r="AE629" i="45" s="1"/>
  <c r="K629" i="45"/>
  <c r="Z628" i="45"/>
  <c r="K628" i="45"/>
  <c r="Z627" i="45"/>
  <c r="AE627" i="45" s="1"/>
  <c r="K627" i="45"/>
  <c r="AH625" i="45"/>
  <c r="AH620" i="45" s="1"/>
  <c r="Z625" i="45"/>
  <c r="Q625" i="45"/>
  <c r="Q620" i="45" s="1"/>
  <c r="K625" i="45"/>
  <c r="O625" i="45" s="1"/>
  <c r="B625" i="45"/>
  <c r="B620" i="45" s="1"/>
  <c r="Z624" i="45"/>
  <c r="AD624" i="45" s="1"/>
  <c r="K624" i="45"/>
  <c r="P624" i="45" s="1"/>
  <c r="Z623" i="45"/>
  <c r="AD623" i="45" s="1"/>
  <c r="K623" i="45"/>
  <c r="P623" i="45" s="1"/>
  <c r="Z622" i="45"/>
  <c r="AD622" i="45" s="1"/>
  <c r="K622" i="45"/>
  <c r="Z621" i="45"/>
  <c r="AD621" i="45" s="1"/>
  <c r="K621" i="45"/>
  <c r="AH619" i="45"/>
  <c r="AH614" i="45" s="1"/>
  <c r="Z619" i="45"/>
  <c r="AD619" i="45" s="1"/>
  <c r="Q619" i="45"/>
  <c r="Q614" i="45" s="1"/>
  <c r="K619" i="45"/>
  <c r="O619" i="45" s="1"/>
  <c r="B619" i="45"/>
  <c r="B614" i="45" s="1"/>
  <c r="Z618" i="45"/>
  <c r="K618" i="45"/>
  <c r="Z617" i="45"/>
  <c r="K617" i="45"/>
  <c r="Z616" i="45"/>
  <c r="K616" i="45"/>
  <c r="Z615" i="45"/>
  <c r="K615" i="45"/>
  <c r="AH611" i="45"/>
  <c r="AH606" i="45" s="1"/>
  <c r="Z611" i="45"/>
  <c r="Q611" i="45"/>
  <c r="Q606" i="45" s="1"/>
  <c r="K611" i="45"/>
  <c r="B611" i="45"/>
  <c r="B606" i="45" s="1"/>
  <c r="Z610" i="45"/>
  <c r="K610" i="45"/>
  <c r="Z609" i="45"/>
  <c r="K609" i="45"/>
  <c r="P609" i="45" s="1"/>
  <c r="Z608" i="45"/>
  <c r="K608" i="45"/>
  <c r="P608" i="45" s="1"/>
  <c r="Z607" i="45"/>
  <c r="AE607" i="45" s="1"/>
  <c r="K607" i="45"/>
  <c r="P607" i="45" s="1"/>
  <c r="AH605" i="45"/>
  <c r="AH597" i="45" s="1"/>
  <c r="Z605" i="45"/>
  <c r="AD605" i="45" s="1"/>
  <c r="Q605" i="45"/>
  <c r="K605" i="45"/>
  <c r="O605" i="45" s="1"/>
  <c r="B605" i="45"/>
  <c r="B597" i="45" s="1"/>
  <c r="Z604" i="45"/>
  <c r="K604" i="45"/>
  <c r="Z603" i="45"/>
  <c r="K603" i="45"/>
  <c r="O603" i="45" s="1"/>
  <c r="Z602" i="45"/>
  <c r="K602" i="45"/>
  <c r="O602" i="45" s="1"/>
  <c r="Z601" i="45"/>
  <c r="K601" i="45"/>
  <c r="O601" i="45" s="1"/>
  <c r="Z600" i="45"/>
  <c r="K600" i="45"/>
  <c r="Z599" i="45"/>
  <c r="K599" i="45"/>
  <c r="O599" i="45" s="1"/>
  <c r="X598" i="45"/>
  <c r="X644" i="45" s="1"/>
  <c r="I598" i="45"/>
  <c r="Z592" i="45"/>
  <c r="K592" i="45"/>
  <c r="P592" i="45" s="1"/>
  <c r="AH591" i="45"/>
  <c r="Q591" i="45"/>
  <c r="B591" i="45"/>
  <c r="Z590" i="45"/>
  <c r="AE590" i="45" s="1"/>
  <c r="K590" i="45"/>
  <c r="Z589" i="45"/>
  <c r="AE589" i="45" s="1"/>
  <c r="K589" i="45"/>
  <c r="Z588" i="45"/>
  <c r="AE588" i="45" s="1"/>
  <c r="K588" i="45"/>
  <c r="P588" i="45" s="1"/>
  <c r="Z587" i="45"/>
  <c r="AE587" i="45" s="1"/>
  <c r="K587" i="45"/>
  <c r="P587" i="45" s="1"/>
  <c r="AH586" i="45"/>
  <c r="Q586" i="45"/>
  <c r="B586" i="45"/>
  <c r="Z584" i="45"/>
  <c r="K584" i="45"/>
  <c r="P584" i="45" s="1"/>
  <c r="Z583" i="45"/>
  <c r="AE583" i="45" s="1"/>
  <c r="K583" i="45"/>
  <c r="O583" i="45" s="1"/>
  <c r="Z582" i="45"/>
  <c r="K582" i="45"/>
  <c r="P582" i="45" s="1"/>
  <c r="Z581" i="45"/>
  <c r="AE581" i="45" s="1"/>
  <c r="K581" i="45"/>
  <c r="O581" i="45" s="1"/>
  <c r="Z580" i="45"/>
  <c r="K580" i="45"/>
  <c r="P580" i="45" s="1"/>
  <c r="Z579" i="45"/>
  <c r="AE579" i="45" s="1"/>
  <c r="K579" i="45"/>
  <c r="AH578" i="45"/>
  <c r="Q578" i="45"/>
  <c r="B578" i="45"/>
  <c r="Z576" i="45"/>
  <c r="AE576" i="45" s="1"/>
  <c r="K576" i="45"/>
  <c r="Z575" i="45"/>
  <c r="AE575" i="45" s="1"/>
  <c r="K575" i="45"/>
  <c r="Z574" i="45"/>
  <c r="AE574" i="45" s="1"/>
  <c r="K574" i="45"/>
  <c r="Z573" i="45"/>
  <c r="K573" i="45"/>
  <c r="AH570" i="45"/>
  <c r="Q570" i="45"/>
  <c r="B570" i="45"/>
  <c r="AA560" i="45"/>
  <c r="Y560" i="45"/>
  <c r="X560" i="45"/>
  <c r="W560" i="45"/>
  <c r="V560" i="45"/>
  <c r="U560" i="45"/>
  <c r="T560" i="45"/>
  <c r="S560" i="45"/>
  <c r="R560" i="45"/>
  <c r="Q560" i="45"/>
  <c r="L560" i="45"/>
  <c r="J560" i="45"/>
  <c r="I560" i="45"/>
  <c r="H560" i="45"/>
  <c r="G560" i="45"/>
  <c r="F560" i="45"/>
  <c r="E560" i="45"/>
  <c r="D560" i="45"/>
  <c r="C560" i="45"/>
  <c r="B560" i="45"/>
  <c r="AC558" i="45"/>
  <c r="Z558" i="45"/>
  <c r="N558" i="45"/>
  <c r="K558" i="45"/>
  <c r="AC545" i="45"/>
  <c r="Z545" i="45"/>
  <c r="N545" i="45"/>
  <c r="K545" i="45"/>
  <c r="AC544" i="45"/>
  <c r="Z544" i="45"/>
  <c r="N544" i="45"/>
  <c r="K544" i="45"/>
  <c r="AC543" i="45"/>
  <c r="Z543" i="45"/>
  <c r="N543" i="45"/>
  <c r="K543" i="45"/>
  <c r="AC542" i="45"/>
  <c r="Z542" i="45"/>
  <c r="N542" i="45"/>
  <c r="K542" i="45"/>
  <c r="AC541" i="45"/>
  <c r="Z541" i="45"/>
  <c r="N541" i="45"/>
  <c r="K541" i="45"/>
  <c r="AC540" i="45"/>
  <c r="Z540" i="45"/>
  <c r="N540" i="45"/>
  <c r="K540" i="45"/>
  <c r="AC539" i="45"/>
  <c r="Z539" i="45"/>
  <c r="N539" i="45"/>
  <c r="K539" i="45"/>
  <c r="AC521" i="45"/>
  <c r="Z521" i="45"/>
  <c r="N521" i="45"/>
  <c r="K521" i="45"/>
  <c r="AC520" i="45"/>
  <c r="Z520" i="45"/>
  <c r="N520" i="45"/>
  <c r="K520" i="45"/>
  <c r="AC519" i="45"/>
  <c r="Z519" i="45"/>
  <c r="N519" i="45"/>
  <c r="K519" i="45"/>
  <c r="AC517" i="45"/>
  <c r="Z517" i="45"/>
  <c r="N517" i="45"/>
  <c r="K517" i="45"/>
  <c r="AC515" i="45"/>
  <c r="Z515" i="45"/>
  <c r="N515" i="45"/>
  <c r="K515" i="45"/>
  <c r="AC513" i="45"/>
  <c r="Z513" i="45"/>
  <c r="N513" i="45"/>
  <c r="K513" i="45"/>
  <c r="AC512" i="45"/>
  <c r="Z512" i="45"/>
  <c r="N512" i="45"/>
  <c r="K512" i="45"/>
  <c r="AC511" i="45"/>
  <c r="Z511" i="45"/>
  <c r="N511" i="45"/>
  <c r="K511" i="45"/>
  <c r="AC509" i="45"/>
  <c r="Z509" i="45"/>
  <c r="N509" i="45"/>
  <c r="K509" i="45"/>
  <c r="AC508" i="45"/>
  <c r="Z508" i="45"/>
  <c r="N508" i="45"/>
  <c r="K508" i="45"/>
  <c r="AC507" i="45"/>
  <c r="Z507" i="45"/>
  <c r="N507" i="45"/>
  <c r="K507" i="45"/>
  <c r="AC505" i="45"/>
  <c r="Z505" i="45"/>
  <c r="N505" i="45"/>
  <c r="K505" i="45"/>
  <c r="AC503" i="45"/>
  <c r="Z503" i="45"/>
  <c r="N503" i="45"/>
  <c r="K503" i="45"/>
  <c r="AC502" i="45"/>
  <c r="Z502" i="45"/>
  <c r="N502" i="45"/>
  <c r="K502" i="45"/>
  <c r="AC501" i="45"/>
  <c r="Z501" i="45"/>
  <c r="N501" i="45"/>
  <c r="K501" i="45"/>
  <c r="AC500" i="45"/>
  <c r="Z500" i="45"/>
  <c r="N500" i="45"/>
  <c r="K500" i="45"/>
  <c r="AC499" i="45"/>
  <c r="Z499" i="45"/>
  <c r="N499" i="45"/>
  <c r="K499" i="45"/>
  <c r="AC497" i="45"/>
  <c r="Z497" i="45"/>
  <c r="N497" i="45"/>
  <c r="K497" i="45"/>
  <c r="AC496" i="45"/>
  <c r="Z496" i="45"/>
  <c r="N496" i="45"/>
  <c r="K496" i="45"/>
  <c r="AC495" i="45"/>
  <c r="Z495" i="45"/>
  <c r="N495" i="45"/>
  <c r="K495" i="45"/>
  <c r="AC494" i="45"/>
  <c r="Z494" i="45"/>
  <c r="N494" i="45"/>
  <c r="K494" i="45"/>
  <c r="AC493" i="45"/>
  <c r="Z493" i="45"/>
  <c r="N493" i="45"/>
  <c r="K493" i="45"/>
  <c r="AC485" i="45"/>
  <c r="Z485" i="45"/>
  <c r="N485" i="45"/>
  <c r="K485" i="45"/>
  <c r="AC484" i="45"/>
  <c r="Z484" i="45"/>
  <c r="N484" i="45"/>
  <c r="K484" i="45"/>
  <c r="AC483" i="45"/>
  <c r="Z483" i="45"/>
  <c r="N483" i="45"/>
  <c r="K483" i="45"/>
  <c r="AC482" i="45"/>
  <c r="Z482" i="45"/>
  <c r="N482" i="45"/>
  <c r="K482" i="45"/>
  <c r="AC481" i="45"/>
  <c r="Z481" i="45"/>
  <c r="N481" i="45"/>
  <c r="K481" i="45"/>
  <c r="AC479" i="45"/>
  <c r="Z479" i="45"/>
  <c r="N479" i="45"/>
  <c r="K479" i="45"/>
  <c r="AC477" i="45"/>
  <c r="Z477" i="45"/>
  <c r="N477" i="45"/>
  <c r="K477" i="45"/>
  <c r="AC476" i="45"/>
  <c r="Z476" i="45"/>
  <c r="N476" i="45"/>
  <c r="K476" i="45"/>
  <c r="AC475" i="45"/>
  <c r="Z475" i="45"/>
  <c r="N475" i="45"/>
  <c r="K475" i="45"/>
  <c r="AC474" i="45"/>
  <c r="Z474" i="45"/>
  <c r="N474" i="45"/>
  <c r="K474" i="45"/>
  <c r="AC472" i="45"/>
  <c r="Z472" i="45"/>
  <c r="N472" i="45"/>
  <c r="K472" i="45"/>
  <c r="AC471" i="45"/>
  <c r="Z471" i="45"/>
  <c r="N471" i="45"/>
  <c r="K471" i="45"/>
  <c r="AC467" i="45"/>
  <c r="Z467" i="45"/>
  <c r="N467" i="45"/>
  <c r="K467" i="45"/>
  <c r="AC464" i="45"/>
  <c r="Z464" i="45"/>
  <c r="N464" i="45"/>
  <c r="K464" i="45"/>
  <c r="AC463" i="45"/>
  <c r="Z463" i="45"/>
  <c r="N463" i="45"/>
  <c r="K463" i="45"/>
  <c r="AC462" i="45"/>
  <c r="Z462" i="45"/>
  <c r="N462" i="45"/>
  <c r="K462" i="45"/>
  <c r="AC461" i="45"/>
  <c r="Z461" i="45"/>
  <c r="N461" i="45"/>
  <c r="K461" i="45"/>
  <c r="AC460" i="45"/>
  <c r="Z460" i="45"/>
  <c r="N460" i="45"/>
  <c r="K460" i="45"/>
  <c r="AC458" i="45"/>
  <c r="Z458" i="45"/>
  <c r="N458" i="45"/>
  <c r="K458" i="45"/>
  <c r="AC457" i="45"/>
  <c r="Z457" i="45"/>
  <c r="N457" i="45"/>
  <c r="K457" i="45"/>
  <c r="AC456" i="45"/>
  <c r="Z456" i="45"/>
  <c r="N456" i="45"/>
  <c r="K456" i="45"/>
  <c r="AC455" i="45"/>
  <c r="Z455" i="45"/>
  <c r="N455" i="45"/>
  <c r="K455" i="45"/>
  <c r="AC453" i="45"/>
  <c r="Z453" i="45"/>
  <c r="N453" i="45"/>
  <c r="K453" i="45"/>
  <c r="AC452" i="45"/>
  <c r="Z452" i="45"/>
  <c r="N452" i="45"/>
  <c r="K452" i="45"/>
  <c r="AC451" i="45"/>
  <c r="Z451" i="45"/>
  <c r="N451" i="45"/>
  <c r="K451" i="45"/>
  <c r="AC450" i="45"/>
  <c r="Z450" i="45"/>
  <c r="N450" i="45"/>
  <c r="K450" i="45"/>
  <c r="AD438" i="45"/>
  <c r="K438" i="45"/>
  <c r="O438" i="45" s="1"/>
  <c r="P438" i="45" s="1"/>
  <c r="AD437" i="45"/>
  <c r="AE437" i="45" s="1"/>
  <c r="K437" i="45"/>
  <c r="O437" i="45" s="1"/>
  <c r="P437" i="45" s="1"/>
  <c r="AI436" i="45"/>
  <c r="AH436" i="45"/>
  <c r="AC436" i="45"/>
  <c r="AB436" i="45"/>
  <c r="AA436" i="45"/>
  <c r="Z436" i="45"/>
  <c r="Y436" i="45"/>
  <c r="X436" i="45"/>
  <c r="W436" i="45"/>
  <c r="V436" i="45"/>
  <c r="U436" i="45"/>
  <c r="T436" i="45"/>
  <c r="S436" i="45"/>
  <c r="R436" i="45"/>
  <c r="Q436" i="45"/>
  <c r="N436" i="45"/>
  <c r="L436" i="45"/>
  <c r="J436" i="45"/>
  <c r="I436" i="45"/>
  <c r="H436" i="45"/>
  <c r="G436" i="45"/>
  <c r="F436" i="45"/>
  <c r="E436" i="45"/>
  <c r="D436" i="45"/>
  <c r="C436" i="45"/>
  <c r="B436" i="45"/>
  <c r="AC433" i="45"/>
  <c r="Z433" i="45"/>
  <c r="N433" i="45"/>
  <c r="K433" i="45"/>
  <c r="AC432" i="45"/>
  <c r="AC431" i="45" s="1"/>
  <c r="Z432" i="45"/>
  <c r="Z431" i="45" s="1"/>
  <c r="N432" i="45"/>
  <c r="K432" i="45"/>
  <c r="AI431" i="45"/>
  <c r="AH431" i="45"/>
  <c r="AB431" i="45"/>
  <c r="AA431" i="45"/>
  <c r="Y431" i="45"/>
  <c r="X431" i="45"/>
  <c r="W431" i="45"/>
  <c r="V431" i="45"/>
  <c r="U431" i="45"/>
  <c r="T431" i="45"/>
  <c r="S431" i="45"/>
  <c r="R431" i="45"/>
  <c r="Q431" i="45"/>
  <c r="M431" i="45"/>
  <c r="L431" i="45"/>
  <c r="J431" i="45"/>
  <c r="I431" i="45"/>
  <c r="H431" i="45"/>
  <c r="G431" i="45"/>
  <c r="F431" i="45"/>
  <c r="E431" i="45"/>
  <c r="D431" i="45"/>
  <c r="C431" i="45"/>
  <c r="B431" i="45"/>
  <c r="AC428" i="45"/>
  <c r="AC427" i="45" s="1"/>
  <c r="Z428" i="45"/>
  <c r="N428" i="45"/>
  <c r="N427" i="45" s="1"/>
  <c r="K428" i="45"/>
  <c r="AI427" i="45"/>
  <c r="AH427" i="45"/>
  <c r="AB427" i="45"/>
  <c r="AA427" i="45"/>
  <c r="Y427" i="45"/>
  <c r="X427" i="45"/>
  <c r="W427" i="45"/>
  <c r="V427" i="45"/>
  <c r="U427" i="45"/>
  <c r="T427" i="45"/>
  <c r="S427" i="45"/>
  <c r="R427" i="45"/>
  <c r="Q427" i="45"/>
  <c r="M427" i="45"/>
  <c r="L427" i="45"/>
  <c r="J427" i="45"/>
  <c r="I427" i="45"/>
  <c r="H427" i="45"/>
  <c r="G427" i="45"/>
  <c r="F427" i="45"/>
  <c r="E427" i="45"/>
  <c r="D427" i="45"/>
  <c r="C427" i="45"/>
  <c r="B427" i="45"/>
  <c r="AC424" i="45"/>
  <c r="Z424" i="45"/>
  <c r="Z423" i="45" s="1"/>
  <c r="N424" i="45"/>
  <c r="N423" i="45" s="1"/>
  <c r="K424" i="45"/>
  <c r="AI423" i="45"/>
  <c r="AH423" i="45"/>
  <c r="AB423" i="45"/>
  <c r="AA423" i="45"/>
  <c r="Y423" i="45"/>
  <c r="X423" i="45"/>
  <c r="W423" i="45"/>
  <c r="V423" i="45"/>
  <c r="U423" i="45"/>
  <c r="T423" i="45"/>
  <c r="S423" i="45"/>
  <c r="R423" i="45"/>
  <c r="Q423" i="45"/>
  <c r="M423" i="45"/>
  <c r="L423" i="45"/>
  <c r="J423" i="45"/>
  <c r="I423" i="45"/>
  <c r="H423" i="45"/>
  <c r="G423" i="45"/>
  <c r="F423" i="45"/>
  <c r="E423" i="45"/>
  <c r="D423" i="45"/>
  <c r="C423" i="45"/>
  <c r="B423" i="45"/>
  <c r="AC420" i="45"/>
  <c r="AC419" i="45" s="1"/>
  <c r="Z420" i="45"/>
  <c r="N420" i="45"/>
  <c r="N419" i="45" s="1"/>
  <c r="K420" i="45"/>
  <c r="AH419" i="45"/>
  <c r="AB419" i="45"/>
  <c r="AA419" i="45"/>
  <c r="Y419" i="45"/>
  <c r="X419" i="45"/>
  <c r="W419" i="45"/>
  <c r="V419" i="45"/>
  <c r="U419" i="45"/>
  <c r="T419" i="45"/>
  <c r="S419" i="45"/>
  <c r="R419" i="45"/>
  <c r="Q419" i="45"/>
  <c r="L419" i="45"/>
  <c r="C419" i="45"/>
  <c r="B419" i="45"/>
  <c r="AG418" i="45"/>
  <c r="K415" i="45"/>
  <c r="AC414" i="45"/>
  <c r="Z414" i="45"/>
  <c r="N414" i="45"/>
  <c r="K414" i="45"/>
  <c r="AC412" i="45"/>
  <c r="Z412" i="45"/>
  <c r="N412" i="45"/>
  <c r="K412" i="45"/>
  <c r="AC411" i="45"/>
  <c r="Z411" i="45"/>
  <c r="N411" i="45"/>
  <c r="K411" i="45"/>
  <c r="AC410" i="45"/>
  <c r="Z410" i="45"/>
  <c r="N410" i="45"/>
  <c r="K410" i="45"/>
  <c r="Z408" i="45"/>
  <c r="AD408" i="45" s="1"/>
  <c r="K408" i="45"/>
  <c r="O408" i="45" s="1"/>
  <c r="P408" i="45" s="1"/>
  <c r="AC406" i="45"/>
  <c r="Z406" i="45"/>
  <c r="N406" i="45"/>
  <c r="K406" i="45"/>
  <c r="AC405" i="45"/>
  <c r="Z405" i="45"/>
  <c r="N405" i="45"/>
  <c r="K405" i="45"/>
  <c r="AC403" i="45"/>
  <c r="Z403" i="45"/>
  <c r="N403" i="45"/>
  <c r="K403" i="45"/>
  <c r="AC401" i="45"/>
  <c r="Z401" i="45"/>
  <c r="N401" i="45"/>
  <c r="K401" i="45"/>
  <c r="AC400" i="45"/>
  <c r="Z400" i="45"/>
  <c r="N400" i="45"/>
  <c r="K400" i="45"/>
  <c r="AG398" i="45"/>
  <c r="AB398" i="45"/>
  <c r="AA398" i="45"/>
  <c r="Y398" i="45"/>
  <c r="X398" i="45"/>
  <c r="W398" i="45"/>
  <c r="V398" i="45"/>
  <c r="U398" i="45"/>
  <c r="T398" i="45"/>
  <c r="S398" i="45"/>
  <c r="R398" i="45"/>
  <c r="Q398" i="45"/>
  <c r="M398" i="45"/>
  <c r="L398" i="45"/>
  <c r="J398" i="45"/>
  <c r="I398" i="45"/>
  <c r="H398" i="45"/>
  <c r="G398" i="45"/>
  <c r="F398" i="45"/>
  <c r="E398" i="45"/>
  <c r="D398" i="45"/>
  <c r="C398" i="45"/>
  <c r="B398" i="45"/>
  <c r="AC395" i="45"/>
  <c r="Z395" i="45"/>
  <c r="N395" i="45"/>
  <c r="K395" i="45"/>
  <c r="AC394" i="45"/>
  <c r="Z394" i="45"/>
  <c r="N394" i="45"/>
  <c r="K394" i="45"/>
  <c r="AC393" i="45"/>
  <c r="Z393" i="45"/>
  <c r="N393" i="45"/>
  <c r="K393" i="45"/>
  <c r="AC392" i="45"/>
  <c r="Z392" i="45"/>
  <c r="N392" i="45"/>
  <c r="K392" i="45"/>
  <c r="AC391" i="45"/>
  <c r="Z391" i="45"/>
  <c r="N391" i="45"/>
  <c r="K391" i="45"/>
  <c r="AC390" i="45"/>
  <c r="Z390" i="45"/>
  <c r="N390" i="45"/>
  <c r="K390" i="45"/>
  <c r="AG389" i="45"/>
  <c r="AA389" i="45"/>
  <c r="AC389" i="45" s="1"/>
  <c r="S389" i="45"/>
  <c r="R389" i="45"/>
  <c r="Q389" i="45"/>
  <c r="L389" i="45"/>
  <c r="N389" i="45" s="1"/>
  <c r="D389" i="45"/>
  <c r="C389" i="45"/>
  <c r="B389" i="45"/>
  <c r="AC388" i="45"/>
  <c r="Z388" i="45"/>
  <c r="N388" i="45"/>
  <c r="K388" i="45"/>
  <c r="AC387" i="45"/>
  <c r="Z387" i="45"/>
  <c r="N387" i="45"/>
  <c r="K387" i="45"/>
  <c r="AC386" i="45"/>
  <c r="Z386" i="45"/>
  <c r="N386" i="45"/>
  <c r="K386" i="45"/>
  <c r="AC385" i="45"/>
  <c r="Z385" i="45"/>
  <c r="N385" i="45"/>
  <c r="K385" i="45"/>
  <c r="AC384" i="45"/>
  <c r="Z384" i="45"/>
  <c r="N384" i="45"/>
  <c r="K384" i="45"/>
  <c r="AC383" i="45"/>
  <c r="Z383" i="45"/>
  <c r="N383" i="45"/>
  <c r="K383" i="45"/>
  <c r="AC382" i="45"/>
  <c r="Z382" i="45"/>
  <c r="N382" i="45"/>
  <c r="K382" i="45"/>
  <c r="AH381" i="45"/>
  <c r="AG381" i="45"/>
  <c r="AA381" i="45"/>
  <c r="AC381" i="45" s="1"/>
  <c r="S381" i="45"/>
  <c r="R381" i="45"/>
  <c r="Q381" i="45"/>
  <c r="L381" i="45"/>
  <c r="N381" i="45" s="1"/>
  <c r="D381" i="45"/>
  <c r="C381" i="45"/>
  <c r="B381" i="45"/>
  <c r="AC380" i="45"/>
  <c r="Z380" i="45"/>
  <c r="N380" i="45"/>
  <c r="K380" i="45"/>
  <c r="AC379" i="45"/>
  <c r="Z379" i="45"/>
  <c r="N379" i="45"/>
  <c r="K379" i="45"/>
  <c r="AC378" i="45"/>
  <c r="Z378" i="45"/>
  <c r="N378" i="45"/>
  <c r="K378" i="45"/>
  <c r="AC377" i="45"/>
  <c r="Z377" i="45"/>
  <c r="N377" i="45"/>
  <c r="K377" i="45"/>
  <c r="AC374" i="45"/>
  <c r="Z374" i="45"/>
  <c r="N374" i="45"/>
  <c r="K374" i="45"/>
  <c r="AH373" i="45"/>
  <c r="AG373" i="45"/>
  <c r="AA373" i="45"/>
  <c r="AC373" i="45" s="1"/>
  <c r="S373" i="45"/>
  <c r="R373" i="45"/>
  <c r="Q373" i="45"/>
  <c r="L373" i="45"/>
  <c r="N373" i="45" s="1"/>
  <c r="D373" i="45"/>
  <c r="C373" i="45"/>
  <c r="B373" i="45"/>
  <c r="AC371" i="45"/>
  <c r="Z371" i="45"/>
  <c r="N371" i="45"/>
  <c r="K371" i="45"/>
  <c r="AC370" i="45"/>
  <c r="Z370" i="45"/>
  <c r="N370" i="45"/>
  <c r="K370" i="45"/>
  <c r="AC368" i="45"/>
  <c r="Z368" i="45"/>
  <c r="N368" i="45"/>
  <c r="K368" i="45"/>
  <c r="AC367" i="45"/>
  <c r="Z367" i="45"/>
  <c r="N367" i="45"/>
  <c r="K367" i="45"/>
  <c r="AC366" i="45"/>
  <c r="Z366" i="45"/>
  <c r="N366" i="45"/>
  <c r="K366" i="45"/>
  <c r="AC365" i="45"/>
  <c r="Z365" i="45"/>
  <c r="N365" i="45"/>
  <c r="K365" i="45"/>
  <c r="AI364" i="45"/>
  <c r="AH364" i="45"/>
  <c r="AG364" i="45"/>
  <c r="AA364" i="45"/>
  <c r="S364" i="45"/>
  <c r="R364" i="45"/>
  <c r="Q364" i="45"/>
  <c r="L364" i="45"/>
  <c r="D364" i="45"/>
  <c r="C364" i="45"/>
  <c r="B364" i="45"/>
  <c r="AA355" i="45"/>
  <c r="S355" i="45"/>
  <c r="R355" i="45"/>
  <c r="Q355" i="45"/>
  <c r="L355" i="45"/>
  <c r="D355" i="45"/>
  <c r="C355" i="45"/>
  <c r="B355" i="45"/>
  <c r="K351" i="45"/>
  <c r="O351" i="45" s="1"/>
  <c r="P351" i="45" s="1"/>
  <c r="AC350" i="45"/>
  <c r="Z350" i="45"/>
  <c r="AD350" i="45" s="1"/>
  <c r="AE350" i="45" s="1"/>
  <c r="N350" i="45"/>
  <c r="K350" i="45"/>
  <c r="O350" i="45" s="1"/>
  <c r="P350" i="45" s="1"/>
  <c r="AC349" i="45"/>
  <c r="Z349" i="45"/>
  <c r="AD349" i="45" s="1"/>
  <c r="AE349" i="45" s="1"/>
  <c r="N349" i="45"/>
  <c r="K349" i="45"/>
  <c r="O349" i="45" s="1"/>
  <c r="P349" i="45" s="1"/>
  <c r="AC348" i="45"/>
  <c r="Z348" i="45"/>
  <c r="AD348" i="45" s="1"/>
  <c r="AE348" i="45" s="1"/>
  <c r="N348" i="45"/>
  <c r="K348" i="45"/>
  <c r="O348" i="45" s="1"/>
  <c r="P348" i="45" s="1"/>
  <c r="K347" i="45"/>
  <c r="O347" i="45" s="1"/>
  <c r="P347" i="45" s="1"/>
  <c r="K346" i="45"/>
  <c r="O346" i="45" s="1"/>
  <c r="P346" i="45" s="1"/>
  <c r="K345" i="45"/>
  <c r="O345" i="45" s="1"/>
  <c r="P345" i="45" s="1"/>
  <c r="K344" i="45"/>
  <c r="O344" i="45" s="1"/>
  <c r="P344" i="45" s="1"/>
  <c r="AC343" i="45"/>
  <c r="Z343" i="45"/>
  <c r="AD343" i="45" s="1"/>
  <c r="AE343" i="45" s="1"/>
  <c r="N343" i="45"/>
  <c r="K343" i="45"/>
  <c r="O343" i="45" s="1"/>
  <c r="P343" i="45" s="1"/>
  <c r="AC342" i="45"/>
  <c r="Z342" i="45"/>
  <c r="N342" i="45"/>
  <c r="K342" i="45"/>
  <c r="O342" i="45" s="1"/>
  <c r="P342" i="45" s="1"/>
  <c r="AH333" i="45"/>
  <c r="AA333" i="45"/>
  <c r="S333" i="45"/>
  <c r="R333" i="45"/>
  <c r="Q333" i="45"/>
  <c r="L333" i="45"/>
  <c r="D333" i="45"/>
  <c r="C333" i="45"/>
  <c r="B333" i="45"/>
  <c r="AE321" i="45"/>
  <c r="AI321" i="45" s="1"/>
  <c r="AD321" i="45"/>
  <c r="Z321" i="45"/>
  <c r="P321" i="45"/>
  <c r="O321" i="45"/>
  <c r="K321" i="45"/>
  <c r="AE320" i="45"/>
  <c r="AI320" i="45" s="1"/>
  <c r="AD320" i="45"/>
  <c r="Z320" i="45"/>
  <c r="P320" i="45"/>
  <c r="O320" i="45"/>
  <c r="K320" i="45"/>
  <c r="AE317" i="45"/>
  <c r="AI317" i="45" s="1"/>
  <c r="AD317" i="45"/>
  <c r="Z317" i="45"/>
  <c r="P317" i="45"/>
  <c r="O317" i="45"/>
  <c r="K317" i="45"/>
  <c r="AE316" i="45"/>
  <c r="AI316" i="45" s="1"/>
  <c r="AD316" i="45"/>
  <c r="Z316" i="45"/>
  <c r="P316" i="45"/>
  <c r="O316" i="45"/>
  <c r="K316" i="45"/>
  <c r="AE315" i="45"/>
  <c r="AI315" i="45" s="1"/>
  <c r="AD315" i="45"/>
  <c r="Z315" i="45"/>
  <c r="P315" i="45"/>
  <c r="O315" i="45"/>
  <c r="K315" i="45"/>
  <c r="AE312" i="45"/>
  <c r="AI312" i="45" s="1"/>
  <c r="AD312" i="45"/>
  <c r="Z312" i="45"/>
  <c r="P312" i="45"/>
  <c r="O312" i="45"/>
  <c r="K312" i="45"/>
  <c r="AE311" i="45"/>
  <c r="AI311" i="45" s="1"/>
  <c r="AD311" i="45"/>
  <c r="Z311" i="45"/>
  <c r="P311" i="45"/>
  <c r="O311" i="45"/>
  <c r="K311" i="45"/>
  <c r="AE310" i="45"/>
  <c r="AD310" i="45"/>
  <c r="Z310" i="45"/>
  <c r="P310" i="45"/>
  <c r="O310" i="45"/>
  <c r="K310" i="45"/>
  <c r="AH299" i="45"/>
  <c r="AC299" i="45"/>
  <c r="AB299" i="45"/>
  <c r="AA299" i="45"/>
  <c r="Y299" i="45"/>
  <c r="X299" i="45"/>
  <c r="W299" i="45"/>
  <c r="V299" i="45"/>
  <c r="U299" i="45"/>
  <c r="T299" i="45"/>
  <c r="S299" i="45"/>
  <c r="R299" i="45"/>
  <c r="Q299" i="45"/>
  <c r="N299" i="45"/>
  <c r="M299" i="45"/>
  <c r="L299" i="45"/>
  <c r="J299" i="45"/>
  <c r="I299" i="45"/>
  <c r="H299" i="45"/>
  <c r="G299" i="45"/>
  <c r="F299" i="45"/>
  <c r="E299" i="45"/>
  <c r="D299" i="45"/>
  <c r="C299" i="45"/>
  <c r="B299" i="45"/>
  <c r="AE288" i="45"/>
  <c r="AI288" i="45" s="1"/>
  <c r="AD288" i="45"/>
  <c r="Z288" i="45"/>
  <c r="P288" i="45"/>
  <c r="O288" i="45"/>
  <c r="K288" i="45"/>
  <c r="AE285" i="45"/>
  <c r="AI285" i="45" s="1"/>
  <c r="AD285" i="45"/>
  <c r="Z285" i="45"/>
  <c r="P285" i="45"/>
  <c r="O285" i="45"/>
  <c r="K285" i="45"/>
  <c r="AE284" i="45"/>
  <c r="AI284" i="45" s="1"/>
  <c r="AD284" i="45"/>
  <c r="Z284" i="45"/>
  <c r="P284" i="45"/>
  <c r="O284" i="45"/>
  <c r="K284" i="45"/>
  <c r="AE281" i="45"/>
  <c r="AI281" i="45" s="1"/>
  <c r="AD281" i="45"/>
  <c r="Z281" i="45"/>
  <c r="P281" i="45"/>
  <c r="O281" i="45"/>
  <c r="K281" i="45"/>
  <c r="AE280" i="45"/>
  <c r="AI280" i="45" s="1"/>
  <c r="AD280" i="45"/>
  <c r="Z280" i="45"/>
  <c r="P280" i="45"/>
  <c r="O280" i="45"/>
  <c r="K280" i="45"/>
  <c r="AE279" i="45"/>
  <c r="AI279" i="45" s="1"/>
  <c r="AD279" i="45"/>
  <c r="Z279" i="45"/>
  <c r="P279" i="45"/>
  <c r="O279" i="45"/>
  <c r="K279" i="45"/>
  <c r="AE278" i="45"/>
  <c r="AI278" i="45" s="1"/>
  <c r="AD278" i="45"/>
  <c r="Z278" i="45"/>
  <c r="P278" i="45"/>
  <c r="O278" i="45"/>
  <c r="K278" i="45"/>
  <c r="AE275" i="45"/>
  <c r="AI275" i="45" s="1"/>
  <c r="AD275" i="45"/>
  <c r="Z275" i="45"/>
  <c r="P275" i="45"/>
  <c r="O275" i="45"/>
  <c r="K275" i="45"/>
  <c r="AE274" i="45"/>
  <c r="AD274" i="45"/>
  <c r="Z274" i="45"/>
  <c r="P274" i="45"/>
  <c r="O274" i="45"/>
  <c r="K274" i="45"/>
  <c r="AH263" i="45"/>
  <c r="AB263" i="45"/>
  <c r="AA263" i="45"/>
  <c r="U263" i="45"/>
  <c r="T263" i="45"/>
  <c r="S263" i="45"/>
  <c r="R263" i="45"/>
  <c r="Q263" i="45"/>
  <c r="L263" i="45"/>
  <c r="H263" i="45"/>
  <c r="G263" i="45"/>
  <c r="F263" i="45"/>
  <c r="E263" i="45"/>
  <c r="D263" i="45"/>
  <c r="C263" i="45"/>
  <c r="B263" i="45"/>
  <c r="AG258" i="45"/>
  <c r="AC258" i="45"/>
  <c r="Z258" i="45"/>
  <c r="N258" i="45"/>
  <c r="K258" i="45"/>
  <c r="AG257" i="45"/>
  <c r="AC257" i="45"/>
  <c r="Z257" i="45"/>
  <c r="N257" i="45"/>
  <c r="K257" i="45"/>
  <c r="AG256" i="45"/>
  <c r="AC256" i="45"/>
  <c r="Z256" i="45"/>
  <c r="N256" i="45"/>
  <c r="K256" i="45"/>
  <c r="AG255" i="45"/>
  <c r="AC255" i="45"/>
  <c r="Z255" i="45"/>
  <c r="N255" i="45"/>
  <c r="K255" i="45"/>
  <c r="AG254" i="45"/>
  <c r="AC254" i="45"/>
  <c r="Z254" i="45"/>
  <c r="N254" i="45"/>
  <c r="K254" i="45"/>
  <c r="AG253" i="45"/>
  <c r="AC253" i="45"/>
  <c r="Z253" i="45"/>
  <c r="N253" i="45"/>
  <c r="K253" i="45"/>
  <c r="AG252" i="45"/>
  <c r="AC252" i="45"/>
  <c r="Z252" i="45"/>
  <c r="N252" i="45"/>
  <c r="K252" i="45"/>
  <c r="AG251" i="45"/>
  <c r="AC251" i="45"/>
  <c r="Z251" i="45"/>
  <c r="N251" i="45"/>
  <c r="K251" i="45"/>
  <c r="AG250" i="45"/>
  <c r="AC250" i="45"/>
  <c r="Z250" i="45"/>
  <c r="N250" i="45"/>
  <c r="K250" i="45"/>
  <c r="AG249" i="45"/>
  <c r="AC249" i="45"/>
  <c r="Z249" i="45"/>
  <c r="N249" i="45"/>
  <c r="K249" i="45"/>
  <c r="AG248" i="45"/>
  <c r="AC248" i="45"/>
  <c r="Z248" i="45"/>
  <c r="N248" i="45"/>
  <c r="K248" i="45"/>
  <c r="AG247" i="45"/>
  <c r="AC247" i="45"/>
  <c r="Z247" i="45"/>
  <c r="N247" i="45"/>
  <c r="K247" i="45"/>
  <c r="AG246" i="45"/>
  <c r="AC246" i="45"/>
  <c r="Z246" i="45"/>
  <c r="N246" i="45"/>
  <c r="K246" i="45"/>
  <c r="AG245" i="45"/>
  <c r="AC245" i="45"/>
  <c r="Z245" i="45"/>
  <c r="N245" i="45"/>
  <c r="K245" i="45"/>
  <c r="AG244" i="45"/>
  <c r="AC244" i="45"/>
  <c r="Z244" i="45"/>
  <c r="N244" i="45"/>
  <c r="K244" i="45"/>
  <c r="AG243" i="45"/>
  <c r="AC243" i="45"/>
  <c r="Z243" i="45"/>
  <c r="N243" i="45"/>
  <c r="K243" i="45"/>
  <c r="AG242" i="45"/>
  <c r="AC242" i="45"/>
  <c r="Z242" i="45"/>
  <c r="N242" i="45"/>
  <c r="K242" i="45"/>
  <c r="AG241" i="45"/>
  <c r="AC241" i="45"/>
  <c r="Z241" i="45"/>
  <c r="N241" i="45"/>
  <c r="K241" i="45"/>
  <c r="AG240" i="45"/>
  <c r="AC240" i="45"/>
  <c r="Z240" i="45"/>
  <c r="N240" i="45"/>
  <c r="K240" i="45"/>
  <c r="AG239" i="45"/>
  <c r="AC239" i="45"/>
  <c r="Z239" i="45"/>
  <c r="N239" i="45"/>
  <c r="K239" i="45"/>
  <c r="AG238" i="45"/>
  <c r="AC238" i="45"/>
  <c r="Z238" i="45"/>
  <c r="N238" i="45"/>
  <c r="K238" i="45"/>
  <c r="AI237" i="45"/>
  <c r="AG237" i="45"/>
  <c r="N237" i="45"/>
  <c r="K237" i="45"/>
  <c r="AG236" i="45"/>
  <c r="AC236" i="45"/>
  <c r="Z236" i="45"/>
  <c r="N236" i="45"/>
  <c r="K236" i="45"/>
  <c r="AG235" i="45"/>
  <c r="AC235" i="45"/>
  <c r="Z235" i="45"/>
  <c r="N235" i="45"/>
  <c r="K235" i="45"/>
  <c r="AG234" i="45"/>
  <c r="AC234" i="45"/>
  <c r="Z234" i="45"/>
  <c r="N234" i="45"/>
  <c r="K234" i="45"/>
  <c r="AG233" i="45"/>
  <c r="AC233" i="45"/>
  <c r="Z233" i="45"/>
  <c r="N233" i="45"/>
  <c r="K233" i="45"/>
  <c r="AA224" i="45"/>
  <c r="S224" i="45"/>
  <c r="R224" i="45"/>
  <c r="Q224" i="45"/>
  <c r="L224" i="45"/>
  <c r="D224" i="45"/>
  <c r="C224" i="45"/>
  <c r="B224" i="45"/>
  <c r="AC219" i="45"/>
  <c r="Z219" i="45"/>
  <c r="AD219" i="45" s="1"/>
  <c r="AE219" i="45" s="1"/>
  <c r="N219" i="45"/>
  <c r="K219" i="45"/>
  <c r="O219" i="45" s="1"/>
  <c r="P219" i="45" s="1"/>
  <c r="AC218" i="45"/>
  <c r="Z218" i="45"/>
  <c r="AD218" i="45" s="1"/>
  <c r="AE218" i="45" s="1"/>
  <c r="N218" i="45"/>
  <c r="K218" i="45"/>
  <c r="O218" i="45" s="1"/>
  <c r="P218" i="45" s="1"/>
  <c r="AC217" i="45"/>
  <c r="Z217" i="45"/>
  <c r="AD217" i="45" s="1"/>
  <c r="AE217" i="45" s="1"/>
  <c r="N217" i="45"/>
  <c r="K217" i="45"/>
  <c r="O217" i="45" s="1"/>
  <c r="P217" i="45" s="1"/>
  <c r="AC216" i="45"/>
  <c r="Z216" i="45"/>
  <c r="AD216" i="45" s="1"/>
  <c r="AE216" i="45" s="1"/>
  <c r="N216" i="45"/>
  <c r="K216" i="45"/>
  <c r="O216" i="45" s="1"/>
  <c r="P216" i="45" s="1"/>
  <c r="AC215" i="45"/>
  <c r="Z215" i="45"/>
  <c r="AD215" i="45" s="1"/>
  <c r="N215" i="45"/>
  <c r="K215" i="45"/>
  <c r="O215" i="45" s="1"/>
  <c r="AI206" i="45"/>
  <c r="AH206" i="45"/>
  <c r="AG206" i="45"/>
  <c r="AF206" i="45"/>
  <c r="AE206" i="45"/>
  <c r="AD206" i="45"/>
  <c r="AC206" i="45"/>
  <c r="AB206" i="45"/>
  <c r="AA206" i="45"/>
  <c r="Z206" i="45"/>
  <c r="Y206" i="45"/>
  <c r="X206" i="45"/>
  <c r="W206" i="45"/>
  <c r="V206" i="45"/>
  <c r="U206" i="45"/>
  <c r="T206" i="45"/>
  <c r="S206" i="45"/>
  <c r="R206" i="45"/>
  <c r="Q206" i="45"/>
  <c r="P206" i="45"/>
  <c r="O206" i="45"/>
  <c r="N206" i="45"/>
  <c r="M206" i="45"/>
  <c r="L206" i="45"/>
  <c r="K206" i="45"/>
  <c r="J206" i="45"/>
  <c r="I206" i="45"/>
  <c r="H206" i="45"/>
  <c r="G206" i="45"/>
  <c r="F206" i="45"/>
  <c r="E206" i="45"/>
  <c r="D206" i="45"/>
  <c r="C206" i="45"/>
  <c r="B206" i="45"/>
  <c r="AI170" i="45"/>
  <c r="AH170" i="45"/>
  <c r="AG170" i="45"/>
  <c r="AA170" i="45"/>
  <c r="S170" i="45"/>
  <c r="R170" i="45"/>
  <c r="Q170" i="45"/>
  <c r="L170" i="45"/>
  <c r="J170" i="45"/>
  <c r="I170" i="45"/>
  <c r="H170" i="45"/>
  <c r="G170" i="45"/>
  <c r="F170" i="45"/>
  <c r="E170" i="45"/>
  <c r="D170" i="45"/>
  <c r="C170" i="45"/>
  <c r="B170" i="45"/>
  <c r="AC167" i="45"/>
  <c r="Z167" i="45"/>
  <c r="N167" i="45"/>
  <c r="K167" i="45"/>
  <c r="AC166" i="45"/>
  <c r="Z166" i="45"/>
  <c r="N166" i="45"/>
  <c r="K166" i="45"/>
  <c r="AC165" i="45"/>
  <c r="Z165" i="45"/>
  <c r="N165" i="45"/>
  <c r="K165" i="45"/>
  <c r="AC164" i="45"/>
  <c r="Z164" i="45"/>
  <c r="N164" i="45"/>
  <c r="K164" i="45"/>
  <c r="AC163" i="45"/>
  <c r="Z163" i="45"/>
  <c r="N163" i="45"/>
  <c r="K163" i="45"/>
  <c r="AC162" i="45"/>
  <c r="Z162" i="45"/>
  <c r="N162" i="45"/>
  <c r="K162" i="45"/>
  <c r="AC161" i="45"/>
  <c r="Z161" i="45"/>
  <c r="N161" i="45"/>
  <c r="K161" i="45"/>
  <c r="AC160" i="45"/>
  <c r="Z160" i="45"/>
  <c r="N160" i="45"/>
  <c r="K160" i="45"/>
  <c r="AC159" i="45"/>
  <c r="Z159" i="45"/>
  <c r="N159" i="45"/>
  <c r="K159" i="45"/>
  <c r="AC158" i="45"/>
  <c r="Z158" i="45"/>
  <c r="N158" i="45"/>
  <c r="K158" i="45"/>
  <c r="AC157" i="45"/>
  <c r="Z157" i="45"/>
  <c r="N157" i="45"/>
  <c r="K157" i="45"/>
  <c r="AC156" i="45"/>
  <c r="Z156" i="45"/>
  <c r="N156" i="45"/>
  <c r="K156" i="45"/>
  <c r="AC153" i="45"/>
  <c r="Z153" i="45"/>
  <c r="N153" i="45"/>
  <c r="K153" i="45"/>
  <c r="AC152" i="45"/>
  <c r="Z152" i="45"/>
  <c r="N152" i="45"/>
  <c r="K152" i="45"/>
  <c r="AC151" i="45"/>
  <c r="Z151" i="45"/>
  <c r="N151" i="45"/>
  <c r="K151" i="45"/>
  <c r="AC150" i="45"/>
  <c r="Z150" i="45"/>
  <c r="N150" i="45"/>
  <c r="K150" i="45"/>
  <c r="AC149" i="45"/>
  <c r="Z149" i="45"/>
  <c r="N149" i="45"/>
  <c r="K149" i="45"/>
  <c r="AC148" i="45"/>
  <c r="Z148" i="45"/>
  <c r="N148" i="45"/>
  <c r="K148" i="45"/>
  <c r="AC145" i="45"/>
  <c r="Z145" i="45"/>
  <c r="N145" i="45"/>
  <c r="K145" i="45"/>
  <c r="AC144" i="45"/>
  <c r="Z144" i="45"/>
  <c r="N144" i="45"/>
  <c r="K144" i="45"/>
  <c r="AC143" i="45"/>
  <c r="Z143" i="45"/>
  <c r="N143" i="45"/>
  <c r="K143" i="45"/>
  <c r="AC142" i="45"/>
  <c r="Z142" i="45"/>
  <c r="N142" i="45"/>
  <c r="K142" i="45"/>
  <c r="AC141" i="45"/>
  <c r="Z141" i="45"/>
  <c r="N141" i="45"/>
  <c r="K141" i="45"/>
  <c r="AC140" i="45"/>
  <c r="Z140" i="45"/>
  <c r="N140" i="45"/>
  <c r="K140" i="45"/>
  <c r="AI130" i="45"/>
  <c r="AA130" i="45"/>
  <c r="S130" i="45"/>
  <c r="R130" i="45"/>
  <c r="L130" i="45"/>
  <c r="D130" i="45"/>
  <c r="C130" i="45"/>
  <c r="AD126" i="45"/>
  <c r="AE126" i="45" s="1"/>
  <c r="O126" i="45"/>
  <c r="P126" i="45" s="1"/>
  <c r="AD124" i="45"/>
  <c r="AE124" i="45" s="1"/>
  <c r="O124" i="45"/>
  <c r="P124" i="45" s="1"/>
  <c r="AD123" i="45"/>
  <c r="AE123" i="45" s="1"/>
  <c r="O123" i="45"/>
  <c r="P123" i="45" s="1"/>
  <c r="AD122" i="45"/>
  <c r="AE122" i="45" s="1"/>
  <c r="O122" i="45"/>
  <c r="P122" i="45" s="1"/>
  <c r="AD120" i="45"/>
  <c r="AE120" i="45" s="1"/>
  <c r="O120" i="45"/>
  <c r="P120" i="45" s="1"/>
  <c r="AD119" i="45"/>
  <c r="AE119" i="45" s="1"/>
  <c r="O119" i="45"/>
  <c r="P119" i="45" s="1"/>
  <c r="AD118" i="45"/>
  <c r="AE118" i="45" s="1"/>
  <c r="O118" i="45"/>
  <c r="P118" i="45" s="1"/>
  <c r="AD117" i="45"/>
  <c r="AE117" i="45" s="1"/>
  <c r="O117" i="45"/>
  <c r="P117" i="45" s="1"/>
  <c r="AD115" i="45"/>
  <c r="AE115" i="45" s="1"/>
  <c r="O115" i="45"/>
  <c r="P115" i="45" s="1"/>
  <c r="AD114" i="45"/>
  <c r="AE114" i="45" s="1"/>
  <c r="O114" i="45"/>
  <c r="P114" i="45" s="1"/>
  <c r="AD113" i="45"/>
  <c r="AE113" i="45" s="1"/>
  <c r="O113" i="45"/>
  <c r="P113" i="45" s="1"/>
  <c r="AD112" i="45"/>
  <c r="AE112" i="45" s="1"/>
  <c r="O112" i="45"/>
  <c r="P112" i="45" s="1"/>
  <c r="AD111" i="45"/>
  <c r="AE111" i="45" s="1"/>
  <c r="O111" i="45"/>
  <c r="P111" i="45" s="1"/>
  <c r="AD109" i="45"/>
  <c r="AE109" i="45" s="1"/>
  <c r="O109" i="45"/>
  <c r="P109" i="45" s="1"/>
  <c r="AD108" i="45"/>
  <c r="AE108" i="45" s="1"/>
  <c r="O108" i="45"/>
  <c r="P108" i="45" s="1"/>
  <c r="AD107" i="45"/>
  <c r="AE107" i="45" s="1"/>
  <c r="O107" i="45"/>
  <c r="P107" i="45" s="1"/>
  <c r="AD105" i="45"/>
  <c r="AE105" i="45" s="1"/>
  <c r="O105" i="45"/>
  <c r="P105" i="45" s="1"/>
  <c r="AD104" i="45"/>
  <c r="AE104" i="45" s="1"/>
  <c r="O104" i="45"/>
  <c r="P104" i="45" s="1"/>
  <c r="AD103" i="45"/>
  <c r="AE103" i="45" s="1"/>
  <c r="O103" i="45"/>
  <c r="P103" i="45" s="1"/>
  <c r="AD102" i="45"/>
  <c r="AE102" i="45" s="1"/>
  <c r="O102" i="45"/>
  <c r="P102" i="45" s="1"/>
  <c r="AD101" i="45"/>
  <c r="AE101" i="45" s="1"/>
  <c r="O101" i="45"/>
  <c r="P101" i="45" s="1"/>
  <c r="AD99" i="45"/>
  <c r="O99" i="45"/>
  <c r="P99" i="45" s="1"/>
  <c r="AG85" i="45"/>
  <c r="AG84" i="45" s="1"/>
  <c r="AC85" i="45"/>
  <c r="AC84" i="45" s="1"/>
  <c r="Z85" i="45"/>
  <c r="AD85" i="45" s="1"/>
  <c r="N85" i="45"/>
  <c r="N84" i="45" s="1"/>
  <c r="K85" i="45"/>
  <c r="AH84" i="45"/>
  <c r="AA84" i="45"/>
  <c r="S84" i="45"/>
  <c r="R84" i="45"/>
  <c r="Q84" i="45"/>
  <c r="L84" i="45"/>
  <c r="D84" i="45"/>
  <c r="C84" i="45"/>
  <c r="B84" i="45"/>
  <c r="AG82" i="45"/>
  <c r="AG81" i="45" s="1"/>
  <c r="AC82" i="45"/>
  <c r="AC81" i="45" s="1"/>
  <c r="Z82" i="45"/>
  <c r="N82" i="45"/>
  <c r="N81" i="45" s="1"/>
  <c r="K82" i="45"/>
  <c r="AH81" i="45"/>
  <c r="AA81" i="45"/>
  <c r="S81" i="45"/>
  <c r="R81" i="45"/>
  <c r="Q81" i="45"/>
  <c r="L81" i="45"/>
  <c r="D81" i="45"/>
  <c r="C81" i="45"/>
  <c r="B81" i="45"/>
  <c r="AG79" i="45"/>
  <c r="AG78" i="45" s="1"/>
  <c r="AC79" i="45"/>
  <c r="AC78" i="45" s="1"/>
  <c r="Z79" i="45"/>
  <c r="AD79" i="45" s="1"/>
  <c r="AD78" i="45" s="1"/>
  <c r="N79" i="45"/>
  <c r="N78" i="45" s="1"/>
  <c r="K79" i="45"/>
  <c r="O79" i="45" s="1"/>
  <c r="P79" i="45" s="1"/>
  <c r="AH78" i="45"/>
  <c r="AA78" i="45"/>
  <c r="S78" i="45"/>
  <c r="R78" i="45"/>
  <c r="Q78" i="45"/>
  <c r="L78" i="45"/>
  <c r="D78" i="45"/>
  <c r="C78" i="45"/>
  <c r="B78" i="45"/>
  <c r="AG76" i="45"/>
  <c r="AC76" i="45"/>
  <c r="Z76" i="45"/>
  <c r="AD76" i="45" s="1"/>
  <c r="AE76" i="45" s="1"/>
  <c r="N76" i="45"/>
  <c r="K76" i="45"/>
  <c r="O76" i="45" s="1"/>
  <c r="AG75" i="45"/>
  <c r="AC75" i="45"/>
  <c r="Z75" i="45"/>
  <c r="AD75" i="45" s="1"/>
  <c r="AE75" i="45" s="1"/>
  <c r="N75" i="45"/>
  <c r="K75" i="45"/>
  <c r="O75" i="45" s="1"/>
  <c r="P75" i="45" s="1"/>
  <c r="AG74" i="45"/>
  <c r="AC74" i="45"/>
  <c r="Z74" i="45"/>
  <c r="AD74" i="45" s="1"/>
  <c r="AE74" i="45" s="1"/>
  <c r="N74" i="45"/>
  <c r="K74" i="45"/>
  <c r="O74" i="45" s="1"/>
  <c r="AG73" i="45"/>
  <c r="AC73" i="45"/>
  <c r="Z73" i="45"/>
  <c r="AD73" i="45" s="1"/>
  <c r="AE73" i="45" s="1"/>
  <c r="N73" i="45"/>
  <c r="K73" i="45"/>
  <c r="O73" i="45" s="1"/>
  <c r="P73" i="45" s="1"/>
  <c r="AH72" i="45"/>
  <c r="AA72" i="45"/>
  <c r="S72" i="45"/>
  <c r="R72" i="45"/>
  <c r="Q72" i="45"/>
  <c r="L72" i="45"/>
  <c r="D72" i="45"/>
  <c r="C72" i="45"/>
  <c r="B72" i="45"/>
  <c r="AC70" i="45"/>
  <c r="AC69" i="45" s="1"/>
  <c r="Z70" i="45"/>
  <c r="N70" i="45"/>
  <c r="N69" i="45" s="1"/>
  <c r="K70" i="45"/>
  <c r="AA69" i="45"/>
  <c r="S69" i="45"/>
  <c r="R69" i="45"/>
  <c r="Q69" i="45"/>
  <c r="L69" i="45"/>
  <c r="D69" i="45"/>
  <c r="C69" i="45"/>
  <c r="B69" i="45"/>
  <c r="AH59" i="45"/>
  <c r="AG59" i="45"/>
  <c r="AF59" i="45"/>
  <c r="AC59" i="45"/>
  <c r="AB59" i="45"/>
  <c r="AA59" i="45"/>
  <c r="Y59" i="45"/>
  <c r="X59" i="45"/>
  <c r="W59" i="45"/>
  <c r="V59" i="45"/>
  <c r="U59" i="45"/>
  <c r="T59" i="45"/>
  <c r="S59" i="45"/>
  <c r="R59" i="45"/>
  <c r="Q59" i="45"/>
  <c r="N59" i="45"/>
  <c r="M59" i="45"/>
  <c r="L59" i="45"/>
  <c r="J59" i="45"/>
  <c r="I59" i="45"/>
  <c r="H59" i="45"/>
  <c r="G59" i="45"/>
  <c r="F59" i="45"/>
  <c r="E59" i="45"/>
  <c r="D59" i="45"/>
  <c r="C59" i="45"/>
  <c r="Z50" i="45"/>
  <c r="AD50" i="45" s="1"/>
  <c r="AE50" i="45" s="1"/>
  <c r="AI50" i="45" s="1"/>
  <c r="K50" i="45"/>
  <c r="O50" i="45" s="1"/>
  <c r="P50" i="45" s="1"/>
  <c r="Z49" i="45"/>
  <c r="AD49" i="45" s="1"/>
  <c r="AE49" i="45" s="1"/>
  <c r="AI49" i="45" s="1"/>
  <c r="K49" i="45"/>
  <c r="O49" i="45" s="1"/>
  <c r="P49" i="45" s="1"/>
  <c r="Z48" i="45"/>
  <c r="AD48" i="45" s="1"/>
  <c r="AE48" i="45" s="1"/>
  <c r="AI48" i="45" s="1"/>
  <c r="K48" i="45"/>
  <c r="O48" i="45" s="1"/>
  <c r="P48" i="45" s="1"/>
  <c r="Z47" i="45"/>
  <c r="AD47" i="45" s="1"/>
  <c r="AE47" i="45" s="1"/>
  <c r="AI47" i="45" s="1"/>
  <c r="K47" i="45"/>
  <c r="O47" i="45" s="1"/>
  <c r="P47" i="45" s="1"/>
  <c r="Z46" i="45"/>
  <c r="AD46" i="45" s="1"/>
  <c r="AE46" i="45" s="1"/>
  <c r="AI46" i="45" s="1"/>
  <c r="K46" i="45"/>
  <c r="O46" i="45" s="1"/>
  <c r="P46" i="45" s="1"/>
  <c r="Z45" i="45"/>
  <c r="AD45" i="45" s="1"/>
  <c r="AE45" i="45" s="1"/>
  <c r="AI45" i="45" s="1"/>
  <c r="K45" i="45"/>
  <c r="O45" i="45" s="1"/>
  <c r="P45" i="45" s="1"/>
  <c r="Z44" i="45"/>
  <c r="AD44" i="45" s="1"/>
  <c r="K44" i="45"/>
  <c r="O44" i="45" s="1"/>
  <c r="P44" i="45" s="1"/>
  <c r="Z43" i="45"/>
  <c r="AD43" i="45" s="1"/>
  <c r="AE43" i="45" s="1"/>
  <c r="AI43" i="45" s="1"/>
  <c r="K43" i="45"/>
  <c r="O43" i="45" s="1"/>
  <c r="AA34" i="45"/>
  <c r="Y34" i="45"/>
  <c r="S34" i="45"/>
  <c r="R34" i="45"/>
  <c r="Q34" i="45"/>
  <c r="L34" i="45"/>
  <c r="J34" i="45"/>
  <c r="D34" i="45"/>
  <c r="C34" i="45"/>
  <c r="B34" i="45"/>
  <c r="Z33" i="45"/>
  <c r="AD33" i="45" s="1"/>
  <c r="AE33" i="45" s="1"/>
  <c r="AI33" i="45" s="1"/>
  <c r="K33" i="45"/>
  <c r="O33" i="45" s="1"/>
  <c r="P33" i="45" s="1"/>
  <c r="AI32" i="45"/>
  <c r="N32" i="45"/>
  <c r="K32" i="45"/>
  <c r="AH31" i="45"/>
  <c r="AC31" i="45"/>
  <c r="Z31" i="45"/>
  <c r="N31" i="45"/>
  <c r="K31" i="45"/>
  <c r="AH30" i="45"/>
  <c r="AC30" i="45"/>
  <c r="Z30" i="45"/>
  <c r="N30" i="45"/>
  <c r="K30" i="45"/>
  <c r="AH29" i="45"/>
  <c r="AC29" i="45"/>
  <c r="Z29" i="45"/>
  <c r="N29" i="45"/>
  <c r="K29" i="45"/>
  <c r="AH28" i="45"/>
  <c r="AC28" i="45"/>
  <c r="Z28" i="45"/>
  <c r="N28" i="45"/>
  <c r="K28" i="45"/>
  <c r="AH27" i="45"/>
  <c r="AC27" i="45"/>
  <c r="Z27" i="45"/>
  <c r="N27" i="45"/>
  <c r="K27" i="45"/>
  <c r="AH26" i="45"/>
  <c r="AC26" i="45"/>
  <c r="Z26" i="45"/>
  <c r="N26" i="45"/>
  <c r="K26" i="45"/>
  <c r="AH25" i="45"/>
  <c r="AC25" i="45"/>
  <c r="Z25" i="45"/>
  <c r="N25" i="45"/>
  <c r="K25" i="45"/>
  <c r="AH24" i="45"/>
  <c r="AC24" i="45"/>
  <c r="Z24" i="45"/>
  <c r="N24" i="45"/>
  <c r="K24" i="45"/>
  <c r="AH23" i="45"/>
  <c r="AC23" i="45"/>
  <c r="Z23" i="45"/>
  <c r="N23" i="45"/>
  <c r="K23" i="45"/>
  <c r="AH22" i="45"/>
  <c r="AC22" i="45"/>
  <c r="Z22" i="45"/>
  <c r="N22" i="45"/>
  <c r="K22" i="45"/>
  <c r="AH21" i="45"/>
  <c r="AC21" i="45"/>
  <c r="Z21" i="45"/>
  <c r="N21" i="45"/>
  <c r="K21" i="45"/>
  <c r="AH20" i="45"/>
  <c r="AC20" i="45"/>
  <c r="Z20" i="45"/>
  <c r="N20" i="45"/>
  <c r="K20" i="45"/>
  <c r="AH19" i="45"/>
  <c r="AC19" i="45"/>
  <c r="Z19" i="45"/>
  <c r="N19" i="45"/>
  <c r="K19" i="45"/>
  <c r="AH18" i="45"/>
  <c r="AC18" i="45"/>
  <c r="Z18" i="45"/>
  <c r="N18" i="45"/>
  <c r="K18" i="45"/>
  <c r="AH17" i="45"/>
  <c r="AC17" i="45"/>
  <c r="Z17" i="45"/>
  <c r="N17" i="45"/>
  <c r="K17" i="45"/>
  <c r="AH16" i="45"/>
  <c r="AC16" i="45"/>
  <c r="Z16" i="45"/>
  <c r="N16" i="45"/>
  <c r="K16" i="45"/>
  <c r="AH15" i="45"/>
  <c r="AC15" i="45"/>
  <c r="Z15" i="45"/>
  <c r="N15" i="45"/>
  <c r="K15" i="45"/>
  <c r="AH14" i="45"/>
  <c r="AC14" i="45"/>
  <c r="Z14" i="45"/>
  <c r="N14" i="45"/>
  <c r="K14" i="45"/>
  <c r="AH13" i="45"/>
  <c r="AC13" i="45"/>
  <c r="Z13" i="45"/>
  <c r="N13" i="45"/>
  <c r="K13" i="45"/>
  <c r="AH12" i="45"/>
  <c r="AC12" i="45"/>
  <c r="Z12" i="45"/>
  <c r="N12" i="45"/>
  <c r="K12" i="45"/>
  <c r="AH11" i="45"/>
  <c r="AC11" i="45"/>
  <c r="Z11" i="45"/>
  <c r="N11" i="45"/>
  <c r="K11" i="45"/>
  <c r="AH10" i="45"/>
  <c r="AC10" i="45"/>
  <c r="Z10" i="45"/>
  <c r="N10" i="45"/>
  <c r="K10" i="45"/>
  <c r="AH9" i="45"/>
  <c r="AC9" i="45"/>
  <c r="Z9" i="45"/>
  <c r="N9" i="45"/>
  <c r="K9" i="45"/>
  <c r="H483" i="32"/>
  <c r="H482" i="32"/>
  <c r="G482" i="32"/>
  <c r="E482" i="32"/>
  <c r="C482" i="32"/>
  <c r="I482" i="32" s="1"/>
  <c r="I481" i="32"/>
  <c r="H481" i="32"/>
  <c r="H480" i="32"/>
  <c r="G480" i="32"/>
  <c r="E480" i="32"/>
  <c r="C480" i="32"/>
  <c r="I479" i="32"/>
  <c r="H479" i="32"/>
  <c r="I478" i="32"/>
  <c r="H478" i="32"/>
  <c r="I477" i="32"/>
  <c r="H477" i="32"/>
  <c r="H476" i="32"/>
  <c r="G476" i="32"/>
  <c r="E476" i="32"/>
  <c r="C476" i="32"/>
  <c r="I476" i="32" s="1"/>
  <c r="I475" i="32"/>
  <c r="H475" i="32"/>
  <c r="I474" i="32"/>
  <c r="H474" i="32"/>
  <c r="I473" i="32"/>
  <c r="H473" i="32"/>
  <c r="H472" i="32"/>
  <c r="E472" i="32"/>
  <c r="C472" i="32"/>
  <c r="I471" i="32"/>
  <c r="H471" i="32"/>
  <c r="I470" i="32"/>
  <c r="H470" i="32"/>
  <c r="I469" i="32"/>
  <c r="H469" i="32"/>
  <c r="I468" i="32"/>
  <c r="H468" i="32"/>
  <c r="I467" i="32"/>
  <c r="H467" i="32"/>
  <c r="I466" i="32"/>
  <c r="H466" i="32"/>
  <c r="I465" i="32"/>
  <c r="H465" i="32"/>
  <c r="G459" i="32"/>
  <c r="E459" i="32"/>
  <c r="C459" i="32"/>
  <c r="I427" i="32"/>
  <c r="H427" i="32"/>
  <c r="G427" i="32"/>
  <c r="H422" i="32"/>
  <c r="G422" i="32"/>
  <c r="E422" i="32"/>
  <c r="E438" i="32" s="1"/>
  <c r="C422" i="32"/>
  <c r="C438" i="32" s="1"/>
  <c r="E417" i="32"/>
  <c r="C417" i="32"/>
  <c r="I415" i="32"/>
  <c r="H415" i="32"/>
  <c r="I414" i="32"/>
  <c r="H414" i="32"/>
  <c r="G414" i="32"/>
  <c r="G417" i="32" s="1"/>
  <c r="I412" i="32"/>
  <c r="H412" i="32"/>
  <c r="I410" i="32"/>
  <c r="H410" i="32"/>
  <c r="I406" i="32"/>
  <c r="H406" i="32"/>
  <c r="I401" i="32"/>
  <c r="H401" i="32"/>
  <c r="G396" i="32"/>
  <c r="F396" i="32"/>
  <c r="E396" i="32"/>
  <c r="D396" i="32"/>
  <c r="C396" i="32"/>
  <c r="B396" i="32"/>
  <c r="I395" i="32"/>
  <c r="H395" i="32"/>
  <c r="I394" i="32"/>
  <c r="H394" i="32"/>
  <c r="I393" i="32"/>
  <c r="H393" i="32"/>
  <c r="I392" i="32"/>
  <c r="H392" i="32"/>
  <c r="I391" i="32"/>
  <c r="H391" i="32"/>
  <c r="I390" i="32"/>
  <c r="H390" i="32"/>
  <c r="I389" i="32"/>
  <c r="H389" i="32"/>
  <c r="I388" i="32"/>
  <c r="H388" i="32"/>
  <c r="I387" i="32"/>
  <c r="H387" i="32"/>
  <c r="I386" i="32"/>
  <c r="H386" i="32"/>
  <c r="I385" i="32"/>
  <c r="H385" i="32"/>
  <c r="I384" i="32"/>
  <c r="H384" i="32"/>
  <c r="I383" i="32"/>
  <c r="H383" i="32"/>
  <c r="I382" i="32"/>
  <c r="H382" i="32"/>
  <c r="I381" i="32"/>
  <c r="H381" i="32"/>
  <c r="I380" i="32"/>
  <c r="I396" i="32" s="1"/>
  <c r="H380" i="32"/>
  <c r="G374" i="32"/>
  <c r="E374" i="32"/>
  <c r="C374" i="32"/>
  <c r="I372" i="32"/>
  <c r="H372" i="32"/>
  <c r="I371" i="32"/>
  <c r="H371" i="32"/>
  <c r="I367" i="32"/>
  <c r="H367" i="32"/>
  <c r="I363" i="32"/>
  <c r="H363" i="32"/>
  <c r="I358" i="32"/>
  <c r="H358" i="32"/>
  <c r="B358" i="32"/>
  <c r="G353" i="32"/>
  <c r="E353" i="32"/>
  <c r="C353" i="32"/>
  <c r="I352" i="32"/>
  <c r="I351" i="32"/>
  <c r="I350" i="32"/>
  <c r="I349" i="32"/>
  <c r="I348" i="32"/>
  <c r="I347" i="32"/>
  <c r="I346" i="32"/>
  <c r="I345" i="32"/>
  <c r="I344" i="32"/>
  <c r="I343" i="32"/>
  <c r="I342" i="32"/>
  <c r="I341" i="32"/>
  <c r="I340" i="32"/>
  <c r="I339" i="32"/>
  <c r="I338" i="32"/>
  <c r="I337" i="32"/>
  <c r="I336" i="32"/>
  <c r="G330" i="32"/>
  <c r="E330" i="32"/>
  <c r="C330" i="32"/>
  <c r="I329" i="32"/>
  <c r="H329" i="32"/>
  <c r="I328" i="32"/>
  <c r="H328" i="32"/>
  <c r="I327" i="32"/>
  <c r="H327" i="32"/>
  <c r="H326" i="32"/>
  <c r="H325" i="32"/>
  <c r="H324" i="32"/>
  <c r="I323" i="32"/>
  <c r="H323" i="32"/>
  <c r="H322" i="32"/>
  <c r="H321" i="32"/>
  <c r="H320" i="32"/>
  <c r="I319" i="32"/>
  <c r="H319" i="32"/>
  <c r="H318" i="32"/>
  <c r="H317" i="32"/>
  <c r="H316" i="32"/>
  <c r="I315" i="32"/>
  <c r="H315" i="32"/>
  <c r="I314" i="32"/>
  <c r="H314" i="32"/>
  <c r="H308" i="32"/>
  <c r="G308" i="32"/>
  <c r="F308" i="32"/>
  <c r="E308" i="32"/>
  <c r="C308" i="32"/>
  <c r="I307" i="32"/>
  <c r="H307" i="32"/>
  <c r="I306" i="32"/>
  <c r="H306" i="32"/>
  <c r="H305" i="32"/>
  <c r="G305" i="32"/>
  <c r="E305" i="32"/>
  <c r="C305" i="32"/>
  <c r="I304" i="32"/>
  <c r="H304" i="32"/>
  <c r="H298" i="32"/>
  <c r="G298" i="32"/>
  <c r="E298" i="32"/>
  <c r="C298" i="32"/>
  <c r="H293" i="32"/>
  <c r="H309" i="32" s="1"/>
  <c r="G293" i="32"/>
  <c r="E293" i="32"/>
  <c r="E309" i="32" s="1"/>
  <c r="C293" i="32"/>
  <c r="G287" i="32"/>
  <c r="F287" i="32"/>
  <c r="C287" i="32"/>
  <c r="G282" i="32"/>
  <c r="G281" i="32"/>
  <c r="F281" i="32"/>
  <c r="C281" i="32"/>
  <c r="G277" i="32"/>
  <c r="E277" i="32"/>
  <c r="B277" i="32"/>
  <c r="C277" i="32" s="1"/>
  <c r="G272" i="32"/>
  <c r="G288" i="32" s="1"/>
  <c r="F272" i="32"/>
  <c r="G266" i="32"/>
  <c r="E266" i="32"/>
  <c r="C266" i="32"/>
  <c r="I264" i="32"/>
  <c r="I263" i="32"/>
  <c r="I262" i="32"/>
  <c r="I261" i="32"/>
  <c r="I260" i="32"/>
  <c r="I249" i="32"/>
  <c r="G244" i="32"/>
  <c r="E244" i="32"/>
  <c r="C244" i="32"/>
  <c r="I222" i="32"/>
  <c r="I221" i="32"/>
  <c r="G220" i="32"/>
  <c r="E220" i="32"/>
  <c r="C220" i="32"/>
  <c r="G219" i="32"/>
  <c r="E219" i="32"/>
  <c r="C219" i="32"/>
  <c r="I217" i="32"/>
  <c r="I215" i="32"/>
  <c r="I213" i="32"/>
  <c r="G213" i="32"/>
  <c r="G211" i="32"/>
  <c r="E211" i="32"/>
  <c r="C211" i="32"/>
  <c r="I211" i="32" s="1"/>
  <c r="G206" i="32"/>
  <c r="E206" i="32"/>
  <c r="C206" i="32"/>
  <c r="G201" i="32"/>
  <c r="E201" i="32"/>
  <c r="C201" i="32"/>
  <c r="I200" i="32"/>
  <c r="I199" i="32"/>
  <c r="I198" i="32"/>
  <c r="I197" i="32"/>
  <c r="I195" i="32"/>
  <c r="I193" i="32"/>
  <c r="I191" i="32"/>
  <c r="I189" i="32"/>
  <c r="I184" i="32"/>
  <c r="G179" i="32"/>
  <c r="E179" i="32"/>
  <c r="C179" i="32"/>
  <c r="I178" i="32"/>
  <c r="H178" i="32"/>
  <c r="I176" i="32"/>
  <c r="H176" i="32"/>
  <c r="I172" i="32"/>
  <c r="H172" i="32"/>
  <c r="I168" i="32"/>
  <c r="H168" i="32"/>
  <c r="I163" i="32"/>
  <c r="H163" i="32"/>
  <c r="G157" i="32"/>
  <c r="E157" i="32"/>
  <c r="C157" i="32"/>
  <c r="I136" i="32"/>
  <c r="H136" i="32"/>
  <c r="G136" i="32"/>
  <c r="F136" i="32"/>
  <c r="F484" i="32" s="1"/>
  <c r="E136" i="32"/>
  <c r="D136" i="32"/>
  <c r="C136" i="32"/>
  <c r="B136" i="32"/>
  <c r="B484" i="32" s="1"/>
  <c r="G114" i="32"/>
  <c r="E114" i="32"/>
  <c r="C114" i="32"/>
  <c r="G93" i="32"/>
  <c r="I90" i="32"/>
  <c r="E82" i="32"/>
  <c r="E93" i="32" s="1"/>
  <c r="C82" i="32"/>
  <c r="C93" i="32" s="1"/>
  <c r="I77" i="32"/>
  <c r="G55" i="32"/>
  <c r="E55" i="32"/>
  <c r="C55" i="32"/>
  <c r="G50" i="32"/>
  <c r="E50" i="32"/>
  <c r="E71" i="32" s="1"/>
  <c r="C50" i="32"/>
  <c r="H45" i="32"/>
  <c r="C42" i="32"/>
  <c r="E42" i="32" s="1"/>
  <c r="G42" i="32" s="1"/>
  <c r="I42" i="32" s="1"/>
  <c r="C38" i="32"/>
  <c r="G38" i="32" s="1"/>
  <c r="I38" i="32" s="1"/>
  <c r="C34" i="32"/>
  <c r="E34" i="32" s="1"/>
  <c r="G34" i="32" s="1"/>
  <c r="I34" i="32" s="1"/>
  <c r="D29" i="32"/>
  <c r="C29" i="32"/>
  <c r="E29" i="32" s="1"/>
  <c r="G20" i="32"/>
  <c r="F20" i="32"/>
  <c r="E20" i="32"/>
  <c r="D20" i="32"/>
  <c r="C20" i="32"/>
  <c r="B20" i="32"/>
  <c r="G16" i="32"/>
  <c r="F16" i="32"/>
  <c r="E16" i="32"/>
  <c r="D16" i="32"/>
  <c r="C16" i="32"/>
  <c r="B16" i="32"/>
  <c r="I12" i="32"/>
  <c r="F12" i="32"/>
  <c r="D12" i="32"/>
  <c r="B12" i="32"/>
  <c r="I11" i="32"/>
  <c r="H11" i="32"/>
  <c r="G7" i="32"/>
  <c r="F7" i="32"/>
  <c r="E7" i="32"/>
  <c r="D7" i="32"/>
  <c r="C7" i="32"/>
  <c r="B7" i="32"/>
  <c r="U831" i="60"/>
  <c r="O831" i="60"/>
  <c r="M831" i="60"/>
  <c r="J831" i="60"/>
  <c r="D831" i="60"/>
  <c r="B831" i="60"/>
  <c r="W830" i="60"/>
  <c r="V830" i="60"/>
  <c r="L830" i="60"/>
  <c r="K830" i="60"/>
  <c r="W829" i="60"/>
  <c r="V829" i="60"/>
  <c r="K829" i="60"/>
  <c r="V828" i="60"/>
  <c r="K828" i="60"/>
  <c r="V827" i="60"/>
  <c r="K827" i="60"/>
  <c r="W826" i="60"/>
  <c r="V826" i="60"/>
  <c r="L826" i="60"/>
  <c r="K826" i="60"/>
  <c r="V824" i="60"/>
  <c r="K824" i="60"/>
  <c r="V823" i="60"/>
  <c r="K823" i="60"/>
  <c r="V822" i="60"/>
  <c r="K822" i="60"/>
  <c r="V821" i="60"/>
  <c r="K821" i="60"/>
  <c r="V820" i="60"/>
  <c r="K820" i="60"/>
  <c r="W819" i="60"/>
  <c r="V819" i="60"/>
  <c r="K819" i="60"/>
  <c r="V818" i="60"/>
  <c r="K818" i="60"/>
  <c r="V817" i="60"/>
  <c r="K817" i="60"/>
  <c r="V816" i="60"/>
  <c r="K816" i="60"/>
  <c r="V815" i="60"/>
  <c r="K815" i="60"/>
  <c r="V813" i="60"/>
  <c r="K813" i="60"/>
  <c r="V812" i="60"/>
  <c r="K812" i="60"/>
  <c r="W811" i="60"/>
  <c r="V811" i="60"/>
  <c r="L811" i="60"/>
  <c r="K811" i="60"/>
  <c r="V810" i="60"/>
  <c r="K810" i="60"/>
  <c r="V809" i="60"/>
  <c r="K809" i="60"/>
  <c r="V808" i="60"/>
  <c r="K808" i="60"/>
  <c r="V807" i="60"/>
  <c r="K807" i="60"/>
  <c r="W806" i="60"/>
  <c r="V806" i="60"/>
  <c r="L806" i="60"/>
  <c r="K806" i="60"/>
  <c r="V805" i="60"/>
  <c r="K805" i="60"/>
  <c r="V804" i="60"/>
  <c r="K804" i="60"/>
  <c r="V803" i="60"/>
  <c r="K803" i="60"/>
  <c r="W802" i="60"/>
  <c r="V802" i="60"/>
  <c r="L802" i="60"/>
  <c r="K802" i="60"/>
  <c r="W801" i="60"/>
  <c r="V801" i="60"/>
  <c r="L801" i="60"/>
  <c r="K801" i="60"/>
  <c r="V800" i="60"/>
  <c r="K800" i="60"/>
  <c r="V799" i="60"/>
  <c r="K799" i="60"/>
  <c r="W798" i="60"/>
  <c r="V798" i="60"/>
  <c r="L798" i="60"/>
  <c r="K798" i="60"/>
  <c r="W797" i="60"/>
  <c r="V797" i="60"/>
  <c r="L797" i="60"/>
  <c r="K797" i="60"/>
  <c r="V795" i="60"/>
  <c r="K795" i="60"/>
  <c r="V794" i="60"/>
  <c r="K794" i="60"/>
  <c r="V793" i="60"/>
  <c r="K793" i="60"/>
  <c r="B785" i="60"/>
  <c r="V780" i="60"/>
  <c r="W780" i="60" s="1"/>
  <c r="K780" i="60"/>
  <c r="L780" i="60" s="1"/>
  <c r="W779" i="60"/>
  <c r="L779" i="60"/>
  <c r="W778" i="60"/>
  <c r="L778" i="60"/>
  <c r="W777" i="60"/>
  <c r="L777" i="60"/>
  <c r="V775" i="60"/>
  <c r="W775" i="60" s="1"/>
  <c r="K775" i="60"/>
  <c r="L775" i="60" s="1"/>
  <c r="W774" i="60"/>
  <c r="L774" i="60"/>
  <c r="W773" i="60"/>
  <c r="L773" i="60"/>
  <c r="W772" i="60"/>
  <c r="L772" i="60"/>
  <c r="W769" i="60"/>
  <c r="L769" i="60"/>
  <c r="W767" i="60"/>
  <c r="L767" i="60"/>
  <c r="W765" i="60"/>
  <c r="L765" i="60"/>
  <c r="W763" i="60"/>
  <c r="L763" i="60"/>
  <c r="V761" i="60"/>
  <c r="W761" i="60" s="1"/>
  <c r="K761" i="60"/>
  <c r="L761" i="60" s="1"/>
  <c r="V759" i="60"/>
  <c r="W759" i="60" s="1"/>
  <c r="K759" i="60"/>
  <c r="L759" i="60" s="1"/>
  <c r="W758" i="60"/>
  <c r="L758" i="60"/>
  <c r="V755" i="60"/>
  <c r="W755" i="60" s="1"/>
  <c r="K755" i="60"/>
  <c r="L755" i="60" s="1"/>
  <c r="W754" i="60"/>
  <c r="L754" i="60"/>
  <c r="W753" i="60"/>
  <c r="L753" i="60"/>
  <c r="V751" i="60"/>
  <c r="W751" i="60" s="1"/>
  <c r="K751" i="60"/>
  <c r="L751" i="60" s="1"/>
  <c r="W750" i="60"/>
  <c r="L750" i="60"/>
  <c r="V748" i="60"/>
  <c r="W748" i="60" s="1"/>
  <c r="K748" i="60"/>
  <c r="L748" i="60" s="1"/>
  <c r="W747" i="60"/>
  <c r="L747" i="60"/>
  <c r="W746" i="60"/>
  <c r="L746" i="60"/>
  <c r="W745" i="60"/>
  <c r="L745" i="60"/>
  <c r="W742" i="60"/>
  <c r="L742" i="60"/>
  <c r="V740" i="60"/>
  <c r="W740" i="60" s="1"/>
  <c r="O740" i="60"/>
  <c r="K740" i="60"/>
  <c r="L740" i="60" s="1"/>
  <c r="D740" i="60"/>
  <c r="D785" i="60" s="1"/>
  <c r="V738" i="60"/>
  <c r="W738" i="60" s="1"/>
  <c r="K738" i="60"/>
  <c r="L738" i="60" s="1"/>
  <c r="W736" i="60"/>
  <c r="L736" i="60"/>
  <c r="W735" i="60"/>
  <c r="L735" i="60"/>
  <c r="W734" i="60"/>
  <c r="L734" i="60"/>
  <c r="W727" i="60"/>
  <c r="V727" i="60"/>
  <c r="U727" i="60"/>
  <c r="T727" i="60"/>
  <c r="S727" i="60"/>
  <c r="R727" i="60"/>
  <c r="Q727" i="60"/>
  <c r="P727" i="60"/>
  <c r="O727" i="60"/>
  <c r="N727" i="60"/>
  <c r="M727" i="60"/>
  <c r="K727" i="60"/>
  <c r="J727" i="60"/>
  <c r="I727" i="60"/>
  <c r="H727" i="60"/>
  <c r="G727" i="60"/>
  <c r="F727" i="60"/>
  <c r="E727" i="60"/>
  <c r="D727" i="60"/>
  <c r="C727" i="60"/>
  <c r="B727" i="60"/>
  <c r="L723" i="60"/>
  <c r="L722" i="60"/>
  <c r="L721" i="60"/>
  <c r="L719" i="60"/>
  <c r="L718" i="60"/>
  <c r="L716" i="60"/>
  <c r="W708" i="60"/>
  <c r="L708" i="60"/>
  <c r="W707" i="60"/>
  <c r="L707" i="60"/>
  <c r="M706" i="60"/>
  <c r="W706" i="60" s="1"/>
  <c r="L706" i="60"/>
  <c r="M705" i="60"/>
  <c r="W705" i="60" s="1"/>
  <c r="L705" i="60"/>
  <c r="B703" i="60"/>
  <c r="L703" i="60" s="1"/>
  <c r="M701" i="60"/>
  <c r="W701" i="60" s="1"/>
  <c r="L701" i="60"/>
  <c r="M700" i="60"/>
  <c r="W700" i="60" s="1"/>
  <c r="L700" i="60"/>
  <c r="M699" i="60"/>
  <c r="W699" i="60" s="1"/>
  <c r="L699" i="60"/>
  <c r="B698" i="60"/>
  <c r="M698" i="60" s="1"/>
  <c r="W698" i="60" s="1"/>
  <c r="M696" i="60"/>
  <c r="W696" i="60" s="1"/>
  <c r="L696" i="60"/>
  <c r="B693" i="60"/>
  <c r="L693" i="60" s="1"/>
  <c r="M688" i="60"/>
  <c r="W688" i="60" s="1"/>
  <c r="L688" i="60"/>
  <c r="K688" i="60"/>
  <c r="B685" i="60"/>
  <c r="K685" i="60" s="1"/>
  <c r="L685" i="60" s="1"/>
  <c r="W685" i="60" s="1"/>
  <c r="W678" i="60"/>
  <c r="U678" i="60"/>
  <c r="T678" i="60"/>
  <c r="S678" i="60"/>
  <c r="R678" i="60"/>
  <c r="Q678" i="60"/>
  <c r="P678" i="60"/>
  <c r="O678" i="60"/>
  <c r="N678" i="60"/>
  <c r="M678" i="60"/>
  <c r="L678" i="60"/>
  <c r="J678" i="60"/>
  <c r="I678" i="60"/>
  <c r="H678" i="60"/>
  <c r="G678" i="60"/>
  <c r="F678" i="60"/>
  <c r="E678" i="60"/>
  <c r="D678" i="60"/>
  <c r="C678" i="60"/>
  <c r="B678" i="60"/>
  <c r="V677" i="60"/>
  <c r="K677" i="60"/>
  <c r="V676" i="60"/>
  <c r="K676" i="60"/>
  <c r="V675" i="60"/>
  <c r="K675" i="60"/>
  <c r="V673" i="60"/>
  <c r="K673" i="60"/>
  <c r="V671" i="60"/>
  <c r="K671" i="60"/>
  <c r="V670" i="60"/>
  <c r="K670" i="60"/>
  <c r="V669" i="60"/>
  <c r="K669" i="60"/>
  <c r="V668" i="60"/>
  <c r="K668" i="60"/>
  <c r="V667" i="60"/>
  <c r="K667" i="60"/>
  <c r="V666" i="60"/>
  <c r="K666" i="60"/>
  <c r="V665" i="60"/>
  <c r="K665" i="60"/>
  <c r="V664" i="60"/>
  <c r="K664" i="60"/>
  <c r="V663" i="60"/>
  <c r="K663" i="60"/>
  <c r="V662" i="60"/>
  <c r="K662" i="60"/>
  <c r="V659" i="60"/>
  <c r="K659" i="60"/>
  <c r="V658" i="60"/>
  <c r="K658" i="60"/>
  <c r="V657" i="60"/>
  <c r="K657" i="60"/>
  <c r="V654" i="60"/>
  <c r="K654" i="60"/>
  <c r="V653" i="60"/>
  <c r="K653" i="60"/>
  <c r="V650" i="60"/>
  <c r="K650" i="60"/>
  <c r="V647" i="60"/>
  <c r="K647" i="60"/>
  <c r="V646" i="60"/>
  <c r="K646" i="60"/>
  <c r="V636" i="60"/>
  <c r="K636" i="60"/>
  <c r="V635" i="60"/>
  <c r="K635" i="60"/>
  <c r="W634" i="60"/>
  <c r="O634" i="60"/>
  <c r="M634" i="60"/>
  <c r="L634" i="60"/>
  <c r="D634" i="60"/>
  <c r="B634" i="60"/>
  <c r="V632" i="60"/>
  <c r="K632" i="60"/>
  <c r="V631" i="60"/>
  <c r="K631" i="60"/>
  <c r="V630" i="60"/>
  <c r="K630" i="60"/>
  <c r="W629" i="60"/>
  <c r="O629" i="60"/>
  <c r="M629" i="60"/>
  <c r="L629" i="60"/>
  <c r="D629" i="60"/>
  <c r="B629" i="60"/>
  <c r="W627" i="60"/>
  <c r="V627" i="60"/>
  <c r="L627" i="60"/>
  <c r="L626" i="60" s="1"/>
  <c r="K627" i="60"/>
  <c r="K626" i="60" s="1"/>
  <c r="W626" i="60"/>
  <c r="V626" i="60"/>
  <c r="O626" i="60"/>
  <c r="M626" i="60"/>
  <c r="D626" i="60"/>
  <c r="B626" i="60"/>
  <c r="V624" i="60"/>
  <c r="K624" i="60"/>
  <c r="W623" i="60"/>
  <c r="O623" i="60"/>
  <c r="M623" i="60"/>
  <c r="L623" i="60"/>
  <c r="D623" i="60"/>
  <c r="B623" i="60"/>
  <c r="N617" i="60"/>
  <c r="M617" i="60"/>
  <c r="L617" i="60"/>
  <c r="B617" i="60"/>
  <c r="W615" i="60"/>
  <c r="W614" i="60"/>
  <c r="W613" i="60"/>
  <c r="V613" i="60"/>
  <c r="K613" i="60"/>
  <c r="W612" i="60"/>
  <c r="W611" i="60"/>
  <c r="V611" i="60"/>
  <c r="K611" i="60"/>
  <c r="W609" i="60"/>
  <c r="V609" i="60"/>
  <c r="K609" i="60"/>
  <c r="W608" i="60"/>
  <c r="V608" i="60"/>
  <c r="K608" i="60"/>
  <c r="W607" i="60"/>
  <c r="V607" i="60"/>
  <c r="K607" i="60"/>
  <c r="W606" i="60"/>
  <c r="V606" i="60"/>
  <c r="K606" i="60"/>
  <c r="W605" i="60"/>
  <c r="V605" i="60"/>
  <c r="K605" i="60"/>
  <c r="W604" i="60"/>
  <c r="V604" i="60"/>
  <c r="K604" i="60"/>
  <c r="W601" i="60"/>
  <c r="V601" i="60"/>
  <c r="K601" i="60"/>
  <c r="W600" i="60"/>
  <c r="V600" i="60"/>
  <c r="K600" i="60"/>
  <c r="W599" i="60"/>
  <c r="V599" i="60"/>
  <c r="K599" i="60"/>
  <c r="W598" i="60"/>
  <c r="V598" i="60"/>
  <c r="K598" i="60"/>
  <c r="W592" i="60"/>
  <c r="V592" i="60"/>
  <c r="K592" i="60"/>
  <c r="K591" i="60"/>
  <c r="O583" i="60"/>
  <c r="M583" i="60"/>
  <c r="D583" i="60"/>
  <c r="B583" i="60"/>
  <c r="V581" i="60"/>
  <c r="W581" i="60" s="1"/>
  <c r="K581" i="60"/>
  <c r="L581" i="60" s="1"/>
  <c r="W580" i="60"/>
  <c r="L580" i="60"/>
  <c r="W579" i="60"/>
  <c r="L579" i="60"/>
  <c r="W578" i="60"/>
  <c r="L578" i="60"/>
  <c r="W577" i="60"/>
  <c r="L577" i="60"/>
  <c r="V575" i="60"/>
  <c r="W575" i="60" s="1"/>
  <c r="K575" i="60"/>
  <c r="L575" i="60" s="1"/>
  <c r="W574" i="60"/>
  <c r="L574" i="60"/>
  <c r="W573" i="60"/>
  <c r="L573" i="60"/>
  <c r="W572" i="60"/>
  <c r="L572" i="60"/>
  <c r="W571" i="60"/>
  <c r="L571" i="60"/>
  <c r="W570" i="60"/>
  <c r="L570" i="60"/>
  <c r="W567" i="60"/>
  <c r="L567" i="60"/>
  <c r="V566" i="60"/>
  <c r="W566" i="60" s="1"/>
  <c r="K566" i="60"/>
  <c r="L566" i="60" s="1"/>
  <c r="W565" i="60"/>
  <c r="L565" i="60"/>
  <c r="W564" i="60"/>
  <c r="L564" i="60"/>
  <c r="W563" i="60"/>
  <c r="L563" i="60"/>
  <c r="W562" i="60"/>
  <c r="L562" i="60"/>
  <c r="V560" i="60"/>
  <c r="W560" i="60" s="1"/>
  <c r="K560" i="60"/>
  <c r="L560" i="60" s="1"/>
  <c r="W559" i="60"/>
  <c r="L559" i="60"/>
  <c r="W558" i="60"/>
  <c r="L558" i="60"/>
  <c r="W557" i="60"/>
  <c r="L557" i="60"/>
  <c r="W556" i="60"/>
  <c r="L556" i="60"/>
  <c r="V554" i="60"/>
  <c r="W554" i="60" s="1"/>
  <c r="K554" i="60"/>
  <c r="L554" i="60" s="1"/>
  <c r="W553" i="60"/>
  <c r="L553" i="60"/>
  <c r="W552" i="60"/>
  <c r="L552" i="60"/>
  <c r="W551" i="60"/>
  <c r="L551" i="60"/>
  <c r="W550" i="60"/>
  <c r="L550" i="60"/>
  <c r="V548" i="60"/>
  <c r="W548" i="60" s="1"/>
  <c r="K548" i="60"/>
  <c r="L548" i="60" s="1"/>
  <c r="W547" i="60"/>
  <c r="L547" i="60"/>
  <c r="W546" i="60"/>
  <c r="L546" i="60"/>
  <c r="W545" i="60"/>
  <c r="L545" i="60"/>
  <c r="V542" i="60"/>
  <c r="W542" i="60" s="1"/>
  <c r="K542" i="60"/>
  <c r="L542" i="60" s="1"/>
  <c r="W541" i="60"/>
  <c r="L541" i="60"/>
  <c r="W540" i="60"/>
  <c r="L540" i="60"/>
  <c r="V538" i="60"/>
  <c r="W538" i="60" s="1"/>
  <c r="K538" i="60"/>
  <c r="L538" i="60" s="1"/>
  <c r="W537" i="60"/>
  <c r="L537" i="60"/>
  <c r="W536" i="60"/>
  <c r="L536" i="60"/>
  <c r="W535" i="60"/>
  <c r="L535" i="60"/>
  <c r="V533" i="60"/>
  <c r="K533" i="60"/>
  <c r="L533" i="60" s="1"/>
  <c r="W532" i="60"/>
  <c r="L532" i="60"/>
  <c r="W530" i="60"/>
  <c r="L530" i="60"/>
  <c r="W529" i="60"/>
  <c r="L529" i="60"/>
  <c r="W528" i="60"/>
  <c r="L528" i="60"/>
  <c r="M520" i="60"/>
  <c r="M515" i="60" s="1"/>
  <c r="B520" i="60"/>
  <c r="K520" i="60" s="1"/>
  <c r="L520" i="60" s="1"/>
  <c r="V519" i="60"/>
  <c r="W519" i="60" s="1"/>
  <c r="K519" i="60"/>
  <c r="L519" i="60" s="1"/>
  <c r="V518" i="60"/>
  <c r="W518" i="60" s="1"/>
  <c r="K518" i="60"/>
  <c r="L518" i="60" s="1"/>
  <c r="V517" i="60"/>
  <c r="W517" i="60" s="1"/>
  <c r="K517" i="60"/>
  <c r="L517" i="60" s="1"/>
  <c r="V516" i="60"/>
  <c r="W516" i="60" s="1"/>
  <c r="K516" i="60"/>
  <c r="M514" i="60"/>
  <c r="V514" i="60" s="1"/>
  <c r="W514" i="60" s="1"/>
  <c r="B514" i="60"/>
  <c r="K514" i="60" s="1"/>
  <c r="L514" i="60" s="1"/>
  <c r="V513" i="60"/>
  <c r="W513" i="60" s="1"/>
  <c r="K513" i="60"/>
  <c r="L513" i="60" s="1"/>
  <c r="V512" i="60"/>
  <c r="W512" i="60" s="1"/>
  <c r="K512" i="60"/>
  <c r="L512" i="60" s="1"/>
  <c r="V511" i="60"/>
  <c r="W511" i="60" s="1"/>
  <c r="K511" i="60"/>
  <c r="L511" i="60" s="1"/>
  <c r="V510" i="60"/>
  <c r="W510" i="60" s="1"/>
  <c r="K510" i="60"/>
  <c r="L510" i="60" s="1"/>
  <c r="V509" i="60"/>
  <c r="W509" i="60" s="1"/>
  <c r="K509" i="60"/>
  <c r="L509" i="60" s="1"/>
  <c r="V508" i="60"/>
  <c r="W508" i="60" s="1"/>
  <c r="K508" i="60"/>
  <c r="L508" i="60" s="1"/>
  <c r="V507" i="60"/>
  <c r="W507" i="60" s="1"/>
  <c r="K507" i="60"/>
  <c r="L507" i="60" s="1"/>
  <c r="O505" i="60"/>
  <c r="D505" i="60"/>
  <c r="V504" i="60"/>
  <c r="W504" i="60" s="1"/>
  <c r="K504" i="60"/>
  <c r="L504" i="60" s="1"/>
  <c r="V503" i="60"/>
  <c r="W503" i="60" s="1"/>
  <c r="K503" i="60"/>
  <c r="L503" i="60" s="1"/>
  <c r="V501" i="60"/>
  <c r="W501" i="60" s="1"/>
  <c r="K501" i="60"/>
  <c r="L501" i="60" s="1"/>
  <c r="M500" i="60"/>
  <c r="B500" i="60"/>
  <c r="M499" i="60"/>
  <c r="B499" i="60"/>
  <c r="V498" i="60"/>
  <c r="K498" i="60"/>
  <c r="L498" i="60" s="1"/>
  <c r="V497" i="60"/>
  <c r="W497" i="60" s="1"/>
  <c r="K497" i="60"/>
  <c r="L497" i="60" s="1"/>
  <c r="V496" i="60"/>
  <c r="W496" i="60" s="1"/>
  <c r="K496" i="60"/>
  <c r="L496" i="60" s="1"/>
  <c r="V495" i="60"/>
  <c r="W495" i="60" s="1"/>
  <c r="K495" i="60"/>
  <c r="L495" i="60" s="1"/>
  <c r="M493" i="60"/>
  <c r="M488" i="60" s="1"/>
  <c r="B493" i="60"/>
  <c r="K493" i="60" s="1"/>
  <c r="L493" i="60" s="1"/>
  <c r="V492" i="60"/>
  <c r="W492" i="60" s="1"/>
  <c r="K492" i="60"/>
  <c r="L492" i="60" s="1"/>
  <c r="V491" i="60"/>
  <c r="W491" i="60" s="1"/>
  <c r="K491" i="60"/>
  <c r="L491" i="60" s="1"/>
  <c r="V490" i="60"/>
  <c r="W490" i="60" s="1"/>
  <c r="K490" i="60"/>
  <c r="V489" i="60"/>
  <c r="W489" i="60" s="1"/>
  <c r="K489" i="60"/>
  <c r="L489" i="60" s="1"/>
  <c r="M487" i="60"/>
  <c r="M482" i="60" s="1"/>
  <c r="B487" i="60"/>
  <c r="K487" i="60" s="1"/>
  <c r="L487" i="60" s="1"/>
  <c r="V486" i="60"/>
  <c r="W486" i="60" s="1"/>
  <c r="K486" i="60"/>
  <c r="L486" i="60" s="1"/>
  <c r="V485" i="60"/>
  <c r="W485" i="60" s="1"/>
  <c r="K485" i="60"/>
  <c r="L485" i="60" s="1"/>
  <c r="V484" i="60"/>
  <c r="W484" i="60" s="1"/>
  <c r="K484" i="60"/>
  <c r="L484" i="60" s="1"/>
  <c r="V483" i="60"/>
  <c r="W483" i="60" s="1"/>
  <c r="K483" i="60"/>
  <c r="L483" i="60" s="1"/>
  <c r="M481" i="60"/>
  <c r="M476" i="60" s="1"/>
  <c r="B481" i="60"/>
  <c r="K481" i="60" s="1"/>
  <c r="L481" i="60" s="1"/>
  <c r="V480" i="60"/>
  <c r="W480" i="60" s="1"/>
  <c r="K480" i="60"/>
  <c r="L480" i="60" s="1"/>
  <c r="V479" i="60"/>
  <c r="W479" i="60" s="1"/>
  <c r="K479" i="60"/>
  <c r="L479" i="60" s="1"/>
  <c r="V478" i="60"/>
  <c r="W478" i="60" s="1"/>
  <c r="K478" i="60"/>
  <c r="L478" i="60" s="1"/>
  <c r="V477" i="60"/>
  <c r="K477" i="60"/>
  <c r="L477" i="60" s="1"/>
  <c r="O475" i="60"/>
  <c r="D475" i="60"/>
  <c r="V473" i="60"/>
  <c r="K473" i="60"/>
  <c r="L473" i="60" s="1"/>
  <c r="L472" i="60" s="1"/>
  <c r="N472" i="60"/>
  <c r="M472" i="60"/>
  <c r="C472" i="60"/>
  <c r="B472" i="60"/>
  <c r="V471" i="60"/>
  <c r="W471" i="60" s="1"/>
  <c r="K471" i="60"/>
  <c r="L471" i="60" s="1"/>
  <c r="V470" i="60"/>
  <c r="W470" i="60" s="1"/>
  <c r="K470" i="60"/>
  <c r="L470" i="60" s="1"/>
  <c r="V469" i="60"/>
  <c r="W469" i="60" s="1"/>
  <c r="K469" i="60"/>
  <c r="L469" i="60" s="1"/>
  <c r="V468" i="60"/>
  <c r="W468" i="60" s="1"/>
  <c r="K468" i="60"/>
  <c r="L468" i="60" s="1"/>
  <c r="N467" i="60"/>
  <c r="M467" i="60"/>
  <c r="C467" i="60"/>
  <c r="B467" i="60"/>
  <c r="V465" i="60"/>
  <c r="W465" i="60" s="1"/>
  <c r="K465" i="60"/>
  <c r="L465" i="60" s="1"/>
  <c r="V464" i="60"/>
  <c r="W464" i="60" s="1"/>
  <c r="K464" i="60"/>
  <c r="L464" i="60" s="1"/>
  <c r="V463" i="60"/>
  <c r="W463" i="60" s="1"/>
  <c r="K463" i="60"/>
  <c r="L463" i="60" s="1"/>
  <c r="V462" i="60"/>
  <c r="W462" i="60" s="1"/>
  <c r="K462" i="60"/>
  <c r="L462" i="60" s="1"/>
  <c r="V461" i="60"/>
  <c r="W461" i="60" s="1"/>
  <c r="K461" i="60"/>
  <c r="L461" i="60" s="1"/>
  <c r="V460" i="60"/>
  <c r="W460" i="60" s="1"/>
  <c r="K460" i="60"/>
  <c r="L460" i="60" s="1"/>
  <c r="N459" i="60"/>
  <c r="M459" i="60"/>
  <c r="C459" i="60"/>
  <c r="B459" i="60"/>
  <c r="V457" i="60"/>
  <c r="W457" i="60" s="1"/>
  <c r="K457" i="60"/>
  <c r="L457" i="60" s="1"/>
  <c r="V456" i="60"/>
  <c r="W456" i="60" s="1"/>
  <c r="K456" i="60"/>
  <c r="L456" i="60" s="1"/>
  <c r="V455" i="60"/>
  <c r="W455" i="60" s="1"/>
  <c r="K455" i="60"/>
  <c r="L455" i="60" s="1"/>
  <c r="V454" i="60"/>
  <c r="K454" i="60"/>
  <c r="L454" i="60" s="1"/>
  <c r="O451" i="60"/>
  <c r="O449" i="60" s="1"/>
  <c r="N451" i="60"/>
  <c r="M451" i="60"/>
  <c r="D451" i="60"/>
  <c r="D449" i="60" s="1"/>
  <c r="C451" i="60"/>
  <c r="B451" i="60"/>
  <c r="L441" i="60"/>
  <c r="W441" i="60" s="1"/>
  <c r="W440" i="60"/>
  <c r="O439" i="60"/>
  <c r="L439" i="60"/>
  <c r="W439" i="60" s="1"/>
  <c r="D439" i="60"/>
  <c r="D438" i="60" s="1"/>
  <c r="O438" i="60"/>
  <c r="W437" i="60"/>
  <c r="O436" i="60"/>
  <c r="L436" i="60"/>
  <c r="W436" i="60" s="1"/>
  <c r="D436" i="60"/>
  <c r="D434" i="60" s="1"/>
  <c r="W435" i="60"/>
  <c r="O434" i="60"/>
  <c r="L434" i="60"/>
  <c r="W431" i="60"/>
  <c r="W428" i="60"/>
  <c r="W427" i="60"/>
  <c r="W426" i="60"/>
  <c r="W425" i="60"/>
  <c r="U424" i="60"/>
  <c r="L424" i="60"/>
  <c r="J424" i="60"/>
  <c r="W423" i="60"/>
  <c r="W422" i="60"/>
  <c r="W421" i="60"/>
  <c r="W419" i="60"/>
  <c r="U418" i="60"/>
  <c r="L418" i="60"/>
  <c r="J418" i="60"/>
  <c r="W417" i="60"/>
  <c r="U417" i="60"/>
  <c r="U412" i="60" s="1"/>
  <c r="W415" i="60"/>
  <c r="W414" i="60"/>
  <c r="W413" i="60"/>
  <c r="L412" i="60"/>
  <c r="J412" i="60"/>
  <c r="W411" i="60"/>
  <c r="U411" i="60"/>
  <c r="W410" i="60"/>
  <c r="W409" i="60"/>
  <c r="W407" i="60"/>
  <c r="U406" i="60"/>
  <c r="L406" i="60"/>
  <c r="J406" i="60"/>
  <c r="W405" i="60"/>
  <c r="U405" i="60"/>
  <c r="W404" i="60"/>
  <c r="W403" i="60"/>
  <c r="W401" i="60"/>
  <c r="U400" i="60"/>
  <c r="L400" i="60"/>
  <c r="J400" i="60"/>
  <c r="W399" i="60"/>
  <c r="U399" i="60"/>
  <c r="U394" i="60" s="1"/>
  <c r="W398" i="60"/>
  <c r="W397" i="60"/>
  <c r="W396" i="60"/>
  <c r="W395" i="60"/>
  <c r="L394" i="60"/>
  <c r="J394" i="60"/>
  <c r="W392" i="60"/>
  <c r="U392" i="60"/>
  <c r="U387" i="60" s="1"/>
  <c r="W391" i="60"/>
  <c r="W390" i="60"/>
  <c r="W389" i="60"/>
  <c r="W388" i="60"/>
  <c r="L387" i="60"/>
  <c r="J387" i="60"/>
  <c r="W386" i="60"/>
  <c r="U386" i="60"/>
  <c r="U380" i="60" s="1"/>
  <c r="W384" i="60"/>
  <c r="W383" i="60"/>
  <c r="W382" i="60"/>
  <c r="W381" i="60"/>
  <c r="L380" i="60"/>
  <c r="J380" i="60"/>
  <c r="W379" i="60"/>
  <c r="W378" i="60"/>
  <c r="W376" i="60" s="1"/>
  <c r="U376" i="60"/>
  <c r="L376" i="60"/>
  <c r="J376" i="60"/>
  <c r="W372" i="60"/>
  <c r="W369" i="60" s="1"/>
  <c r="M369" i="60"/>
  <c r="L369" i="60"/>
  <c r="B369" i="60"/>
  <c r="W368" i="60"/>
  <c r="W367" i="60"/>
  <c r="W366" i="60"/>
  <c r="W365" i="60"/>
  <c r="W364" i="60"/>
  <c r="M363" i="60"/>
  <c r="L363" i="60"/>
  <c r="B363" i="60"/>
  <c r="W361" i="60"/>
  <c r="W360" i="60"/>
  <c r="W359" i="60"/>
  <c r="W358" i="60"/>
  <c r="M357" i="60"/>
  <c r="L357" i="60"/>
  <c r="B357" i="60"/>
  <c r="W355" i="60"/>
  <c r="W353" i="60"/>
  <c r="W352" i="60"/>
  <c r="W351" i="60"/>
  <c r="M349" i="60"/>
  <c r="L349" i="60"/>
  <c r="B349" i="60"/>
  <c r="W338" i="60"/>
  <c r="V338" i="60"/>
  <c r="M338" i="60"/>
  <c r="L338" i="60"/>
  <c r="K338" i="60"/>
  <c r="D338" i="60"/>
  <c r="B338" i="60"/>
  <c r="W332" i="60"/>
  <c r="V332" i="60"/>
  <c r="U332" i="60"/>
  <c r="T332" i="60"/>
  <c r="S332" i="60"/>
  <c r="R332" i="60"/>
  <c r="Q332" i="60"/>
  <c r="P332" i="60"/>
  <c r="O332" i="60"/>
  <c r="N332" i="60"/>
  <c r="M332" i="60"/>
  <c r="L332" i="60"/>
  <c r="K332" i="60"/>
  <c r="J332" i="60"/>
  <c r="I332" i="60"/>
  <c r="H332" i="60"/>
  <c r="G332" i="60"/>
  <c r="F332" i="60"/>
  <c r="E332" i="60"/>
  <c r="C332" i="60"/>
  <c r="B332" i="60"/>
  <c r="W324" i="60"/>
  <c r="V324" i="60"/>
  <c r="U324" i="60"/>
  <c r="T324" i="60"/>
  <c r="S324" i="60"/>
  <c r="R324" i="60"/>
  <c r="Q324" i="60"/>
  <c r="P324" i="60"/>
  <c r="O324" i="60"/>
  <c r="N324" i="60"/>
  <c r="M324" i="60"/>
  <c r="L324" i="60"/>
  <c r="K324" i="60"/>
  <c r="J324" i="60"/>
  <c r="I324" i="60"/>
  <c r="H324" i="60"/>
  <c r="G324" i="60"/>
  <c r="F324" i="60"/>
  <c r="E324" i="60"/>
  <c r="D324" i="60"/>
  <c r="C324" i="60"/>
  <c r="B324" i="60"/>
  <c r="W317" i="60"/>
  <c r="V317" i="60"/>
  <c r="U317" i="60"/>
  <c r="T317" i="60"/>
  <c r="S317" i="60"/>
  <c r="R317" i="60"/>
  <c r="Q317" i="60"/>
  <c r="P317" i="60"/>
  <c r="O317" i="60"/>
  <c r="N317" i="60"/>
  <c r="M317" i="60"/>
  <c r="L317" i="60"/>
  <c r="K317" i="60"/>
  <c r="J317" i="60"/>
  <c r="I317" i="60"/>
  <c r="H317" i="60"/>
  <c r="G317" i="60"/>
  <c r="F317" i="60"/>
  <c r="E317" i="60"/>
  <c r="D317" i="60"/>
  <c r="C317" i="60"/>
  <c r="B317" i="60"/>
  <c r="W308" i="60"/>
  <c r="V308" i="60"/>
  <c r="U308" i="60"/>
  <c r="T308" i="60"/>
  <c r="S308" i="60"/>
  <c r="R308" i="60"/>
  <c r="Q308" i="60"/>
  <c r="P308" i="60"/>
  <c r="O308" i="60"/>
  <c r="N308" i="60"/>
  <c r="M308" i="60"/>
  <c r="L308" i="60"/>
  <c r="L342" i="60" s="1"/>
  <c r="K308" i="60"/>
  <c r="J308" i="60"/>
  <c r="I308" i="60"/>
  <c r="H308" i="60"/>
  <c r="G308" i="60"/>
  <c r="F308" i="60"/>
  <c r="E308" i="60"/>
  <c r="D308" i="60"/>
  <c r="C308" i="60"/>
  <c r="B308" i="60"/>
  <c r="V301" i="60"/>
  <c r="K301" i="60"/>
  <c r="B301" i="60"/>
  <c r="W297" i="60"/>
  <c r="L297" i="60"/>
  <c r="W294" i="60"/>
  <c r="L294" i="60"/>
  <c r="W293" i="60"/>
  <c r="L293" i="60"/>
  <c r="W292" i="60"/>
  <c r="L292" i="60"/>
  <c r="W290" i="60"/>
  <c r="L290" i="60"/>
  <c r="W289" i="60"/>
  <c r="L289" i="60"/>
  <c r="W288" i="60"/>
  <c r="L288" i="60"/>
  <c r="W287" i="60"/>
  <c r="L287" i="60"/>
  <c r="W281" i="60"/>
  <c r="L281" i="60"/>
  <c r="W280" i="60"/>
  <c r="L280" i="60"/>
  <c r="B272" i="60"/>
  <c r="K266" i="60"/>
  <c r="K265" i="60"/>
  <c r="L265" i="60" s="1"/>
  <c r="K262" i="60"/>
  <c r="K261" i="60"/>
  <c r="K260" i="60"/>
  <c r="K256" i="60"/>
  <c r="K255" i="60"/>
  <c r="K254" i="60"/>
  <c r="N247" i="60"/>
  <c r="M247" i="60"/>
  <c r="D247" i="60"/>
  <c r="W243" i="60"/>
  <c r="V243" i="60"/>
  <c r="L243" i="60"/>
  <c r="K243" i="60"/>
  <c r="W239" i="60"/>
  <c r="V239" i="60"/>
  <c r="K239" i="60"/>
  <c r="W238" i="60"/>
  <c r="V238" i="60"/>
  <c r="L238" i="60"/>
  <c r="K238" i="60"/>
  <c r="W235" i="60"/>
  <c r="V235" i="60"/>
  <c r="K235" i="60"/>
  <c r="W234" i="60"/>
  <c r="V234" i="60"/>
  <c r="K234" i="60"/>
  <c r="W233" i="60"/>
  <c r="V233" i="60"/>
  <c r="K233" i="60"/>
  <c r="W232" i="60"/>
  <c r="V232" i="60"/>
  <c r="K232" i="60"/>
  <c r="V226" i="60"/>
  <c r="K226" i="60"/>
  <c r="V225" i="60"/>
  <c r="K225" i="60"/>
  <c r="M217" i="60"/>
  <c r="K217" i="60"/>
  <c r="B217" i="60"/>
  <c r="W208" i="60"/>
  <c r="W207" i="60"/>
  <c r="W205" i="60"/>
  <c r="W203" i="60"/>
  <c r="W202" i="60"/>
  <c r="L201" i="60"/>
  <c r="L217" i="60" s="1"/>
  <c r="W192" i="60"/>
  <c r="V192" i="60"/>
  <c r="L192" i="60"/>
  <c r="K192" i="60"/>
  <c r="B192" i="60"/>
  <c r="W163" i="60"/>
  <c r="V163" i="60"/>
  <c r="M163" i="60"/>
  <c r="L163" i="60"/>
  <c r="K163" i="60"/>
  <c r="B163" i="60"/>
  <c r="W146" i="60"/>
  <c r="V146" i="60"/>
  <c r="L146" i="60"/>
  <c r="K146" i="60"/>
  <c r="B146" i="60"/>
  <c r="U137" i="60"/>
  <c r="T137" i="60"/>
  <c r="U136" i="60"/>
  <c r="T136" i="60"/>
  <c r="U131" i="60"/>
  <c r="T131" i="60"/>
  <c r="M131" i="60"/>
  <c r="U130" i="60"/>
  <c r="T130" i="60"/>
  <c r="M130" i="60"/>
  <c r="U129" i="60"/>
  <c r="T129" i="60"/>
  <c r="M129" i="60"/>
  <c r="U122" i="60"/>
  <c r="T122" i="60"/>
  <c r="M122" i="60"/>
  <c r="U121" i="60"/>
  <c r="T121" i="60"/>
  <c r="M121" i="60"/>
  <c r="W113" i="60"/>
  <c r="V113" i="60"/>
  <c r="U113" i="60"/>
  <c r="T113" i="60"/>
  <c r="S113" i="60"/>
  <c r="R113" i="60"/>
  <c r="Q113" i="60"/>
  <c r="P113" i="60"/>
  <c r="O113" i="60"/>
  <c r="N113" i="60"/>
  <c r="M113" i="60"/>
  <c r="L113" i="60"/>
  <c r="J113" i="60"/>
  <c r="D113" i="60"/>
  <c r="B113" i="60"/>
  <c r="O88" i="60"/>
  <c r="V88" i="60" s="1"/>
  <c r="W88" i="60" s="1"/>
  <c r="D88" i="60"/>
  <c r="K88" i="60" s="1"/>
  <c r="L88" i="60" s="1"/>
  <c r="M87" i="60"/>
  <c r="V87" i="60" s="1"/>
  <c r="W87" i="60" s="1"/>
  <c r="B87" i="60"/>
  <c r="K87" i="60" s="1"/>
  <c r="L87" i="60" s="1"/>
  <c r="M86" i="60"/>
  <c r="V86" i="60" s="1"/>
  <c r="W86" i="60" s="1"/>
  <c r="B86" i="60"/>
  <c r="K86" i="60" s="1"/>
  <c r="L86" i="60" s="1"/>
  <c r="M85" i="60"/>
  <c r="V85" i="60" s="1"/>
  <c r="W85" i="60" s="1"/>
  <c r="B85" i="60"/>
  <c r="K85" i="60" s="1"/>
  <c r="L85" i="60" s="1"/>
  <c r="M81" i="60"/>
  <c r="V81" i="60" s="1"/>
  <c r="W81" i="60" s="1"/>
  <c r="L81" i="60"/>
  <c r="L79" i="60" s="1"/>
  <c r="B81" i="60"/>
  <c r="B79" i="60" s="1"/>
  <c r="K79" i="60" s="1"/>
  <c r="O75" i="60"/>
  <c r="V75" i="60" s="1"/>
  <c r="W75" i="60" s="1"/>
  <c r="D75" i="60"/>
  <c r="D71" i="60" s="1"/>
  <c r="O71" i="60"/>
  <c r="M71" i="60"/>
  <c r="W71" i="60" s="1"/>
  <c r="J71" i="60"/>
  <c r="I71" i="60"/>
  <c r="H71" i="60"/>
  <c r="G71" i="60"/>
  <c r="F71" i="60"/>
  <c r="E71" i="60"/>
  <c r="C71" i="60"/>
  <c r="B71" i="60"/>
  <c r="L56" i="60"/>
  <c r="L65" i="60" s="1"/>
  <c r="W51" i="60"/>
  <c r="W65" i="60" s="1"/>
  <c r="V51" i="60"/>
  <c r="V47" i="60"/>
  <c r="V46" i="60"/>
  <c r="U36" i="60"/>
  <c r="O36" i="60"/>
  <c r="D36" i="60"/>
  <c r="W34" i="60"/>
  <c r="W32" i="60"/>
  <c r="V32" i="60"/>
  <c r="K32" i="60"/>
  <c r="W29" i="60"/>
  <c r="V29" i="60"/>
  <c r="K29" i="60"/>
  <c r="V26" i="60"/>
  <c r="L26" i="60"/>
  <c r="W26" i="60" s="1"/>
  <c r="K26" i="60"/>
  <c r="M23" i="60"/>
  <c r="V23" i="60" s="1"/>
  <c r="L23" i="60"/>
  <c r="W23" i="60" s="1"/>
  <c r="B23" i="60"/>
  <c r="K23" i="60" s="1"/>
  <c r="M22" i="60"/>
  <c r="V22" i="60" s="1"/>
  <c r="L22" i="60"/>
  <c r="W22" i="60" s="1"/>
  <c r="B22" i="60"/>
  <c r="K22" i="60" s="1"/>
  <c r="M21" i="60"/>
  <c r="V21" i="60" s="1"/>
  <c r="L21" i="60"/>
  <c r="W21" i="60" s="1"/>
  <c r="B21" i="60"/>
  <c r="K21" i="60" s="1"/>
  <c r="V18" i="60"/>
  <c r="L18" i="60"/>
  <c r="W18" i="60" s="1"/>
  <c r="K18" i="60"/>
  <c r="M17" i="60"/>
  <c r="V17" i="60" s="1"/>
  <c r="L17" i="60"/>
  <c r="W17" i="60" s="1"/>
  <c r="B17" i="60"/>
  <c r="K17" i="60" s="1"/>
  <c r="V16" i="60"/>
  <c r="L16" i="60"/>
  <c r="W16" i="60" s="1"/>
  <c r="K16" i="60"/>
  <c r="V13" i="60"/>
  <c r="L13" i="60"/>
  <c r="W13" i="60" s="1"/>
  <c r="K13" i="60"/>
  <c r="V12" i="60"/>
  <c r="L12" i="60"/>
  <c r="K12" i="60"/>
  <c r="M11" i="60"/>
  <c r="L11" i="60"/>
  <c r="W11" i="60" s="1"/>
  <c r="B11" i="60"/>
  <c r="V10" i="60"/>
  <c r="L10" i="60"/>
  <c r="W10" i="60" s="1"/>
  <c r="K10" i="60"/>
  <c r="V9" i="60"/>
  <c r="L9" i="60"/>
  <c r="W9" i="60" s="1"/>
  <c r="K9" i="60"/>
  <c r="V8" i="60"/>
  <c r="L8" i="60"/>
  <c r="W8" i="60" s="1"/>
  <c r="K8" i="60"/>
  <c r="L256" i="60" l="1"/>
  <c r="M256" i="60"/>
  <c r="V256" i="60" s="1"/>
  <c r="W256" i="60" s="1"/>
  <c r="H396" i="32"/>
  <c r="O960" i="45"/>
  <c r="P960" i="45" s="1"/>
  <c r="O961" i="45"/>
  <c r="P961" i="45" s="1"/>
  <c r="O975" i="45"/>
  <c r="P975" i="45" s="1"/>
  <c r="AD1084" i="45"/>
  <c r="AD1095" i="45"/>
  <c r="AD1118" i="45"/>
  <c r="AD1122" i="45"/>
  <c r="P359" i="53"/>
  <c r="E2020" i="53"/>
  <c r="M233" i="53"/>
  <c r="P298" i="53"/>
  <c r="P299" i="53" s="1"/>
  <c r="P328" i="53"/>
  <c r="P434" i="53"/>
  <c r="M755" i="53"/>
  <c r="D84" i="60"/>
  <c r="D96" i="60" s="1"/>
  <c r="W394" i="60"/>
  <c r="W424" i="60"/>
  <c r="O442" i="60"/>
  <c r="W438" i="60"/>
  <c r="L301" i="60"/>
  <c r="Q342" i="60"/>
  <c r="Q832" i="60" s="1"/>
  <c r="M449" i="60"/>
  <c r="B506" i="60"/>
  <c r="O1392" i="45"/>
  <c r="P1392" i="45" s="1"/>
  <c r="AD828" i="45"/>
  <c r="AD829" i="45"/>
  <c r="AE829" i="45" s="1"/>
  <c r="AI829" i="45" s="1"/>
  <c r="O1247" i="45"/>
  <c r="P1247" i="45" s="1"/>
  <c r="O1289" i="45"/>
  <c r="P1289" i="45" s="1"/>
  <c r="O1291" i="45"/>
  <c r="P1291" i="45" s="1"/>
  <c r="AD1388" i="45"/>
  <c r="AE1388" i="45" s="1"/>
  <c r="AD1389" i="45"/>
  <c r="AE1389" i="45" s="1"/>
  <c r="AD1390" i="45"/>
  <c r="AE1390" i="45" s="1"/>
  <c r="O1396" i="45"/>
  <c r="P1396" i="45" s="1"/>
  <c r="O1412" i="45"/>
  <c r="AF1412" i="45" s="1"/>
  <c r="O1524" i="45"/>
  <c r="AF1524" i="45" s="1"/>
  <c r="O1527" i="45"/>
  <c r="P1527" i="45" s="1"/>
  <c r="N1547" i="45"/>
  <c r="O452" i="45"/>
  <c r="P452" i="45" s="1"/>
  <c r="AD849" i="45"/>
  <c r="AE849" i="45" s="1"/>
  <c r="AI849" i="45" s="1"/>
  <c r="AD852" i="45"/>
  <c r="AD857" i="45"/>
  <c r="AE857" i="45" s="1"/>
  <c r="AI857" i="45" s="1"/>
  <c r="AD241" i="45"/>
  <c r="AE241" i="45" s="1"/>
  <c r="AI241" i="45" s="1"/>
  <c r="AD245" i="45"/>
  <c r="AE245" i="45" s="1"/>
  <c r="AI245" i="45" s="1"/>
  <c r="AD249" i="45"/>
  <c r="AE249" i="45" s="1"/>
  <c r="AI249" i="45" s="1"/>
  <c r="AD253" i="45"/>
  <c r="AE253" i="45" s="1"/>
  <c r="AI253" i="45" s="1"/>
  <c r="AD414" i="45"/>
  <c r="AE414" i="45" s="1"/>
  <c r="AB418" i="45"/>
  <c r="AB440" i="45" s="1"/>
  <c r="O539" i="45"/>
  <c r="P539" i="45" s="1"/>
  <c r="AF733" i="45"/>
  <c r="AD860" i="45"/>
  <c r="AE860" i="45" s="1"/>
  <c r="AI860" i="45" s="1"/>
  <c r="O1159" i="45"/>
  <c r="P1159" i="45" s="1"/>
  <c r="O233" i="45"/>
  <c r="O237" i="45"/>
  <c r="P237" i="45" s="1"/>
  <c r="AF237" i="45" s="1"/>
  <c r="AD240" i="45"/>
  <c r="AE240" i="45" s="1"/>
  <c r="AI240" i="45" s="1"/>
  <c r="AD244" i="45"/>
  <c r="AE244" i="45" s="1"/>
  <c r="AI244" i="45" s="1"/>
  <c r="AD248" i="45"/>
  <c r="AE248" i="45" s="1"/>
  <c r="AI248" i="45" s="1"/>
  <c r="AD252" i="45"/>
  <c r="AE252" i="45" s="1"/>
  <c r="AI252" i="45" s="1"/>
  <c r="AF310" i="45"/>
  <c r="AD390" i="45"/>
  <c r="AE390" i="45" s="1"/>
  <c r="AD392" i="45"/>
  <c r="AI392" i="45" s="1"/>
  <c r="AD394" i="45"/>
  <c r="AI394" i="45" s="1"/>
  <c r="AF687" i="45"/>
  <c r="AD25" i="45"/>
  <c r="AE25" i="45" s="1"/>
  <c r="O27" i="45"/>
  <c r="P27" i="45" s="1"/>
  <c r="AG284" i="45"/>
  <c r="AF317" i="45"/>
  <c r="AD365" i="45"/>
  <c r="AE365" i="45" s="1"/>
  <c r="AF365" i="45" s="1"/>
  <c r="AD142" i="45"/>
  <c r="AE142" i="45" s="1"/>
  <c r="AD143" i="45"/>
  <c r="AE143" i="45" s="1"/>
  <c r="AD152" i="45"/>
  <c r="AE152" i="45" s="1"/>
  <c r="AD153" i="45"/>
  <c r="AE153" i="45" s="1"/>
  <c r="AD162" i="45"/>
  <c r="AE162" i="45" s="1"/>
  <c r="AD163" i="45"/>
  <c r="AE163" i="45" s="1"/>
  <c r="O873" i="45"/>
  <c r="P873" i="45" s="1"/>
  <c r="O882" i="45"/>
  <c r="P882" i="45" s="1"/>
  <c r="O930" i="45"/>
  <c r="P930" i="45" s="1"/>
  <c r="O931" i="45"/>
  <c r="P931" i="45" s="1"/>
  <c r="O933" i="45"/>
  <c r="P933" i="45" s="1"/>
  <c r="O461" i="45"/>
  <c r="P461" i="45" s="1"/>
  <c r="O467" i="45"/>
  <c r="P467" i="45" s="1"/>
  <c r="O503" i="45"/>
  <c r="P503" i="45" s="1"/>
  <c r="O509" i="45"/>
  <c r="P509" i="45" s="1"/>
  <c r="AD10" i="45"/>
  <c r="AE10" i="45" s="1"/>
  <c r="AD22" i="45"/>
  <c r="AE22" i="45" s="1"/>
  <c r="AI22" i="45" s="1"/>
  <c r="O28" i="45"/>
  <c r="P28" i="45" s="1"/>
  <c r="AD30" i="45"/>
  <c r="AE30" i="45" s="1"/>
  <c r="AI30" i="45" s="1"/>
  <c r="AD451" i="45"/>
  <c r="AE451" i="45" s="1"/>
  <c r="AD452" i="45"/>
  <c r="AE452" i="45" s="1"/>
  <c r="AD453" i="45"/>
  <c r="AE453" i="45" s="1"/>
  <c r="AD456" i="45"/>
  <c r="AE456" i="45" s="1"/>
  <c r="AD457" i="45"/>
  <c r="AE457" i="45" s="1"/>
  <c r="AD458" i="45"/>
  <c r="AE458" i="45" s="1"/>
  <c r="AD461" i="45"/>
  <c r="AE461" i="45" s="1"/>
  <c r="AD462" i="45"/>
  <c r="AE462" i="45" s="1"/>
  <c r="AD463" i="45"/>
  <c r="AE463" i="45" s="1"/>
  <c r="AD467" i="45"/>
  <c r="AE467" i="45" s="1"/>
  <c r="AD471" i="45"/>
  <c r="AE471" i="45" s="1"/>
  <c r="AD472" i="45"/>
  <c r="AE472" i="45" s="1"/>
  <c r="AD476" i="45"/>
  <c r="AE476" i="45" s="1"/>
  <c r="AD477" i="45"/>
  <c r="AE477" i="45" s="1"/>
  <c r="AD481" i="45"/>
  <c r="AE481" i="45" s="1"/>
  <c r="AD482" i="45"/>
  <c r="AE482" i="45" s="1"/>
  <c r="AD483" i="45"/>
  <c r="AE483" i="45" s="1"/>
  <c r="AD501" i="45"/>
  <c r="AE501" i="45" s="1"/>
  <c r="AD505" i="45"/>
  <c r="AE505" i="45" s="1"/>
  <c r="AD507" i="45"/>
  <c r="AE507" i="45" s="1"/>
  <c r="AD508" i="45"/>
  <c r="AE508" i="45" s="1"/>
  <c r="AD509" i="45"/>
  <c r="AE509" i="45" s="1"/>
  <c r="AD512" i="45"/>
  <c r="AE512" i="45" s="1"/>
  <c r="AD521" i="45"/>
  <c r="AE521" i="45" s="1"/>
  <c r="AD543" i="45"/>
  <c r="AE543" i="45" s="1"/>
  <c r="AD544" i="45"/>
  <c r="AE544" i="45" s="1"/>
  <c r="AD545" i="45"/>
  <c r="AE545" i="45" s="1"/>
  <c r="O624" i="45"/>
  <c r="AF624" i="45" s="1"/>
  <c r="AG738" i="45"/>
  <c r="AF740" i="45"/>
  <c r="E751" i="45"/>
  <c r="AD760" i="45"/>
  <c r="AE760" i="45" s="1"/>
  <c r="AD761" i="45"/>
  <c r="AE761" i="45" s="1"/>
  <c r="AI761" i="45" s="1"/>
  <c r="O765" i="45"/>
  <c r="P765" i="45" s="1"/>
  <c r="O782" i="45"/>
  <c r="P782" i="45" s="1"/>
  <c r="O783" i="45"/>
  <c r="P783" i="45" s="1"/>
  <c r="AD917" i="45"/>
  <c r="AE917" i="45" s="1"/>
  <c r="AD918" i="45"/>
  <c r="AE918" i="45" s="1"/>
  <c r="AI918" i="45" s="1"/>
  <c r="AD922" i="45"/>
  <c r="AE922" i="45" s="1"/>
  <c r="AI922" i="45" s="1"/>
  <c r="AD958" i="45"/>
  <c r="AE958" i="45" s="1"/>
  <c r="AI958" i="45" s="1"/>
  <c r="AD959" i="45"/>
  <c r="AE959" i="45" s="1"/>
  <c r="AI959" i="45" s="1"/>
  <c r="AD961" i="45"/>
  <c r="AF961" i="45" s="1"/>
  <c r="AD965" i="45"/>
  <c r="AE965" i="45" s="1"/>
  <c r="AI965" i="45" s="1"/>
  <c r="AD967" i="45"/>
  <c r="AE967" i="45" s="1"/>
  <c r="AI967" i="45" s="1"/>
  <c r="AD968" i="45"/>
  <c r="AE968" i="45" s="1"/>
  <c r="AI968" i="45" s="1"/>
  <c r="AD969" i="45"/>
  <c r="AE969" i="45" s="1"/>
  <c r="AI969" i="45" s="1"/>
  <c r="AD970" i="45"/>
  <c r="AE970" i="45" s="1"/>
  <c r="AI970" i="45" s="1"/>
  <c r="AD973" i="45"/>
  <c r="AD977" i="45"/>
  <c r="AE977" i="45" s="1"/>
  <c r="AI977" i="45" s="1"/>
  <c r="O1033" i="45"/>
  <c r="P1033" i="45" s="1"/>
  <c r="O1069" i="45"/>
  <c r="P1069" i="45" s="1"/>
  <c r="O1070" i="45"/>
  <c r="P1070" i="45" s="1"/>
  <c r="O1071" i="45"/>
  <c r="P1071" i="45" s="1"/>
  <c r="O1073" i="45"/>
  <c r="P1073" i="45" s="1"/>
  <c r="O1081" i="45"/>
  <c r="P1081" i="45" s="1"/>
  <c r="O1121" i="45"/>
  <c r="P1121" i="45" s="1"/>
  <c r="O1123" i="45"/>
  <c r="P1123" i="45" s="1"/>
  <c r="O1274" i="45"/>
  <c r="P1274" i="45" s="1"/>
  <c r="AD1443" i="45"/>
  <c r="AE1443" i="45" s="1"/>
  <c r="AD224" i="45"/>
  <c r="AD12" i="45"/>
  <c r="AE12" i="45" s="1"/>
  <c r="O507" i="45"/>
  <c r="P507" i="45" s="1"/>
  <c r="O17" i="45"/>
  <c r="P17" i="45" s="1"/>
  <c r="O21" i="45"/>
  <c r="P21" i="45" s="1"/>
  <c r="AD233" i="45"/>
  <c r="AE233" i="45" s="1"/>
  <c r="Z373" i="45"/>
  <c r="AD373" i="45" s="1"/>
  <c r="AF665" i="45"/>
  <c r="AF698" i="45"/>
  <c r="O757" i="45"/>
  <c r="P757" i="45" s="1"/>
  <c r="K773" i="45"/>
  <c r="O773" i="45" s="1"/>
  <c r="P773" i="45" s="1"/>
  <c r="AD774" i="45"/>
  <c r="AE774" i="45" s="1"/>
  <c r="AD776" i="45"/>
  <c r="AE776" i="45" s="1"/>
  <c r="O813" i="45"/>
  <c r="P813" i="45" s="1"/>
  <c r="O816" i="45"/>
  <c r="P816" i="45" s="1"/>
  <c r="O905" i="45"/>
  <c r="P905" i="45" s="1"/>
  <c r="O906" i="45"/>
  <c r="P906" i="45" s="1"/>
  <c r="O908" i="45"/>
  <c r="P908" i="45" s="1"/>
  <c r="O910" i="45"/>
  <c r="P910" i="45" s="1"/>
  <c r="O912" i="45"/>
  <c r="P912" i="45" s="1"/>
  <c r="O913" i="45"/>
  <c r="P913" i="45" s="1"/>
  <c r="AD1009" i="45"/>
  <c r="AE1009" i="45" s="1"/>
  <c r="AI1009" i="45" s="1"/>
  <c r="AD1010" i="45"/>
  <c r="AE1010" i="45" s="1"/>
  <c r="AI1010" i="45" s="1"/>
  <c r="AD1013" i="45"/>
  <c r="AE1013" i="45" s="1"/>
  <c r="AI1013" i="45" s="1"/>
  <c r="AD1014" i="45"/>
  <c r="AE1014" i="45" s="1"/>
  <c r="AI1014" i="45" s="1"/>
  <c r="AD1017" i="45"/>
  <c r="AE1017" i="45" s="1"/>
  <c r="AI1017" i="45" s="1"/>
  <c r="AD1018" i="45"/>
  <c r="AD1019" i="45"/>
  <c r="AE1019" i="45" s="1"/>
  <c r="AI1019" i="45" s="1"/>
  <c r="O1147" i="45"/>
  <c r="P1147" i="45" s="1"/>
  <c r="G1145" i="45"/>
  <c r="L1145" i="45"/>
  <c r="AD1173" i="45"/>
  <c r="AE1173" i="45" s="1"/>
  <c r="AI1173" i="45" s="1"/>
  <c r="AD1196" i="45"/>
  <c r="AE1196" i="45" s="1"/>
  <c r="AI1196" i="45" s="1"/>
  <c r="AD1197" i="45"/>
  <c r="AE1197" i="45" s="1"/>
  <c r="AI1197" i="45" s="1"/>
  <c r="AD1203" i="45"/>
  <c r="AD1204" i="45"/>
  <c r="AE1204" i="45" s="1"/>
  <c r="AI1204" i="45" s="1"/>
  <c r="AD1205" i="45"/>
  <c r="AE1205" i="45" s="1"/>
  <c r="AI1205" i="45" s="1"/>
  <c r="AD1210" i="45"/>
  <c r="AE1210" i="45" s="1"/>
  <c r="AI1210" i="45" s="1"/>
  <c r="AD1225" i="45"/>
  <c r="AE1225" i="45" s="1"/>
  <c r="AG1225" i="45" s="1"/>
  <c r="AD1230" i="45"/>
  <c r="AE1230" i="45" s="1"/>
  <c r="AG1230" i="45" s="1"/>
  <c r="AD1234" i="45"/>
  <c r="AE1234" i="45" s="1"/>
  <c r="AG1234" i="45" s="1"/>
  <c r="AD1257" i="45"/>
  <c r="AE1257" i="45" s="1"/>
  <c r="AG1257" i="45" s="1"/>
  <c r="AD1269" i="45"/>
  <c r="AE1269" i="45" s="1"/>
  <c r="AG1269" i="45" s="1"/>
  <c r="AD1274" i="45"/>
  <c r="AE1274" i="45" s="1"/>
  <c r="AG1274" i="45" s="1"/>
  <c r="AD1279" i="45"/>
  <c r="AE1279" i="45" s="1"/>
  <c r="AG1279" i="45" s="1"/>
  <c r="AD1288" i="45"/>
  <c r="AE1288" i="45" s="1"/>
  <c r="AG1288" i="45" s="1"/>
  <c r="O935" i="45"/>
  <c r="P935" i="45" s="1"/>
  <c r="O937" i="45"/>
  <c r="P937" i="45" s="1"/>
  <c r="O938" i="45"/>
  <c r="P938" i="45" s="1"/>
  <c r="O946" i="45"/>
  <c r="P946" i="45" s="1"/>
  <c r="O947" i="45"/>
  <c r="P947" i="45" s="1"/>
  <c r="AD1162" i="45"/>
  <c r="AE1162" i="45" s="1"/>
  <c r="AI1162" i="45" s="1"/>
  <c r="AD1164" i="45"/>
  <c r="AE1164" i="45" s="1"/>
  <c r="AI1164" i="45" s="1"/>
  <c r="AD1168" i="45"/>
  <c r="AE1168" i="45" s="1"/>
  <c r="AI1168" i="45" s="1"/>
  <c r="O1179" i="45"/>
  <c r="O1181" i="45"/>
  <c r="P1181" i="45" s="1"/>
  <c r="O1182" i="45"/>
  <c r="P1182" i="45" s="1"/>
  <c r="O1183" i="45"/>
  <c r="P1183" i="45" s="1"/>
  <c r="O1186" i="45"/>
  <c r="P1186" i="45" s="1"/>
  <c r="O1190" i="45"/>
  <c r="P1190" i="45" s="1"/>
  <c r="G751" i="45"/>
  <c r="H751" i="45"/>
  <c r="AD769" i="45"/>
  <c r="AD815" i="45"/>
  <c r="AE815" i="45" s="1"/>
  <c r="AI815" i="45" s="1"/>
  <c r="AD1372" i="45"/>
  <c r="AE1372" i="45" s="1"/>
  <c r="O432" i="45"/>
  <c r="P432" i="45" s="1"/>
  <c r="O1032" i="45"/>
  <c r="P1032" i="45" s="1"/>
  <c r="Z355" i="45"/>
  <c r="O390" i="45"/>
  <c r="P390" i="45" s="1"/>
  <c r="N224" i="45"/>
  <c r="O236" i="45"/>
  <c r="P236" i="45" s="1"/>
  <c r="AF285" i="45"/>
  <c r="AD929" i="45"/>
  <c r="AE929" i="45" s="1"/>
  <c r="AI929" i="45" s="1"/>
  <c r="AD932" i="45"/>
  <c r="AE932" i="45" s="1"/>
  <c r="AI932" i="45" s="1"/>
  <c r="AD937" i="45"/>
  <c r="AD11" i="45"/>
  <c r="AE11" i="45" s="1"/>
  <c r="O13" i="45"/>
  <c r="P13" i="45" s="1"/>
  <c r="O14" i="45"/>
  <c r="P14" i="45" s="1"/>
  <c r="AD16" i="45"/>
  <c r="O18" i="45"/>
  <c r="P18" i="45" s="1"/>
  <c r="AD20" i="45"/>
  <c r="AE20" i="45" s="1"/>
  <c r="O29" i="45"/>
  <c r="P29" i="45" s="1"/>
  <c r="AD31" i="45"/>
  <c r="AE31" i="45" s="1"/>
  <c r="AI31" i="45" s="1"/>
  <c r="O544" i="45"/>
  <c r="P544" i="45" s="1"/>
  <c r="O558" i="45"/>
  <c r="P558" i="45" s="1"/>
  <c r="O837" i="45"/>
  <c r="P837" i="45" s="1"/>
  <c r="AD1081" i="45"/>
  <c r="AD1082" i="45"/>
  <c r="AE1082" i="45" s="1"/>
  <c r="AI1082" i="45" s="1"/>
  <c r="AD1103" i="45"/>
  <c r="AE1103" i="45" s="1"/>
  <c r="AI1103" i="45" s="1"/>
  <c r="AD1107" i="45"/>
  <c r="AE1107" i="45" s="1"/>
  <c r="AI1107" i="45" s="1"/>
  <c r="AD1108" i="45"/>
  <c r="AD1109" i="45"/>
  <c r="AE1109" i="45" s="1"/>
  <c r="AI1109" i="45" s="1"/>
  <c r="AD1112" i="45"/>
  <c r="AE1112" i="45" s="1"/>
  <c r="AI1112" i="45" s="1"/>
  <c r="AD1115" i="45"/>
  <c r="AE1115" i="45" s="1"/>
  <c r="AI1115" i="45" s="1"/>
  <c r="AD1116" i="45"/>
  <c r="AD1117" i="45"/>
  <c r="AE1117" i="45" s="1"/>
  <c r="AI1117" i="45" s="1"/>
  <c r="V1145" i="45"/>
  <c r="AD1255" i="45"/>
  <c r="AE1255" i="45" s="1"/>
  <c r="AG1255" i="45" s="1"/>
  <c r="O1537" i="45"/>
  <c r="N1537" i="45"/>
  <c r="AF316" i="45"/>
  <c r="AA396" i="45"/>
  <c r="AD371" i="45"/>
  <c r="AE371" i="45" s="1"/>
  <c r="O378" i="45"/>
  <c r="P378" i="45" s="1"/>
  <c r="O457" i="45"/>
  <c r="P457" i="45" s="1"/>
  <c r="O476" i="45"/>
  <c r="P476" i="45" s="1"/>
  <c r="O482" i="45"/>
  <c r="P482" i="45" s="1"/>
  <c r="AD485" i="45"/>
  <c r="AE485" i="45" s="1"/>
  <c r="AD499" i="45"/>
  <c r="AE499" i="45" s="1"/>
  <c r="AD558" i="45"/>
  <c r="AE558" i="45" s="1"/>
  <c r="O828" i="45"/>
  <c r="P828" i="45" s="1"/>
  <c r="AD831" i="45"/>
  <c r="AE831" i="45" s="1"/>
  <c r="AI831" i="45" s="1"/>
  <c r="O840" i="45"/>
  <c r="P840" i="45" s="1"/>
  <c r="O841" i="45"/>
  <c r="P841" i="45" s="1"/>
  <c r="O903" i="45"/>
  <c r="P903" i="45" s="1"/>
  <c r="O904" i="45"/>
  <c r="P904" i="45" s="1"/>
  <c r="O949" i="45"/>
  <c r="P949" i="45" s="1"/>
  <c r="O951" i="45"/>
  <c r="P951" i="45" s="1"/>
  <c r="O953" i="45"/>
  <c r="P953" i="45" s="1"/>
  <c r="O954" i="45"/>
  <c r="P954" i="45" s="1"/>
  <c r="O955" i="45"/>
  <c r="P955" i="45" s="1"/>
  <c r="AD980" i="45"/>
  <c r="AE980" i="45" s="1"/>
  <c r="AI980" i="45" s="1"/>
  <c r="AD985" i="45"/>
  <c r="O1037" i="45"/>
  <c r="P1037" i="45" s="1"/>
  <c r="O1052" i="45"/>
  <c r="P1052" i="45" s="1"/>
  <c r="O1056" i="45"/>
  <c r="P1056" i="45" s="1"/>
  <c r="O1060" i="45"/>
  <c r="P1060" i="45" s="1"/>
  <c r="O1061" i="45"/>
  <c r="P1061" i="45" s="1"/>
  <c r="O1080" i="45"/>
  <c r="P1080" i="45" s="1"/>
  <c r="R1145" i="45"/>
  <c r="AD1260" i="45"/>
  <c r="AE1260" i="45" s="1"/>
  <c r="AG1260" i="45" s="1"/>
  <c r="AD1264" i="45"/>
  <c r="AE1264" i="45" s="1"/>
  <c r="AG1264" i="45" s="1"/>
  <c r="O1367" i="45"/>
  <c r="P1367" i="45" s="1"/>
  <c r="O1368" i="45"/>
  <c r="P1368" i="45" s="1"/>
  <c r="O1373" i="45"/>
  <c r="P1373" i="45" s="1"/>
  <c r="O1374" i="45"/>
  <c r="P1374" i="45" s="1"/>
  <c r="O1375" i="45"/>
  <c r="O1377" i="45"/>
  <c r="P1377" i="45" s="1"/>
  <c r="O1383" i="45"/>
  <c r="P1383" i="45" s="1"/>
  <c r="O1384" i="45"/>
  <c r="P1384" i="45" s="1"/>
  <c r="AD1434" i="45"/>
  <c r="AE1434" i="45" s="1"/>
  <c r="AD1438" i="45"/>
  <c r="AE1438" i="45" s="1"/>
  <c r="O235" i="45"/>
  <c r="P235" i="45" s="1"/>
  <c r="O240" i="45"/>
  <c r="P240" i="45" s="1"/>
  <c r="O244" i="45"/>
  <c r="P244" i="45" s="1"/>
  <c r="O248" i="45"/>
  <c r="P248" i="45" s="1"/>
  <c r="O252" i="45"/>
  <c r="P252" i="45" s="1"/>
  <c r="AD254" i="45"/>
  <c r="AE254" i="45" s="1"/>
  <c r="AI254" i="45" s="1"/>
  <c r="O386" i="45"/>
  <c r="P386" i="45" s="1"/>
  <c r="O387" i="45"/>
  <c r="P387" i="45" s="1"/>
  <c r="O388" i="45"/>
  <c r="P388" i="45" s="1"/>
  <c r="O401" i="45"/>
  <c r="P401" i="45" s="1"/>
  <c r="O406" i="45"/>
  <c r="P406" i="45" s="1"/>
  <c r="AD412" i="45"/>
  <c r="AE412" i="45" s="1"/>
  <c r="O424" i="45"/>
  <c r="O423" i="45" s="1"/>
  <c r="O493" i="45"/>
  <c r="P493" i="45" s="1"/>
  <c r="O500" i="45"/>
  <c r="P500" i="45" s="1"/>
  <c r="O513" i="45"/>
  <c r="P513" i="45" s="1"/>
  <c r="AD540" i="45"/>
  <c r="AE540" i="45" s="1"/>
  <c r="P581" i="45"/>
  <c r="AG581" i="45" s="1"/>
  <c r="O609" i="45"/>
  <c r="AF663" i="45"/>
  <c r="H775" i="45"/>
  <c r="O807" i="45"/>
  <c r="P807" i="45" s="1"/>
  <c r="AD861" i="45"/>
  <c r="AD863" i="45"/>
  <c r="AE863" i="45" s="1"/>
  <c r="AI863" i="45" s="1"/>
  <c r="AD866" i="45"/>
  <c r="AD867" i="45"/>
  <c r="AD870" i="45"/>
  <c r="AE870" i="45" s="1"/>
  <c r="AI870" i="45" s="1"/>
  <c r="AD871" i="45"/>
  <c r="AE871" i="45" s="1"/>
  <c r="AI871" i="45" s="1"/>
  <c r="O880" i="45"/>
  <c r="P880" i="45" s="1"/>
  <c r="O881" i="45"/>
  <c r="P881" i="45" s="1"/>
  <c r="AD888" i="45"/>
  <c r="O944" i="45"/>
  <c r="P944" i="45" s="1"/>
  <c r="O979" i="45"/>
  <c r="P979" i="45" s="1"/>
  <c r="O981" i="45"/>
  <c r="P981" i="45" s="1"/>
  <c r="O986" i="45"/>
  <c r="P986" i="45" s="1"/>
  <c r="O993" i="45"/>
  <c r="P993" i="45" s="1"/>
  <c r="O994" i="45"/>
  <c r="P994" i="45" s="1"/>
  <c r="O995" i="45"/>
  <c r="P995" i="45" s="1"/>
  <c r="O997" i="45"/>
  <c r="P997" i="45" s="1"/>
  <c r="O1025" i="45"/>
  <c r="P1025" i="45" s="1"/>
  <c r="AD1033" i="45"/>
  <c r="AE1033" i="45" s="1"/>
  <c r="AI1033" i="45" s="1"/>
  <c r="AD1036" i="45"/>
  <c r="AE1036" i="45" s="1"/>
  <c r="AI1036" i="45" s="1"/>
  <c r="AD1037" i="45"/>
  <c r="AE1037" i="45" s="1"/>
  <c r="AI1037" i="45" s="1"/>
  <c r="AD1053" i="45"/>
  <c r="AE1053" i="45" s="1"/>
  <c r="AI1053" i="45" s="1"/>
  <c r="AD1055" i="45"/>
  <c r="AE1055" i="45" s="1"/>
  <c r="AI1055" i="45" s="1"/>
  <c r="AD1058" i="45"/>
  <c r="AE1058" i="45" s="1"/>
  <c r="AI1058" i="45" s="1"/>
  <c r="AD1061" i="45"/>
  <c r="AE1061" i="45" s="1"/>
  <c r="AI1061" i="45" s="1"/>
  <c r="AD1065" i="45"/>
  <c r="AE1065" i="45" s="1"/>
  <c r="AI1065" i="45" s="1"/>
  <c r="O1138" i="45"/>
  <c r="P1138" i="45" s="1"/>
  <c r="O1142" i="45"/>
  <c r="P1142" i="45" s="1"/>
  <c r="AD1182" i="45"/>
  <c r="AE1182" i="45" s="1"/>
  <c r="AI1182" i="45" s="1"/>
  <c r="AD1187" i="45"/>
  <c r="AE1187" i="45" s="1"/>
  <c r="AI1187" i="45" s="1"/>
  <c r="AD1188" i="45"/>
  <c r="AE1188" i="45" s="1"/>
  <c r="AI1188" i="45" s="1"/>
  <c r="O1195" i="45"/>
  <c r="P1195" i="45" s="1"/>
  <c r="O1226" i="45"/>
  <c r="P1226" i="45" s="1"/>
  <c r="O1233" i="45"/>
  <c r="P1233" i="45" s="1"/>
  <c r="O1235" i="45"/>
  <c r="P1235" i="45" s="1"/>
  <c r="O1260" i="45"/>
  <c r="P1260" i="45" s="1"/>
  <c r="O1262" i="45"/>
  <c r="P1262" i="45" s="1"/>
  <c r="O1269" i="45"/>
  <c r="P1269" i="45" s="1"/>
  <c r="AD1295" i="45"/>
  <c r="AE1295" i="45" s="1"/>
  <c r="AG1295" i="45" s="1"/>
  <c r="O1417" i="45"/>
  <c r="O1418" i="45"/>
  <c r="O1419" i="45"/>
  <c r="P1419" i="45" s="1"/>
  <c r="O1420" i="45"/>
  <c r="O1421" i="45"/>
  <c r="P1421" i="45" s="1"/>
  <c r="O1422" i="45"/>
  <c r="P1422" i="45" s="1"/>
  <c r="O1423" i="45"/>
  <c r="P1423" i="45" s="1"/>
  <c r="O1424" i="45"/>
  <c r="AF1424" i="45" s="1"/>
  <c r="O1428" i="45"/>
  <c r="P1428" i="45" s="1"/>
  <c r="O1433" i="45"/>
  <c r="P1433" i="45" s="1"/>
  <c r="O1434" i="45"/>
  <c r="P1434" i="45" s="1"/>
  <c r="O1435" i="45"/>
  <c r="P1435" i="45" s="1"/>
  <c r="O1436" i="45"/>
  <c r="P1436" i="45" s="1"/>
  <c r="O1437" i="45"/>
  <c r="O1438" i="45"/>
  <c r="AF1438" i="45" s="1"/>
  <c r="O1439" i="45"/>
  <c r="P1439" i="45" s="1"/>
  <c r="O1440" i="45"/>
  <c r="P1440" i="45" s="1"/>
  <c r="O1441" i="45"/>
  <c r="P1441" i="45" s="1"/>
  <c r="O1443" i="45"/>
  <c r="P1443" i="45" s="1"/>
  <c r="N1535" i="45"/>
  <c r="O414" i="45"/>
  <c r="P414" i="45" s="1"/>
  <c r="O475" i="45"/>
  <c r="P475" i="45" s="1"/>
  <c r="O481" i="45"/>
  <c r="P481" i="45" s="1"/>
  <c r="O519" i="45"/>
  <c r="P519" i="45" s="1"/>
  <c r="O521" i="45"/>
  <c r="P521" i="45" s="1"/>
  <c r="AG731" i="45"/>
  <c r="AG733" i="45"/>
  <c r="Q775" i="45"/>
  <c r="O819" i="45"/>
  <c r="P819" i="45" s="1"/>
  <c r="O823" i="45"/>
  <c r="P823" i="45" s="1"/>
  <c r="O824" i="45"/>
  <c r="P824" i="45" s="1"/>
  <c r="AD19" i="45"/>
  <c r="D90" i="45"/>
  <c r="O224" i="45"/>
  <c r="O9" i="45"/>
  <c r="P9" i="45" s="1"/>
  <c r="AD23" i="45"/>
  <c r="AE23" i="45" s="1"/>
  <c r="AI23" i="45" s="1"/>
  <c r="AD27" i="45"/>
  <c r="AE27" i="45" s="1"/>
  <c r="AI27" i="45" s="1"/>
  <c r="O85" i="45"/>
  <c r="AI85" i="45" s="1"/>
  <c r="AI84" i="45" s="1"/>
  <c r="K84" i="45"/>
  <c r="AD255" i="45"/>
  <c r="AE255" i="45" s="1"/>
  <c r="AI255" i="45" s="1"/>
  <c r="O256" i="45"/>
  <c r="P256" i="45" s="1"/>
  <c r="O257" i="45"/>
  <c r="P257" i="45" s="1"/>
  <c r="AG278" i="45"/>
  <c r="AF312" i="45"/>
  <c r="O371" i="45"/>
  <c r="P371" i="45" s="1"/>
  <c r="AF371" i="45" s="1"/>
  <c r="AD378" i="45"/>
  <c r="AE378" i="45" s="1"/>
  <c r="AD380" i="45"/>
  <c r="AE380" i="45" s="1"/>
  <c r="O485" i="45"/>
  <c r="P485" i="45" s="1"/>
  <c r="O496" i="45"/>
  <c r="P496" i="45" s="1"/>
  <c r="O499" i="45"/>
  <c r="P499" i="45" s="1"/>
  <c r="P583" i="45"/>
  <c r="AG583" i="45" s="1"/>
  <c r="O604" i="45"/>
  <c r="P604" i="45"/>
  <c r="AE633" i="45"/>
  <c r="AG728" i="45"/>
  <c r="AF730" i="45"/>
  <c r="F751" i="45"/>
  <c r="N766" i="45"/>
  <c r="O768" i="45"/>
  <c r="P768" i="45" s="1"/>
  <c r="O769" i="45"/>
  <c r="P769" i="45" s="1"/>
  <c r="C766" i="45"/>
  <c r="C751" i="45" s="1"/>
  <c r="G775" i="45"/>
  <c r="O836" i="45"/>
  <c r="P836" i="45" s="1"/>
  <c r="AD873" i="45"/>
  <c r="AD874" i="45"/>
  <c r="AE874" i="45" s="1"/>
  <c r="AI874" i="45" s="1"/>
  <c r="AD875" i="45"/>
  <c r="AE875" i="45" s="1"/>
  <c r="AI875" i="45" s="1"/>
  <c r="AD878" i="45"/>
  <c r="AE878" i="45" s="1"/>
  <c r="AI878" i="45" s="1"/>
  <c r="AD879" i="45"/>
  <c r="AE879" i="45" s="1"/>
  <c r="AI879" i="45" s="1"/>
  <c r="AD881" i="45"/>
  <c r="O579" i="45"/>
  <c r="P579" i="45"/>
  <c r="AG579" i="45" s="1"/>
  <c r="AD15" i="45"/>
  <c r="O10" i="45"/>
  <c r="P10" i="45" s="1"/>
  <c r="AD14" i="45"/>
  <c r="AD18" i="45"/>
  <c r="O22" i="45"/>
  <c r="P22" i="45" s="1"/>
  <c r="AG22" i="45" s="1"/>
  <c r="AD28" i="45"/>
  <c r="AE28" i="45" s="1"/>
  <c r="O30" i="45"/>
  <c r="P30" i="45" s="1"/>
  <c r="AF75" i="45"/>
  <c r="Z84" i="45"/>
  <c r="O156" i="45"/>
  <c r="P156" i="45" s="1"/>
  <c r="O157" i="45"/>
  <c r="P157" i="45" s="1"/>
  <c r="O158" i="45"/>
  <c r="P158" i="45" s="1"/>
  <c r="O164" i="45"/>
  <c r="P164" i="45" s="1"/>
  <c r="O165" i="45"/>
  <c r="P165" i="45" s="1"/>
  <c r="O166" i="45"/>
  <c r="P166" i="45" s="1"/>
  <c r="K224" i="45"/>
  <c r="AC224" i="45"/>
  <c r="AG310" i="45"/>
  <c r="AG316" i="45"/>
  <c r="AF320" i="45"/>
  <c r="AD401" i="45"/>
  <c r="AE401" i="45" s="1"/>
  <c r="AD405" i="45"/>
  <c r="AE405" i="45" s="1"/>
  <c r="O511" i="45"/>
  <c r="P511" i="45" s="1"/>
  <c r="P590" i="45"/>
  <c r="O590" i="45"/>
  <c r="AE621" i="45"/>
  <c r="AF631" i="45"/>
  <c r="AF723" i="45"/>
  <c r="AD789" i="45"/>
  <c r="AE789" i="45" s="1"/>
  <c r="AI789" i="45" s="1"/>
  <c r="O795" i="45"/>
  <c r="P795" i="45" s="1"/>
  <c r="O799" i="45"/>
  <c r="P799" i="45" s="1"/>
  <c r="O801" i="45"/>
  <c r="P801" i="45" s="1"/>
  <c r="O803" i="45"/>
  <c r="P803" i="45" s="1"/>
  <c r="O804" i="45"/>
  <c r="P804" i="45" s="1"/>
  <c r="O805" i="45"/>
  <c r="P805" i="45" s="1"/>
  <c r="O845" i="45"/>
  <c r="P845" i="45" s="1"/>
  <c r="O846" i="45"/>
  <c r="P846" i="45" s="1"/>
  <c r="O850" i="45"/>
  <c r="P850" i="45" s="1"/>
  <c r="O851" i="45"/>
  <c r="P851" i="45" s="1"/>
  <c r="O852" i="45"/>
  <c r="P852" i="45" s="1"/>
  <c r="O853" i="45"/>
  <c r="P853" i="45" s="1"/>
  <c r="O854" i="45"/>
  <c r="P854" i="45" s="1"/>
  <c r="O858" i="45"/>
  <c r="P858" i="45" s="1"/>
  <c r="O859" i="45"/>
  <c r="P859" i="45" s="1"/>
  <c r="O860" i="45"/>
  <c r="P860" i="45" s="1"/>
  <c r="O861" i="45"/>
  <c r="P861" i="45" s="1"/>
  <c r="O889" i="45"/>
  <c r="P889" i="45" s="1"/>
  <c r="O890" i="45"/>
  <c r="P890" i="45" s="1"/>
  <c r="O892" i="45"/>
  <c r="P892" i="45" s="1"/>
  <c r="O894" i="45"/>
  <c r="P894" i="45" s="1"/>
  <c r="O896" i="45"/>
  <c r="P896" i="45" s="1"/>
  <c r="O897" i="45"/>
  <c r="P897" i="45" s="1"/>
  <c r="AD945" i="45"/>
  <c r="AD1077" i="45"/>
  <c r="AE1077" i="45" s="1"/>
  <c r="AI1077" i="45" s="1"/>
  <c r="O144" i="45"/>
  <c r="P144" i="45" s="1"/>
  <c r="O145" i="45"/>
  <c r="P145" i="45" s="1"/>
  <c r="O148" i="45"/>
  <c r="P148" i="45" s="1"/>
  <c r="Z224" i="45"/>
  <c r="AD236" i="45"/>
  <c r="AE236" i="45" s="1"/>
  <c r="AI236" i="45" s="1"/>
  <c r="O255" i="45"/>
  <c r="P255" i="45" s="1"/>
  <c r="AD256" i="45"/>
  <c r="AE256" i="45" s="1"/>
  <c r="AI256" i="45" s="1"/>
  <c r="AD299" i="45"/>
  <c r="AF279" i="45"/>
  <c r="AF311" i="45"/>
  <c r="AD387" i="45"/>
  <c r="AI387" i="45" s="1"/>
  <c r="O392" i="45"/>
  <c r="P392" i="45" s="1"/>
  <c r="O394" i="45"/>
  <c r="P394" i="45" s="1"/>
  <c r="N398" i="45"/>
  <c r="X418" i="45"/>
  <c r="X440" i="45" s="1"/>
  <c r="AD420" i="45"/>
  <c r="D418" i="45"/>
  <c r="H418" i="45"/>
  <c r="H440" i="45" s="1"/>
  <c r="H1551" i="45" s="1"/>
  <c r="K431" i="45"/>
  <c r="O451" i="45"/>
  <c r="P451" i="45" s="1"/>
  <c r="O456" i="45"/>
  <c r="P456" i="45" s="1"/>
  <c r="O462" i="45"/>
  <c r="P462" i="45" s="1"/>
  <c r="O471" i="45"/>
  <c r="P471" i="45" s="1"/>
  <c r="AD475" i="45"/>
  <c r="AE475" i="45" s="1"/>
  <c r="AD493" i="45"/>
  <c r="AE493" i="45" s="1"/>
  <c r="AD494" i="45"/>
  <c r="AE494" i="45" s="1"/>
  <c r="AD496" i="45"/>
  <c r="AE496" i="45" s="1"/>
  <c r="AD497" i="45"/>
  <c r="AE497" i="45" s="1"/>
  <c r="AD517" i="45"/>
  <c r="AE517" i="45" s="1"/>
  <c r="AD519" i="45"/>
  <c r="AE519" i="45" s="1"/>
  <c r="AD520" i="45"/>
  <c r="AE520" i="45" s="1"/>
  <c r="O541" i="45"/>
  <c r="P541" i="45" s="1"/>
  <c r="AF633" i="45"/>
  <c r="AF688" i="45"/>
  <c r="AG721" i="45"/>
  <c r="AG723" i="45"/>
  <c r="AG741" i="45"/>
  <c r="Z772" i="45"/>
  <c r="AD772" i="45" s="1"/>
  <c r="AD794" i="45"/>
  <c r="AD798" i="45"/>
  <c r="AE798" i="45" s="1"/>
  <c r="AI798" i="45" s="1"/>
  <c r="AD803" i="45"/>
  <c r="AE803" i="45" s="1"/>
  <c r="AI803" i="45" s="1"/>
  <c r="AD807" i="45"/>
  <c r="AE807" i="45" s="1"/>
  <c r="AI807" i="45" s="1"/>
  <c r="AD808" i="45"/>
  <c r="AE808" i="45" s="1"/>
  <c r="AI808" i="45" s="1"/>
  <c r="AD817" i="45"/>
  <c r="AE817" i="45" s="1"/>
  <c r="AD819" i="45"/>
  <c r="AE819" i="45" s="1"/>
  <c r="AI819" i="45" s="1"/>
  <c r="AD821" i="45"/>
  <c r="AE821" i="45" s="1"/>
  <c r="AI821" i="45" s="1"/>
  <c r="AD822" i="45"/>
  <c r="AE822" i="45" s="1"/>
  <c r="AI822" i="45" s="1"/>
  <c r="AD825" i="45"/>
  <c r="AE825" i="45" s="1"/>
  <c r="AI825" i="45" s="1"/>
  <c r="O832" i="45"/>
  <c r="P832" i="45" s="1"/>
  <c r="O833" i="45"/>
  <c r="P833" i="45" s="1"/>
  <c r="AD837" i="45"/>
  <c r="AE837" i="45" s="1"/>
  <c r="AI837" i="45" s="1"/>
  <c r="AD839" i="45"/>
  <c r="AE839" i="45" s="1"/>
  <c r="AI839" i="45" s="1"/>
  <c r="AD841" i="45"/>
  <c r="AE841" i="45" s="1"/>
  <c r="AI841" i="45" s="1"/>
  <c r="O864" i="45"/>
  <c r="P864" i="45" s="1"/>
  <c r="O865" i="45"/>
  <c r="P865" i="45" s="1"/>
  <c r="AD891" i="45"/>
  <c r="AE891" i="45" s="1"/>
  <c r="AI891" i="45" s="1"/>
  <c r="AD896" i="45"/>
  <c r="AE896" i="45" s="1"/>
  <c r="AI896" i="45" s="1"/>
  <c r="AD897" i="45"/>
  <c r="AE897" i="45" s="1"/>
  <c r="AI897" i="45" s="1"/>
  <c r="AD898" i="45"/>
  <c r="AE898" i="45" s="1"/>
  <c r="AI898" i="45" s="1"/>
  <c r="AD904" i="45"/>
  <c r="AE904" i="45" s="1"/>
  <c r="AI904" i="45" s="1"/>
  <c r="O1107" i="45"/>
  <c r="P1107" i="45" s="1"/>
  <c r="O1533" i="45"/>
  <c r="P1533" i="45" s="1"/>
  <c r="N1533" i="45"/>
  <c r="AD907" i="45"/>
  <c r="AD912" i="45"/>
  <c r="AE912" i="45" s="1"/>
  <c r="AI912" i="45" s="1"/>
  <c r="AD923" i="45"/>
  <c r="AE923" i="45" s="1"/>
  <c r="AI923" i="45" s="1"/>
  <c r="AD948" i="45"/>
  <c r="AD953" i="45"/>
  <c r="AD957" i="45"/>
  <c r="AE957" i="45" s="1"/>
  <c r="AI957" i="45" s="1"/>
  <c r="O1012" i="45"/>
  <c r="P1012" i="45" s="1"/>
  <c r="AD1104" i="45"/>
  <c r="AE1104" i="45" s="1"/>
  <c r="AI1104" i="45" s="1"/>
  <c r="O1150" i="45"/>
  <c r="P1150" i="45" s="1"/>
  <c r="O1156" i="45"/>
  <c r="P1156" i="45" s="1"/>
  <c r="E1145" i="45"/>
  <c r="I1145" i="45"/>
  <c r="O1255" i="45"/>
  <c r="P1255" i="45" s="1"/>
  <c r="O1283" i="45"/>
  <c r="P1283" i="45" s="1"/>
  <c r="O1288" i="45"/>
  <c r="P1288" i="45" s="1"/>
  <c r="AD1377" i="45"/>
  <c r="AE1377" i="45" s="1"/>
  <c r="AD1383" i="45"/>
  <c r="AE1383" i="45" s="1"/>
  <c r="AD1387" i="45"/>
  <c r="AE1387" i="45" s="1"/>
  <c r="O1416" i="45"/>
  <c r="P1416" i="45" s="1"/>
  <c r="O914" i="45"/>
  <c r="P914" i="45" s="1"/>
  <c r="O945" i="45"/>
  <c r="P945" i="45" s="1"/>
  <c r="O957" i="45"/>
  <c r="P957" i="45" s="1"/>
  <c r="O958" i="45"/>
  <c r="P958" i="45" s="1"/>
  <c r="AD1022" i="45"/>
  <c r="AE1022" i="45" s="1"/>
  <c r="AI1022" i="45" s="1"/>
  <c r="AD1023" i="45"/>
  <c r="AE1023" i="45" s="1"/>
  <c r="AI1023" i="45" s="1"/>
  <c r="O1028" i="45"/>
  <c r="P1028" i="45" s="1"/>
  <c r="AD1040" i="45"/>
  <c r="AD1041" i="45"/>
  <c r="AE1041" i="45" s="1"/>
  <c r="AI1041" i="45" s="1"/>
  <c r="AD1044" i="45"/>
  <c r="AE1044" i="45" s="1"/>
  <c r="AI1044" i="45" s="1"/>
  <c r="AD1088" i="45"/>
  <c r="AD1094" i="45"/>
  <c r="AE1094" i="45" s="1"/>
  <c r="AI1094" i="45" s="1"/>
  <c r="AD1098" i="45"/>
  <c r="B1145" i="45"/>
  <c r="AD1159" i="45"/>
  <c r="O1191" i="45"/>
  <c r="P1191" i="45" s="1"/>
  <c r="AD1195" i="45"/>
  <c r="AE1195" i="45" s="1"/>
  <c r="AI1195" i="45" s="1"/>
  <c r="AD1199" i="45"/>
  <c r="AE1199" i="45" s="1"/>
  <c r="AI1199" i="45" s="1"/>
  <c r="AD1244" i="45"/>
  <c r="AE1244" i="45" s="1"/>
  <c r="AG1244" i="45" s="1"/>
  <c r="AD1247" i="45"/>
  <c r="AE1247" i="45" s="1"/>
  <c r="AG1247" i="45" s="1"/>
  <c r="AD1286" i="45"/>
  <c r="AD1287" i="45"/>
  <c r="AE1287" i="45" s="1"/>
  <c r="AG1287" i="45" s="1"/>
  <c r="O1300" i="45"/>
  <c r="P1300" i="45" s="1"/>
  <c r="O1366" i="45"/>
  <c r="O1387" i="45"/>
  <c r="P1387" i="45" s="1"/>
  <c r="O1388" i="45"/>
  <c r="P1388" i="45" s="1"/>
  <c r="AD1400" i="45"/>
  <c r="AE1400" i="45" s="1"/>
  <c r="AD1404" i="45"/>
  <c r="AE1404" i="45" s="1"/>
  <c r="AD1427" i="45"/>
  <c r="AE1427" i="45" s="1"/>
  <c r="O1432" i="45"/>
  <c r="P1432" i="45" s="1"/>
  <c r="AD901" i="45"/>
  <c r="AE901" i="45" s="1"/>
  <c r="AI901" i="45" s="1"/>
  <c r="AD902" i="45"/>
  <c r="AD938" i="45"/>
  <c r="AD939" i="45"/>
  <c r="AE939" i="45" s="1"/>
  <c r="AI939" i="45" s="1"/>
  <c r="AD942" i="45"/>
  <c r="AD943" i="45"/>
  <c r="AE943" i="45" s="1"/>
  <c r="AI943" i="45" s="1"/>
  <c r="AD988" i="45"/>
  <c r="AE988" i="45" s="1"/>
  <c r="AI988" i="45" s="1"/>
  <c r="AD993" i="45"/>
  <c r="AE993" i="45" s="1"/>
  <c r="AI993" i="45" s="1"/>
  <c r="AD996" i="45"/>
  <c r="AE996" i="45" s="1"/>
  <c r="AI996" i="45" s="1"/>
  <c r="AD1000" i="45"/>
  <c r="AE1000" i="45" s="1"/>
  <c r="AD1001" i="45"/>
  <c r="AE1001" i="45" s="1"/>
  <c r="AI1001" i="45" s="1"/>
  <c r="AD1005" i="45"/>
  <c r="O1040" i="45"/>
  <c r="P1040" i="45" s="1"/>
  <c r="O1045" i="45"/>
  <c r="P1045" i="45" s="1"/>
  <c r="O1062" i="45"/>
  <c r="P1062" i="45" s="1"/>
  <c r="O1064" i="45"/>
  <c r="P1064" i="45" s="1"/>
  <c r="AD1069" i="45"/>
  <c r="O1087" i="45"/>
  <c r="P1087" i="45" s="1"/>
  <c r="O1089" i="45"/>
  <c r="P1089" i="45" s="1"/>
  <c r="O1090" i="45"/>
  <c r="P1090" i="45" s="1"/>
  <c r="O1091" i="45"/>
  <c r="P1091" i="45" s="1"/>
  <c r="O1093" i="45"/>
  <c r="P1093" i="45" s="1"/>
  <c r="O1094" i="45"/>
  <c r="P1094" i="45" s="1"/>
  <c r="O1097" i="45"/>
  <c r="P1097" i="45" s="1"/>
  <c r="O1099" i="45"/>
  <c r="P1099" i="45" s="1"/>
  <c r="O1100" i="45"/>
  <c r="P1100" i="45" s="1"/>
  <c r="O1101" i="45"/>
  <c r="P1101" i="45" s="1"/>
  <c r="O1102" i="45"/>
  <c r="P1102" i="45" s="1"/>
  <c r="AD1123" i="45"/>
  <c r="AD1124" i="45"/>
  <c r="AE1124" i="45" s="1"/>
  <c r="AI1124" i="45" s="1"/>
  <c r="AD1125" i="45"/>
  <c r="AE1125" i="45" s="1"/>
  <c r="AI1125" i="45" s="1"/>
  <c r="AD1128" i="45"/>
  <c r="AE1128" i="45" s="1"/>
  <c r="AI1128" i="45" s="1"/>
  <c r="AD1132" i="45"/>
  <c r="AD1133" i="45"/>
  <c r="AE1133" i="45" s="1"/>
  <c r="AI1133" i="45" s="1"/>
  <c r="AD1135" i="45"/>
  <c r="AE1135" i="45" s="1"/>
  <c r="AI1135" i="45" s="1"/>
  <c r="AD1136" i="45"/>
  <c r="AE1136" i="45" s="1"/>
  <c r="AI1136" i="45" s="1"/>
  <c r="AD1140" i="45"/>
  <c r="AE1140" i="45" s="1"/>
  <c r="AI1140" i="45" s="1"/>
  <c r="AD1141" i="45"/>
  <c r="AE1141" i="45" s="1"/>
  <c r="AI1141" i="45" s="1"/>
  <c r="O1160" i="45"/>
  <c r="P1160" i="45" s="1"/>
  <c r="O1164" i="45"/>
  <c r="P1164" i="45" s="1"/>
  <c r="O1165" i="45"/>
  <c r="P1165" i="45" s="1"/>
  <c r="O1167" i="45"/>
  <c r="P1167" i="45" s="1"/>
  <c r="O1174" i="45"/>
  <c r="P1174" i="45" s="1"/>
  <c r="K1193" i="45"/>
  <c r="O1199" i="45"/>
  <c r="P1199" i="45" s="1"/>
  <c r="O1200" i="45"/>
  <c r="P1200" i="45" s="1"/>
  <c r="O1201" i="45"/>
  <c r="P1201" i="45" s="1"/>
  <c r="O1203" i="45"/>
  <c r="P1203" i="45" s="1"/>
  <c r="O1205" i="45"/>
  <c r="P1205" i="45" s="1"/>
  <c r="O1210" i="45"/>
  <c r="P1210" i="45" s="1"/>
  <c r="O1242" i="45"/>
  <c r="P1242" i="45" s="1"/>
  <c r="AD1266" i="45"/>
  <c r="AE1266" i="45" s="1"/>
  <c r="AG1266" i="45" s="1"/>
  <c r="AD1267" i="45"/>
  <c r="AE1267" i="45" s="1"/>
  <c r="AG1267" i="45" s="1"/>
  <c r="O1275" i="45"/>
  <c r="P1275" i="45" s="1"/>
  <c r="AD1298" i="45"/>
  <c r="AE1298" i="45" s="1"/>
  <c r="AG1298" i="45" s="1"/>
  <c r="AD1299" i="45"/>
  <c r="AE1299" i="45" s="1"/>
  <c r="AG1299" i="45" s="1"/>
  <c r="AD1300" i="45"/>
  <c r="AE1300" i="45" s="1"/>
  <c r="AG1300" i="45" s="1"/>
  <c r="AF1320" i="45"/>
  <c r="AD1364" i="45"/>
  <c r="AE1364" i="45" s="1"/>
  <c r="AD1365" i="45"/>
  <c r="AE1365" i="45" s="1"/>
  <c r="AD1366" i="45"/>
  <c r="AE1366" i="45" s="1"/>
  <c r="O1376" i="45"/>
  <c r="P1376" i="45" s="1"/>
  <c r="O1399" i="45"/>
  <c r="P1399" i="45" s="1"/>
  <c r="O1400" i="45"/>
  <c r="P1400" i="45" s="1"/>
  <c r="O1401" i="45"/>
  <c r="P1401" i="45" s="1"/>
  <c r="O1402" i="45"/>
  <c r="O1403" i="45"/>
  <c r="P1403" i="45" s="1"/>
  <c r="O1404" i="45"/>
  <c r="O1405" i="45"/>
  <c r="P1405" i="45" s="1"/>
  <c r="O1408" i="45"/>
  <c r="AF1408" i="45" s="1"/>
  <c r="AD1418" i="45"/>
  <c r="AE1418" i="45" s="1"/>
  <c r="AD1422" i="45"/>
  <c r="AE1422" i="45" s="1"/>
  <c r="AD1428" i="45"/>
  <c r="AE1428" i="45" s="1"/>
  <c r="AD1431" i="45"/>
  <c r="AE1431" i="45" s="1"/>
  <c r="AD1439" i="45"/>
  <c r="AE1439" i="45" s="1"/>
  <c r="AG1439" i="45" s="1"/>
  <c r="N1531" i="45"/>
  <c r="AD9" i="45"/>
  <c r="O11" i="45"/>
  <c r="P11" i="45" s="1"/>
  <c r="O16" i="45"/>
  <c r="P16" i="45" s="1"/>
  <c r="AD17" i="45"/>
  <c r="AE17" i="45" s="1"/>
  <c r="O19" i="45"/>
  <c r="P19" i="45" s="1"/>
  <c r="O24" i="45"/>
  <c r="P24" i="45" s="1"/>
  <c r="AD26" i="45"/>
  <c r="AE26" i="45" s="1"/>
  <c r="AI26" i="45" s="1"/>
  <c r="AD29" i="45"/>
  <c r="O31" i="45"/>
  <c r="P31" i="45" s="1"/>
  <c r="K72" i="45"/>
  <c r="O150" i="45"/>
  <c r="P150" i="45" s="1"/>
  <c r="O151" i="45"/>
  <c r="P151" i="45" s="1"/>
  <c r="O152" i="45"/>
  <c r="P152" i="45" s="1"/>
  <c r="AD158" i="45"/>
  <c r="AE158" i="45" s="1"/>
  <c r="AD159" i="45"/>
  <c r="AE159" i="45" s="1"/>
  <c r="O239" i="45"/>
  <c r="P239" i="45" s="1"/>
  <c r="O243" i="45"/>
  <c r="P243" i="45" s="1"/>
  <c r="O247" i="45"/>
  <c r="P247" i="45" s="1"/>
  <c r="O251" i="45"/>
  <c r="P251" i="45" s="1"/>
  <c r="O258" i="45"/>
  <c r="P258" i="45" s="1"/>
  <c r="Z299" i="45"/>
  <c r="AF275" i="45"/>
  <c r="AF280" i="45"/>
  <c r="AG285" i="45"/>
  <c r="AG321" i="45"/>
  <c r="S396" i="45"/>
  <c r="AD370" i="45"/>
  <c r="AE370" i="45" s="1"/>
  <c r="O377" i="45"/>
  <c r="P377" i="45" s="1"/>
  <c r="O380" i="45"/>
  <c r="P380" i="45" s="1"/>
  <c r="O384" i="45"/>
  <c r="P384" i="45" s="1"/>
  <c r="O391" i="45"/>
  <c r="P391" i="45" s="1"/>
  <c r="O395" i="45"/>
  <c r="P395" i="45" s="1"/>
  <c r="AD400" i="45"/>
  <c r="AE400" i="45" s="1"/>
  <c r="AD410" i="45"/>
  <c r="AE410" i="45" s="1"/>
  <c r="L418" i="45"/>
  <c r="AD424" i="45"/>
  <c r="AD423" i="45" s="1"/>
  <c r="AD450" i="45"/>
  <c r="AE450" i="45" s="1"/>
  <c r="O453" i="45"/>
  <c r="P453" i="45" s="1"/>
  <c r="O455" i="45"/>
  <c r="P455" i="45" s="1"/>
  <c r="AD460" i="45"/>
  <c r="AE460" i="45" s="1"/>
  <c r="O463" i="45"/>
  <c r="P463" i="45" s="1"/>
  <c r="O464" i="45"/>
  <c r="P464" i="45" s="1"/>
  <c r="AD474" i="45"/>
  <c r="AE474" i="45" s="1"/>
  <c r="O477" i="45"/>
  <c r="P477" i="45" s="1"/>
  <c r="O479" i="45"/>
  <c r="P479" i="45" s="1"/>
  <c r="AD484" i="45"/>
  <c r="AE484" i="45" s="1"/>
  <c r="O494" i="45"/>
  <c r="P494" i="45" s="1"/>
  <c r="O495" i="45"/>
  <c r="P495" i="45" s="1"/>
  <c r="O497" i="45"/>
  <c r="P497" i="45" s="1"/>
  <c r="AD502" i="45"/>
  <c r="AE502" i="45" s="1"/>
  <c r="AD503" i="45"/>
  <c r="AE503" i="45" s="1"/>
  <c r="O520" i="45"/>
  <c r="P520" i="45" s="1"/>
  <c r="AD541" i="45"/>
  <c r="AE541" i="45" s="1"/>
  <c r="AD542" i="45"/>
  <c r="AE542" i="45" s="1"/>
  <c r="AE609" i="45"/>
  <c r="AG609" i="45" s="1"/>
  <c r="AD609" i="45"/>
  <c r="P717" i="45"/>
  <c r="P743" i="45" s="1"/>
  <c r="L743" i="45"/>
  <c r="O717" i="45"/>
  <c r="AF717" i="45" s="1"/>
  <c r="AB751" i="45"/>
  <c r="AB1211" i="45" s="1"/>
  <c r="AC560" i="45"/>
  <c r="AE580" i="45"/>
  <c r="AG580" i="45" s="1"/>
  <c r="AD580" i="45"/>
  <c r="O600" i="45"/>
  <c r="P600" i="45"/>
  <c r="AD608" i="45"/>
  <c r="AE608" i="45"/>
  <c r="AG608" i="45" s="1"/>
  <c r="P636" i="45"/>
  <c r="O636" i="45"/>
  <c r="AF636" i="45" s="1"/>
  <c r="O12" i="45"/>
  <c r="P12" i="45" s="1"/>
  <c r="AD13" i="45"/>
  <c r="AE13" i="45" s="1"/>
  <c r="O15" i="45"/>
  <c r="P15" i="45" s="1"/>
  <c r="O20" i="45"/>
  <c r="P20" i="45" s="1"/>
  <c r="AD21" i="45"/>
  <c r="O23" i="45"/>
  <c r="P23" i="45" s="1"/>
  <c r="AD24" i="45"/>
  <c r="AE24" i="45" s="1"/>
  <c r="O25" i="45"/>
  <c r="P25" i="45" s="1"/>
  <c r="O26" i="45"/>
  <c r="P26" i="45" s="1"/>
  <c r="O32" i="45"/>
  <c r="P32" i="45" s="1"/>
  <c r="AI76" i="45"/>
  <c r="O141" i="45"/>
  <c r="P141" i="45" s="1"/>
  <c r="O142" i="45"/>
  <c r="P142" i="45" s="1"/>
  <c r="AD148" i="45"/>
  <c r="AE148" i="45" s="1"/>
  <c r="AD149" i="45"/>
  <c r="AE149" i="45" s="1"/>
  <c r="O160" i="45"/>
  <c r="P160" i="45" s="1"/>
  <c r="O161" i="45"/>
  <c r="P161" i="45" s="1"/>
  <c r="O162" i="45"/>
  <c r="P162" i="45" s="1"/>
  <c r="AD166" i="45"/>
  <c r="AE166" i="45" s="1"/>
  <c r="P215" i="45"/>
  <c r="P224" i="45" s="1"/>
  <c r="AE215" i="45"/>
  <c r="AE224" i="45" s="1"/>
  <c r="O241" i="45"/>
  <c r="P241" i="45" s="1"/>
  <c r="O245" i="45"/>
  <c r="P245" i="45" s="1"/>
  <c r="O249" i="45"/>
  <c r="P249" i="45" s="1"/>
  <c r="AF249" i="45" s="1"/>
  <c r="O253" i="45"/>
  <c r="P253" i="45" s="1"/>
  <c r="AD257" i="45"/>
  <c r="AE257" i="45" s="1"/>
  <c r="AI257" i="45" s="1"/>
  <c r="AD258" i="45"/>
  <c r="AE258" i="45" s="1"/>
  <c r="AI258" i="45" s="1"/>
  <c r="AG279" i="45"/>
  <c r="AF281" i="45"/>
  <c r="AF288" i="45"/>
  <c r="AG315" i="45"/>
  <c r="O365" i="45"/>
  <c r="P365" i="45" s="1"/>
  <c r="O370" i="45"/>
  <c r="P370" i="45" s="1"/>
  <c r="AF370" i="45" s="1"/>
  <c r="AD377" i="45"/>
  <c r="AE377" i="45" s="1"/>
  <c r="Z381" i="45"/>
  <c r="AD381" i="45" s="1"/>
  <c r="AD384" i="45"/>
  <c r="AE384" i="45" s="1"/>
  <c r="AD386" i="45"/>
  <c r="AI386" i="45" s="1"/>
  <c r="AD388" i="45"/>
  <c r="AE388" i="45" s="1"/>
  <c r="Z389" i="45"/>
  <c r="AD391" i="45"/>
  <c r="AE391" i="45" s="1"/>
  <c r="AD395" i="45"/>
  <c r="AE395" i="45" s="1"/>
  <c r="AD406" i="45"/>
  <c r="AE406" i="45" s="1"/>
  <c r="O410" i="45"/>
  <c r="P410" i="45" s="1"/>
  <c r="O412" i="45"/>
  <c r="P412" i="45" s="1"/>
  <c r="T418" i="45"/>
  <c r="T440" i="45" s="1"/>
  <c r="AD432" i="45"/>
  <c r="AE432" i="45" s="1"/>
  <c r="K560" i="45"/>
  <c r="AD455" i="45"/>
  <c r="AE455" i="45" s="1"/>
  <c r="O458" i="45"/>
  <c r="P458" i="45" s="1"/>
  <c r="O460" i="45"/>
  <c r="P460" i="45" s="1"/>
  <c r="AD464" i="45"/>
  <c r="AE464" i="45" s="1"/>
  <c r="O472" i="45"/>
  <c r="P472" i="45" s="1"/>
  <c r="O474" i="45"/>
  <c r="P474" i="45" s="1"/>
  <c r="AD479" i="45"/>
  <c r="AE479" i="45" s="1"/>
  <c r="O483" i="45"/>
  <c r="P483" i="45" s="1"/>
  <c r="O484" i="45"/>
  <c r="P484" i="45" s="1"/>
  <c r="AD495" i="45"/>
  <c r="AE495" i="45" s="1"/>
  <c r="O508" i="45"/>
  <c r="P508" i="45" s="1"/>
  <c r="AD513" i="45"/>
  <c r="AE513" i="45" s="1"/>
  <c r="AD515" i="45"/>
  <c r="AE515" i="45" s="1"/>
  <c r="O545" i="45"/>
  <c r="P545" i="45" s="1"/>
  <c r="AE582" i="45"/>
  <c r="AG582" i="45" s="1"/>
  <c r="AD582" i="45"/>
  <c r="AE610" i="45"/>
  <c r="AD610" i="45"/>
  <c r="P622" i="45"/>
  <c r="O622" i="45"/>
  <c r="AF622" i="45" s="1"/>
  <c r="O812" i="45"/>
  <c r="P812" i="45" s="1"/>
  <c r="AF79" i="45"/>
  <c r="AF78" i="45" s="1"/>
  <c r="AE79" i="45"/>
  <c r="AE78" i="45" s="1"/>
  <c r="AD342" i="45"/>
  <c r="AE342" i="45" s="1"/>
  <c r="AE355" i="45" s="1"/>
  <c r="AA418" i="45"/>
  <c r="F418" i="45"/>
  <c r="F440" i="45" s="1"/>
  <c r="F1551" i="45" s="1"/>
  <c r="J418" i="45"/>
  <c r="J440" i="45" s="1"/>
  <c r="J1551" i="45" s="1"/>
  <c r="N560" i="45"/>
  <c r="AE584" i="45"/>
  <c r="AG584" i="45" s="1"/>
  <c r="AD584" i="45"/>
  <c r="P589" i="45"/>
  <c r="AG589" i="45" s="1"/>
  <c r="O589" i="45"/>
  <c r="AE605" i="45"/>
  <c r="Q597" i="45"/>
  <c r="Q596" i="45" s="1"/>
  <c r="O621" i="45"/>
  <c r="AF621" i="45" s="1"/>
  <c r="P621" i="45"/>
  <c r="AE628" i="45"/>
  <c r="AD628" i="45"/>
  <c r="AD500" i="45"/>
  <c r="AE500" i="45" s="1"/>
  <c r="O505" i="45"/>
  <c r="P505" i="45" s="1"/>
  <c r="AD511" i="45"/>
  <c r="AE511" i="45" s="1"/>
  <c r="O515" i="45"/>
  <c r="P515" i="45" s="1"/>
  <c r="O517" i="45"/>
  <c r="P517" i="45" s="1"/>
  <c r="AD539" i="45"/>
  <c r="AE539" i="45" s="1"/>
  <c r="O542" i="45"/>
  <c r="P542" i="45" s="1"/>
  <c r="O543" i="45"/>
  <c r="P543" i="45" s="1"/>
  <c r="AH568" i="45"/>
  <c r="O587" i="45"/>
  <c r="AH596" i="45"/>
  <c r="Q613" i="45"/>
  <c r="P634" i="45"/>
  <c r="AE635" i="45"/>
  <c r="AG635" i="45" s="1"/>
  <c r="AF654" i="45"/>
  <c r="C708" i="45"/>
  <c r="AF695" i="45"/>
  <c r="AF699" i="45"/>
  <c r="AD757" i="45"/>
  <c r="O776" i="45"/>
  <c r="P776" i="45" s="1"/>
  <c r="L775" i="45"/>
  <c r="AD782" i="45"/>
  <c r="AE782" i="45" s="1"/>
  <c r="AD785" i="45"/>
  <c r="AF785" i="45" s="1"/>
  <c r="AD799" i="45"/>
  <c r="AE799" i="45" s="1"/>
  <c r="AI799" i="45" s="1"/>
  <c r="AD800" i="45"/>
  <c r="AE800" i="45" s="1"/>
  <c r="AI800" i="45" s="1"/>
  <c r="AD801" i="45"/>
  <c r="AE801" i="45" s="1"/>
  <c r="AI801" i="45" s="1"/>
  <c r="AD804" i="45"/>
  <c r="AD805" i="45"/>
  <c r="AE805" i="45" s="1"/>
  <c r="AI805" i="45" s="1"/>
  <c r="O809" i="45"/>
  <c r="P809" i="45" s="1"/>
  <c r="O810" i="45"/>
  <c r="P810" i="45" s="1"/>
  <c r="AD816" i="45"/>
  <c r="AE816" i="45" s="1"/>
  <c r="O829" i="45"/>
  <c r="AF829" i="45" s="1"/>
  <c r="O842" i="45"/>
  <c r="P842" i="45" s="1"/>
  <c r="O843" i="45"/>
  <c r="P843" i="45" s="1"/>
  <c r="O844" i="45"/>
  <c r="P844" i="45" s="1"/>
  <c r="AD853" i="45"/>
  <c r="AE853" i="45" s="1"/>
  <c r="AI853" i="45" s="1"/>
  <c r="AD855" i="45"/>
  <c r="AE855" i="45" s="1"/>
  <c r="AI855" i="45" s="1"/>
  <c r="AD858" i="45"/>
  <c r="AE858" i="45" s="1"/>
  <c r="AI858" i="45" s="1"/>
  <c r="O874" i="45"/>
  <c r="O875" i="45"/>
  <c r="P875" i="45" s="1"/>
  <c r="O877" i="45"/>
  <c r="P877" i="45" s="1"/>
  <c r="O878" i="45"/>
  <c r="AD892" i="45"/>
  <c r="AE892" i="45" s="1"/>
  <c r="AI892" i="45" s="1"/>
  <c r="AD893" i="45"/>
  <c r="AE893" i="45" s="1"/>
  <c r="AI893" i="45" s="1"/>
  <c r="AD894" i="45"/>
  <c r="AE894" i="45" s="1"/>
  <c r="AI894" i="45" s="1"/>
  <c r="AD913" i="45"/>
  <c r="AD914" i="45"/>
  <c r="AE914" i="45" s="1"/>
  <c r="AI914" i="45" s="1"/>
  <c r="O923" i="45"/>
  <c r="P923" i="45" s="1"/>
  <c r="O925" i="45"/>
  <c r="P925" i="45" s="1"/>
  <c r="O926" i="45"/>
  <c r="P926" i="45" s="1"/>
  <c r="AD933" i="45"/>
  <c r="AE933" i="45" s="1"/>
  <c r="AI933" i="45" s="1"/>
  <c r="AD934" i="45"/>
  <c r="AE934" i="45" s="1"/>
  <c r="AI934" i="45" s="1"/>
  <c r="AD935" i="45"/>
  <c r="AE935" i="45" s="1"/>
  <c r="AD954" i="45"/>
  <c r="AE954" i="45" s="1"/>
  <c r="AI954" i="45" s="1"/>
  <c r="AD955" i="45"/>
  <c r="O962" i="45"/>
  <c r="P962" i="45" s="1"/>
  <c r="O963" i="45"/>
  <c r="O965" i="45"/>
  <c r="P965" i="45" s="1"/>
  <c r="O966" i="45"/>
  <c r="P966" i="45" s="1"/>
  <c r="O972" i="45"/>
  <c r="P972" i="45" s="1"/>
  <c r="O973" i="45"/>
  <c r="P973" i="45" s="1"/>
  <c r="O977" i="45"/>
  <c r="AD986" i="45"/>
  <c r="AD989" i="45"/>
  <c r="AE989" i="45" s="1"/>
  <c r="AI989" i="45" s="1"/>
  <c r="AD997" i="45"/>
  <c r="AD998" i="45"/>
  <c r="AE998" i="45" s="1"/>
  <c r="AI998" i="45" s="1"/>
  <c r="AD1002" i="45"/>
  <c r="AE1002" i="45" s="1"/>
  <c r="AI1002" i="45" s="1"/>
  <c r="AD1046" i="45"/>
  <c r="AE1046" i="45" s="1"/>
  <c r="AI1046" i="45" s="1"/>
  <c r="AD1049" i="45"/>
  <c r="AE1049" i="45" s="1"/>
  <c r="AI1049" i="45" s="1"/>
  <c r="AD1052" i="45"/>
  <c r="O1530" i="45"/>
  <c r="N1530" i="45"/>
  <c r="O1538" i="45"/>
  <c r="AF1538" i="45" s="1"/>
  <c r="N1538" i="45"/>
  <c r="AD1068" i="45"/>
  <c r="AE1068" i="45" s="1"/>
  <c r="AI1068" i="45" s="1"/>
  <c r="AD1102" i="45"/>
  <c r="AE1102" i="45" s="1"/>
  <c r="O1139" i="45"/>
  <c r="P1139" i="45" s="1"/>
  <c r="O1144" i="45"/>
  <c r="P1144" i="45" s="1"/>
  <c r="O1152" i="45"/>
  <c r="O1157" i="45"/>
  <c r="P1157" i="45" s="1"/>
  <c r="O1536" i="45"/>
  <c r="P1536" i="45" s="1"/>
  <c r="N1536" i="45"/>
  <c r="B568" i="45"/>
  <c r="Q568" i="45"/>
  <c r="AG722" i="45"/>
  <c r="AG727" i="45"/>
  <c r="AF729" i="45"/>
  <c r="AG732" i="45"/>
  <c r="AG737" i="45"/>
  <c r="AF739" i="45"/>
  <c r="AG742" i="45"/>
  <c r="I751" i="45"/>
  <c r="W751" i="45"/>
  <c r="AD755" i="45"/>
  <c r="AE755" i="45" s="1"/>
  <c r="AD763" i="45"/>
  <c r="AD779" i="45"/>
  <c r="F775" i="45"/>
  <c r="O794" i="45"/>
  <c r="P794" i="45" s="1"/>
  <c r="AD820" i="45"/>
  <c r="AE820" i="45" s="1"/>
  <c r="AI820" i="45" s="1"/>
  <c r="AD824" i="45"/>
  <c r="AD827" i="45"/>
  <c r="AE827" i="45" s="1"/>
  <c r="AI827" i="45" s="1"/>
  <c r="O848" i="45"/>
  <c r="P848" i="45" s="1"/>
  <c r="O849" i="45"/>
  <c r="AD865" i="45"/>
  <c r="AE865" i="45" s="1"/>
  <c r="AI865" i="45" s="1"/>
  <c r="AD869" i="45"/>
  <c r="AE869" i="45" s="1"/>
  <c r="AI869" i="45" s="1"/>
  <c r="O884" i="45"/>
  <c r="P884" i="45" s="1"/>
  <c r="O887" i="45"/>
  <c r="O888" i="45"/>
  <c r="P888" i="45" s="1"/>
  <c r="AD900" i="45"/>
  <c r="AE900" i="45" s="1"/>
  <c r="AI900" i="45" s="1"/>
  <c r="AD921" i="45"/>
  <c r="AE921" i="45" s="1"/>
  <c r="AI921" i="45" s="1"/>
  <c r="O928" i="45"/>
  <c r="P928" i="45" s="1"/>
  <c r="O929" i="45"/>
  <c r="P929" i="45" s="1"/>
  <c r="AD941" i="45"/>
  <c r="AE941" i="45" s="1"/>
  <c r="AI941" i="45" s="1"/>
  <c r="O984" i="45"/>
  <c r="P984" i="45" s="1"/>
  <c r="AD1008" i="45"/>
  <c r="AE1008" i="45" s="1"/>
  <c r="AD1012" i="45"/>
  <c r="AE1012" i="45" s="1"/>
  <c r="AI1012" i="45" s="1"/>
  <c r="O1534" i="45"/>
  <c r="P1534" i="45" s="1"/>
  <c r="N1534" i="45"/>
  <c r="O501" i="45"/>
  <c r="P501" i="45" s="1"/>
  <c r="O502" i="45"/>
  <c r="P502" i="45" s="1"/>
  <c r="O512" i="45"/>
  <c r="P512" i="45" s="1"/>
  <c r="O540" i="45"/>
  <c r="P540" i="45" s="1"/>
  <c r="AD579" i="45"/>
  <c r="AD581" i="45"/>
  <c r="AF581" i="45" s="1"/>
  <c r="AD583" i="45"/>
  <c r="AF583" i="45" s="1"/>
  <c r="O588" i="45"/>
  <c r="P602" i="45"/>
  <c r="AD607" i="45"/>
  <c r="AF619" i="45"/>
  <c r="AE623" i="45"/>
  <c r="AG623" i="45" s="1"/>
  <c r="AE625" i="45"/>
  <c r="AD630" i="45"/>
  <c r="P633" i="45"/>
  <c r="AF661" i="45"/>
  <c r="AF666" i="45"/>
  <c r="AF671" i="45"/>
  <c r="AF696" i="45"/>
  <c r="Z743" i="45"/>
  <c r="AF724" i="45"/>
  <c r="AG729" i="45"/>
  <c r="AF734" i="45"/>
  <c r="AG739" i="45"/>
  <c r="K756" i="45"/>
  <c r="O756" i="45" s="1"/>
  <c r="P756" i="45" s="1"/>
  <c r="O760" i="45"/>
  <c r="P760" i="45" s="1"/>
  <c r="O761" i="45"/>
  <c r="P761" i="45" s="1"/>
  <c r="O763" i="45"/>
  <c r="P763" i="45" s="1"/>
  <c r="K764" i="45"/>
  <c r="K759" i="45" s="1"/>
  <c r="Z764" i="45"/>
  <c r="AD764" i="45" s="1"/>
  <c r="AE764" i="45" s="1"/>
  <c r="AD765" i="45"/>
  <c r="AE765" i="45" s="1"/>
  <c r="AI765" i="45" s="1"/>
  <c r="O774" i="45"/>
  <c r="P774" i="45" s="1"/>
  <c r="O779" i="45"/>
  <c r="P779" i="45" s="1"/>
  <c r="O780" i="45"/>
  <c r="P780" i="45" s="1"/>
  <c r="AG780" i="45" s="1"/>
  <c r="O790" i="45"/>
  <c r="P790" i="45" s="1"/>
  <c r="AD795" i="45"/>
  <c r="AE795" i="45" s="1"/>
  <c r="AI795" i="45" s="1"/>
  <c r="AD796" i="45"/>
  <c r="AE796" i="45" s="1"/>
  <c r="AI796" i="45" s="1"/>
  <c r="O798" i="45"/>
  <c r="P798" i="45" s="1"/>
  <c r="O808" i="45"/>
  <c r="P808" i="45" s="1"/>
  <c r="AD811" i="45"/>
  <c r="AE811" i="45" s="1"/>
  <c r="AI811" i="45" s="1"/>
  <c r="AD812" i="45"/>
  <c r="AD813" i="45"/>
  <c r="AE813" i="45" s="1"/>
  <c r="AI813" i="45" s="1"/>
  <c r="O817" i="45"/>
  <c r="P817" i="45" s="1"/>
  <c r="O820" i="45"/>
  <c r="O821" i="45"/>
  <c r="P821" i="45" s="1"/>
  <c r="O826" i="45"/>
  <c r="P826" i="45" s="1"/>
  <c r="AD832" i="45"/>
  <c r="AE832" i="45" s="1"/>
  <c r="AI832" i="45" s="1"/>
  <c r="AD833" i="45"/>
  <c r="O838" i="45"/>
  <c r="P838" i="45" s="1"/>
  <c r="AD845" i="45"/>
  <c r="AD847" i="45"/>
  <c r="AE847" i="45" s="1"/>
  <c r="AI847" i="45" s="1"/>
  <c r="AD850" i="45"/>
  <c r="O856" i="45"/>
  <c r="O857" i="45"/>
  <c r="P857" i="45" s="1"/>
  <c r="O862" i="45"/>
  <c r="P862" i="45" s="1"/>
  <c r="O866" i="45"/>
  <c r="O867" i="45"/>
  <c r="P867" i="45" s="1"/>
  <c r="O869" i="45"/>
  <c r="P869" i="45" s="1"/>
  <c r="O870" i="45"/>
  <c r="P870" i="45" s="1"/>
  <c r="O871" i="45"/>
  <c r="P871" i="45" s="1"/>
  <c r="AD877" i="45"/>
  <c r="AE877" i="45" s="1"/>
  <c r="AI877" i="45" s="1"/>
  <c r="AD882" i="45"/>
  <c r="AE882" i="45" s="1"/>
  <c r="AI882" i="45" s="1"/>
  <c r="AD883" i="45"/>
  <c r="AE883" i="45" s="1"/>
  <c r="AI883" i="45" s="1"/>
  <c r="O898" i="45"/>
  <c r="P898" i="45" s="1"/>
  <c r="O900" i="45"/>
  <c r="P900" i="45" s="1"/>
  <c r="O901" i="45"/>
  <c r="P901" i="45" s="1"/>
  <c r="AD908" i="45"/>
  <c r="AD909" i="45"/>
  <c r="AE909" i="45" s="1"/>
  <c r="AI909" i="45" s="1"/>
  <c r="AD910" i="45"/>
  <c r="O917" i="45"/>
  <c r="O919" i="45"/>
  <c r="P919" i="45" s="1"/>
  <c r="O921" i="45"/>
  <c r="P921" i="45" s="1"/>
  <c r="O922" i="45"/>
  <c r="AD925" i="45"/>
  <c r="AE925" i="45" s="1"/>
  <c r="AI925" i="45" s="1"/>
  <c r="AD926" i="45"/>
  <c r="AE926" i="45" s="1"/>
  <c r="AI926" i="45" s="1"/>
  <c r="AD927" i="45"/>
  <c r="O939" i="45"/>
  <c r="O941" i="45"/>
  <c r="P941" i="45" s="1"/>
  <c r="O942" i="45"/>
  <c r="P942" i="45" s="1"/>
  <c r="AD949" i="45"/>
  <c r="AD950" i="45"/>
  <c r="AE950" i="45" s="1"/>
  <c r="AI950" i="45" s="1"/>
  <c r="AD951" i="45"/>
  <c r="AE951" i="45" s="1"/>
  <c r="AI951" i="45" s="1"/>
  <c r="AD964" i="45"/>
  <c r="AE964" i="45" s="1"/>
  <c r="AI964" i="45" s="1"/>
  <c r="AD972" i="45"/>
  <c r="AE972" i="45" s="1"/>
  <c r="AI972" i="45" s="1"/>
  <c r="AD976" i="45"/>
  <c r="AE976" i="45" s="1"/>
  <c r="AI976" i="45" s="1"/>
  <c r="AD981" i="45"/>
  <c r="AE981" i="45" s="1"/>
  <c r="AI981" i="45" s="1"/>
  <c r="AD982" i="45"/>
  <c r="AE982" i="45" s="1"/>
  <c r="AI982" i="45" s="1"/>
  <c r="AD983" i="45"/>
  <c r="O988" i="45"/>
  <c r="O992" i="45"/>
  <c r="P992" i="45" s="1"/>
  <c r="O1000" i="45"/>
  <c r="P1000" i="45" s="1"/>
  <c r="O1004" i="45"/>
  <c r="P1004" i="45" s="1"/>
  <c r="O1005" i="45"/>
  <c r="P1005" i="45" s="1"/>
  <c r="AD1028" i="45"/>
  <c r="AE1028" i="45" s="1"/>
  <c r="AI1028" i="45" s="1"/>
  <c r="AD1031" i="45"/>
  <c r="AE1031" i="45" s="1"/>
  <c r="AI1031" i="45" s="1"/>
  <c r="AD1079" i="45"/>
  <c r="AE1079" i="45" s="1"/>
  <c r="AI1079" i="45" s="1"/>
  <c r="O1084" i="45"/>
  <c r="O1085" i="45"/>
  <c r="P1085" i="45" s="1"/>
  <c r="O1108" i="45"/>
  <c r="P1108" i="45" s="1"/>
  <c r="O1109" i="45"/>
  <c r="P1109" i="45" s="1"/>
  <c r="O1110" i="45"/>
  <c r="O1113" i="45"/>
  <c r="P1113" i="45" s="1"/>
  <c r="O1115" i="45"/>
  <c r="P1115" i="45" s="1"/>
  <c r="O1116" i="45"/>
  <c r="P1116" i="45" s="1"/>
  <c r="O1117" i="45"/>
  <c r="P1117" i="45" s="1"/>
  <c r="O1118" i="45"/>
  <c r="P1118" i="45" s="1"/>
  <c r="O1532" i="45"/>
  <c r="P1532" i="45" s="1"/>
  <c r="N1532" i="45"/>
  <c r="O1372" i="45"/>
  <c r="P1372" i="45" s="1"/>
  <c r="AD1391" i="45"/>
  <c r="AE1391" i="45" s="1"/>
  <c r="AD1426" i="45"/>
  <c r="AE1426" i="45" s="1"/>
  <c r="O1006" i="45"/>
  <c r="P1006" i="45" s="1"/>
  <c r="O1007" i="45"/>
  <c r="P1007" i="45" s="1"/>
  <c r="O1009" i="45"/>
  <c r="P1009" i="45" s="1"/>
  <c r="O1010" i="45"/>
  <c r="P1010" i="45" s="1"/>
  <c r="AG1010" i="45" s="1"/>
  <c r="AD1016" i="45"/>
  <c r="AE1016" i="45" s="1"/>
  <c r="AD1021" i="45"/>
  <c r="AE1021" i="45" s="1"/>
  <c r="AI1021" i="45" s="1"/>
  <c r="O1029" i="45"/>
  <c r="P1029" i="45" s="1"/>
  <c r="O1031" i="45"/>
  <c r="P1031" i="45" s="1"/>
  <c r="AG1031" i="45" s="1"/>
  <c r="AD1039" i="45"/>
  <c r="AE1039" i="45" s="1"/>
  <c r="AI1039" i="45" s="1"/>
  <c r="O1041" i="45"/>
  <c r="P1041" i="45" s="1"/>
  <c r="O1044" i="45"/>
  <c r="P1044" i="45" s="1"/>
  <c r="O1048" i="45"/>
  <c r="P1048" i="45" s="1"/>
  <c r="O1049" i="45"/>
  <c r="P1049" i="45" s="1"/>
  <c r="O1050" i="45"/>
  <c r="P1050" i="45" s="1"/>
  <c r="AD1056" i="45"/>
  <c r="AD1063" i="45"/>
  <c r="AE1063" i="45" s="1"/>
  <c r="AI1063" i="45" s="1"/>
  <c r="O1065" i="45"/>
  <c r="P1065" i="45" s="1"/>
  <c r="O1067" i="45"/>
  <c r="P1067" i="45" s="1"/>
  <c r="AD1070" i="45"/>
  <c r="AE1070" i="45" s="1"/>
  <c r="AI1070" i="45" s="1"/>
  <c r="AD1071" i="45"/>
  <c r="AE1071" i="45" s="1"/>
  <c r="AI1071" i="45" s="1"/>
  <c r="O1076" i="45"/>
  <c r="P1076" i="45" s="1"/>
  <c r="O1077" i="45"/>
  <c r="P1077" i="45" s="1"/>
  <c r="O1078" i="45"/>
  <c r="P1078" i="45" s="1"/>
  <c r="AD1085" i="45"/>
  <c r="AE1085" i="45" s="1"/>
  <c r="AI1085" i="45" s="1"/>
  <c r="AD1106" i="45"/>
  <c r="AE1106" i="45" s="1"/>
  <c r="AI1106" i="45" s="1"/>
  <c r="AD1126" i="45"/>
  <c r="AD1127" i="45"/>
  <c r="AE1127" i="45" s="1"/>
  <c r="AI1127" i="45" s="1"/>
  <c r="AD1134" i="45"/>
  <c r="AE1134" i="45" s="1"/>
  <c r="AI1134" i="45" s="1"/>
  <c r="O1198" i="45"/>
  <c r="P1198" i="45" s="1"/>
  <c r="AD1202" i="45"/>
  <c r="AD1252" i="45"/>
  <c r="AE1252" i="45" s="1"/>
  <c r="AG1252" i="45" s="1"/>
  <c r="I1550" i="45"/>
  <c r="K1529" i="45"/>
  <c r="AD1003" i="45"/>
  <c r="AE1003" i="45" s="1"/>
  <c r="AI1003" i="45" s="1"/>
  <c r="O1015" i="45"/>
  <c r="P1015" i="45" s="1"/>
  <c r="O1017" i="45"/>
  <c r="O1019" i="45"/>
  <c r="P1019" i="45" s="1"/>
  <c r="O1021" i="45"/>
  <c r="P1021" i="45" s="1"/>
  <c r="O1022" i="45"/>
  <c r="P1022" i="45" s="1"/>
  <c r="O1023" i="45"/>
  <c r="O1034" i="45"/>
  <c r="P1034" i="45" s="1"/>
  <c r="O1035" i="45"/>
  <c r="P1035" i="45" s="1"/>
  <c r="AD1042" i="45"/>
  <c r="AE1042" i="45" s="1"/>
  <c r="AI1042" i="45" s="1"/>
  <c r="O1053" i="45"/>
  <c r="P1053" i="45" s="1"/>
  <c r="O1057" i="45"/>
  <c r="P1057" i="45" s="1"/>
  <c r="O1058" i="45"/>
  <c r="P1058" i="45" s="1"/>
  <c r="AD1074" i="45"/>
  <c r="AD1075" i="45"/>
  <c r="AE1075" i="45" s="1"/>
  <c r="AI1075" i="45" s="1"/>
  <c r="O1082" i="45"/>
  <c r="P1082" i="45" s="1"/>
  <c r="AD1089" i="45"/>
  <c r="AD1090" i="45"/>
  <c r="AD1091" i="45"/>
  <c r="AE1091" i="45" s="1"/>
  <c r="AI1091" i="45" s="1"/>
  <c r="AD1093" i="45"/>
  <c r="AE1093" i="45" s="1"/>
  <c r="AI1093" i="45" s="1"/>
  <c r="AD1096" i="45"/>
  <c r="AE1096" i="45" s="1"/>
  <c r="AI1096" i="45" s="1"/>
  <c r="AD1099" i="45"/>
  <c r="AD1100" i="45"/>
  <c r="AD1101" i="45"/>
  <c r="AE1101" i="45" s="1"/>
  <c r="AI1101" i="45" s="1"/>
  <c r="O1105" i="45"/>
  <c r="P1105" i="45" s="1"/>
  <c r="AD1110" i="45"/>
  <c r="AE1110" i="45" s="1"/>
  <c r="AD1111" i="45"/>
  <c r="AE1111" i="45" s="1"/>
  <c r="AI1111" i="45" s="1"/>
  <c r="AD1114" i="45"/>
  <c r="AE1114" i="45" s="1"/>
  <c r="AI1114" i="45" s="1"/>
  <c r="AD1119" i="45"/>
  <c r="AE1119" i="45" s="1"/>
  <c r="AI1119" i="45" s="1"/>
  <c r="AD1120" i="45"/>
  <c r="AE1120" i="45" s="1"/>
  <c r="AI1120" i="45" s="1"/>
  <c r="O1124" i="45"/>
  <c r="P1124" i="45" s="1"/>
  <c r="O1125" i="45"/>
  <c r="P1125" i="45" s="1"/>
  <c r="O1126" i="45"/>
  <c r="P1126" i="45" s="1"/>
  <c r="O1129" i="45"/>
  <c r="P1129" i="45" s="1"/>
  <c r="O1130" i="45"/>
  <c r="P1130" i="45" s="1"/>
  <c r="O1131" i="45"/>
  <c r="P1131" i="45" s="1"/>
  <c r="O1134" i="45"/>
  <c r="P1134" i="45" s="1"/>
  <c r="O1135" i="45"/>
  <c r="P1135" i="45" s="1"/>
  <c r="AD1138" i="45"/>
  <c r="AD1143" i="45"/>
  <c r="AE1143" i="45" s="1"/>
  <c r="AI1143" i="45" s="1"/>
  <c r="AD1144" i="45"/>
  <c r="AE1144" i="45" s="1"/>
  <c r="AI1144" i="45" s="1"/>
  <c r="AD1151" i="45"/>
  <c r="AE1151" i="45" s="1"/>
  <c r="AI1151" i="45" s="1"/>
  <c r="AD1157" i="45"/>
  <c r="AE1157" i="45" s="1"/>
  <c r="AI1157" i="45" s="1"/>
  <c r="F1145" i="45"/>
  <c r="J1146" i="45"/>
  <c r="AD1171" i="45"/>
  <c r="AE1171" i="45" s="1"/>
  <c r="AD1181" i="45"/>
  <c r="AE1181" i="45" s="1"/>
  <c r="AI1181" i="45" s="1"/>
  <c r="AD1183" i="45"/>
  <c r="AE1183" i="45" s="1"/>
  <c r="AI1183" i="45" s="1"/>
  <c r="AD1185" i="45"/>
  <c r="AE1185" i="45" s="1"/>
  <c r="AI1185" i="45" s="1"/>
  <c r="C1145" i="45"/>
  <c r="W1145" i="45"/>
  <c r="AD1194" i="45"/>
  <c r="AE1194" i="45" s="1"/>
  <c r="AD1223" i="45"/>
  <c r="O1239" i="45"/>
  <c r="P1239" i="45" s="1"/>
  <c r="O1270" i="45"/>
  <c r="P1270" i="45" s="1"/>
  <c r="O1272" i="45"/>
  <c r="P1272" i="45" s="1"/>
  <c r="AD1282" i="45"/>
  <c r="AE1282" i="45" s="1"/>
  <c r="AG1282" i="45" s="1"/>
  <c r="AD1283" i="45"/>
  <c r="AD1375" i="45"/>
  <c r="AE1375" i="45" s="1"/>
  <c r="AD1410" i="45"/>
  <c r="AE1410" i="45" s="1"/>
  <c r="AD1442" i="45"/>
  <c r="AE1442" i="45" s="1"/>
  <c r="AD1153" i="45"/>
  <c r="AE1153" i="45" s="1"/>
  <c r="AI1153" i="45" s="1"/>
  <c r="AD1155" i="45"/>
  <c r="AE1155" i="45" s="1"/>
  <c r="AI1155" i="45" s="1"/>
  <c r="AA1145" i="45"/>
  <c r="O1168" i="45"/>
  <c r="P1168" i="45" s="1"/>
  <c r="O1169" i="45"/>
  <c r="P1169" i="45" s="1"/>
  <c r="O1177" i="45"/>
  <c r="P1177" i="45" s="1"/>
  <c r="O1184" i="45"/>
  <c r="P1184" i="45" s="1"/>
  <c r="AD1189" i="45"/>
  <c r="AE1189" i="45" s="1"/>
  <c r="AI1189" i="45" s="1"/>
  <c r="AD1190" i="45"/>
  <c r="AE1190" i="45" s="1"/>
  <c r="AI1190" i="45" s="1"/>
  <c r="O1194" i="45"/>
  <c r="O1196" i="45"/>
  <c r="P1196" i="45" s="1"/>
  <c r="O1221" i="45"/>
  <c r="P1221" i="45" s="1"/>
  <c r="O1230" i="45"/>
  <c r="P1230" i="45" s="1"/>
  <c r="AD1237" i="45"/>
  <c r="AE1237" i="45" s="1"/>
  <c r="AG1237" i="45" s="1"/>
  <c r="AD1238" i="45"/>
  <c r="AE1238" i="45" s="1"/>
  <c r="AG1238" i="45" s="1"/>
  <c r="AD1240" i="45"/>
  <c r="AE1240" i="45" s="1"/>
  <c r="AG1240" i="45" s="1"/>
  <c r="O1250" i="45"/>
  <c r="P1250" i="45" s="1"/>
  <c r="O1264" i="45"/>
  <c r="P1264" i="45" s="1"/>
  <c r="O1265" i="45"/>
  <c r="P1265" i="45" s="1"/>
  <c r="AD1273" i="45"/>
  <c r="AE1273" i="45" s="1"/>
  <c r="AG1273" i="45" s="1"/>
  <c r="O1279" i="45"/>
  <c r="P1279" i="45" s="1"/>
  <c r="O1280" i="45"/>
  <c r="P1280" i="45" s="1"/>
  <c r="O1281" i="45"/>
  <c r="P1281" i="45" s="1"/>
  <c r="O1295" i="45"/>
  <c r="P1295" i="45" s="1"/>
  <c r="O1297" i="45"/>
  <c r="P1297" i="45" s="1"/>
  <c r="AD1368" i="45"/>
  <c r="AE1368" i="45" s="1"/>
  <c r="AD1369" i="45"/>
  <c r="AE1369" i="45" s="1"/>
  <c r="AD1376" i="45"/>
  <c r="AE1376" i="45" s="1"/>
  <c r="AD1378" i="45"/>
  <c r="AE1378" i="45" s="1"/>
  <c r="AD1379" i="45"/>
  <c r="AE1379" i="45" s="1"/>
  <c r="AD1381" i="45"/>
  <c r="AE1381" i="45" s="1"/>
  <c r="AD1382" i="45"/>
  <c r="AE1382" i="45" s="1"/>
  <c r="O1391" i="45"/>
  <c r="AD1395" i="45"/>
  <c r="AE1395" i="45" s="1"/>
  <c r="AD1396" i="45"/>
  <c r="AE1396" i="45" s="1"/>
  <c r="AG1396" i="45" s="1"/>
  <c r="AD1397" i="45"/>
  <c r="AE1397" i="45" s="1"/>
  <c r="AD1398" i="45"/>
  <c r="AE1398" i="45" s="1"/>
  <c r="AD1399" i="45"/>
  <c r="AE1399" i="45" s="1"/>
  <c r="AD1401" i="45"/>
  <c r="AE1401" i="45" s="1"/>
  <c r="O1409" i="45"/>
  <c r="P1409" i="45" s="1"/>
  <c r="AG1409" i="45" s="1"/>
  <c r="O1410" i="45"/>
  <c r="O1411" i="45"/>
  <c r="P1411" i="45" s="1"/>
  <c r="AG1411" i="45" s="1"/>
  <c r="AD1414" i="45"/>
  <c r="AE1414" i="45" s="1"/>
  <c r="AD1416" i="45"/>
  <c r="AD1417" i="45"/>
  <c r="AE1417" i="45" s="1"/>
  <c r="AD1419" i="45"/>
  <c r="AE1419" i="45" s="1"/>
  <c r="O1425" i="45"/>
  <c r="AF1425" i="45" s="1"/>
  <c r="O1426" i="45"/>
  <c r="P1426" i="45" s="1"/>
  <c r="O1427" i="45"/>
  <c r="P1427" i="45" s="1"/>
  <c r="AD1430" i="45"/>
  <c r="AE1430" i="45" s="1"/>
  <c r="AD1432" i="45"/>
  <c r="O1442" i="45"/>
  <c r="P1442" i="45" s="1"/>
  <c r="O1236" i="45"/>
  <c r="P1236" i="45" s="1"/>
  <c r="O1238" i="45"/>
  <c r="P1238" i="45" s="1"/>
  <c r="AD1258" i="45"/>
  <c r="AE1258" i="45" s="1"/>
  <c r="AG1258" i="45" s="1"/>
  <c r="AD1263" i="45"/>
  <c r="AE1263" i="45" s="1"/>
  <c r="AG1263" i="45" s="1"/>
  <c r="AD1276" i="45"/>
  <c r="AE1276" i="45" s="1"/>
  <c r="AG1276" i="45" s="1"/>
  <c r="AD1278" i="45"/>
  <c r="AE1278" i="45" s="1"/>
  <c r="AG1278" i="45" s="1"/>
  <c r="O1284" i="45"/>
  <c r="P1284" i="45" s="1"/>
  <c r="AD1293" i="45"/>
  <c r="AE1293" i="45" s="1"/>
  <c r="AG1293" i="45" s="1"/>
  <c r="O1301" i="45"/>
  <c r="P1301" i="45" s="1"/>
  <c r="O1302" i="45"/>
  <c r="P1302" i="45" s="1"/>
  <c r="AD1354" i="45"/>
  <c r="O1364" i="45"/>
  <c r="P1364" i="45" s="1"/>
  <c r="AD1374" i="45"/>
  <c r="AE1374" i="45" s="1"/>
  <c r="AD1384" i="45"/>
  <c r="AE1384" i="45" s="1"/>
  <c r="AD1385" i="45"/>
  <c r="AE1385" i="45" s="1"/>
  <c r="AD1386" i="45"/>
  <c r="AE1386" i="45" s="1"/>
  <c r="O1395" i="45"/>
  <c r="P1395" i="45" s="1"/>
  <c r="AD1402" i="45"/>
  <c r="AE1402" i="45" s="1"/>
  <c r="AD1403" i="45"/>
  <c r="AE1403" i="45" s="1"/>
  <c r="AD1405" i="45"/>
  <c r="AE1405" i="45" s="1"/>
  <c r="O1413" i="45"/>
  <c r="O1414" i="45"/>
  <c r="O1415" i="45"/>
  <c r="P1415" i="45" s="1"/>
  <c r="AG1415" i="45" s="1"/>
  <c r="AD1420" i="45"/>
  <c r="AE1420" i="45" s="1"/>
  <c r="AD1421" i="45"/>
  <c r="AE1421" i="45" s="1"/>
  <c r="AD1423" i="45"/>
  <c r="AE1423" i="45" s="1"/>
  <c r="O1429" i="45"/>
  <c r="P1429" i="45" s="1"/>
  <c r="O1430" i="45"/>
  <c r="P1430" i="45" s="1"/>
  <c r="AD1435" i="45"/>
  <c r="AE1435" i="45" s="1"/>
  <c r="AG1435" i="45" s="1"/>
  <c r="O1444" i="45"/>
  <c r="P1444" i="45" s="1"/>
  <c r="O1445" i="45"/>
  <c r="P1445" i="45" s="1"/>
  <c r="AC1528" i="45"/>
  <c r="AE85" i="45"/>
  <c r="AE84" i="45" s="1"/>
  <c r="AD84" i="45"/>
  <c r="AI408" i="45"/>
  <c r="AE408" i="45"/>
  <c r="AF408" i="45" s="1"/>
  <c r="AF706" i="45"/>
  <c r="O130" i="45"/>
  <c r="AG587" i="45"/>
  <c r="AG590" i="45"/>
  <c r="AH751" i="45"/>
  <c r="AC754" i="45"/>
  <c r="AE973" i="45"/>
  <c r="AI973" i="45" s="1"/>
  <c r="AD1526" i="45"/>
  <c r="AE1526" i="45" s="1"/>
  <c r="AI1526" i="45" s="1"/>
  <c r="AC1526" i="45"/>
  <c r="O1541" i="45"/>
  <c r="N1541" i="45"/>
  <c r="O1545" i="45"/>
  <c r="AF1545" i="45" s="1"/>
  <c r="N1545" i="45"/>
  <c r="AD167" i="45"/>
  <c r="AE167" i="45" s="1"/>
  <c r="O234" i="45"/>
  <c r="P234" i="45" s="1"/>
  <c r="AC263" i="45"/>
  <c r="AG263" i="45"/>
  <c r="AD238" i="45"/>
  <c r="AE238" i="45" s="1"/>
  <c r="AI238" i="45" s="1"/>
  <c r="AD242" i="45"/>
  <c r="AE242" i="45" s="1"/>
  <c r="AI242" i="45" s="1"/>
  <c r="AD246" i="45"/>
  <c r="AE246" i="45" s="1"/>
  <c r="AI246" i="45" s="1"/>
  <c r="AD250" i="45"/>
  <c r="AE250" i="45" s="1"/>
  <c r="AI250" i="45" s="1"/>
  <c r="AG275" i="45"/>
  <c r="AG281" i="45"/>
  <c r="AG312" i="45"/>
  <c r="Z333" i="45"/>
  <c r="AG320" i="45"/>
  <c r="O368" i="45"/>
  <c r="P368" i="45" s="1"/>
  <c r="AD379" i="45"/>
  <c r="AE379" i="45" s="1"/>
  <c r="AD382" i="45"/>
  <c r="AD383" i="45"/>
  <c r="AI383" i="45" s="1"/>
  <c r="AD385" i="45"/>
  <c r="AE385" i="45" s="1"/>
  <c r="K389" i="45"/>
  <c r="O389" i="45" s="1"/>
  <c r="AD393" i="45"/>
  <c r="AE393" i="45" s="1"/>
  <c r="Z398" i="45"/>
  <c r="O400" i="45"/>
  <c r="P400" i="45" s="1"/>
  <c r="O403" i="45"/>
  <c r="P403" i="45" s="1"/>
  <c r="AD411" i="45"/>
  <c r="AE411" i="45" s="1"/>
  <c r="K423" i="45"/>
  <c r="AC423" i="45"/>
  <c r="AC418" i="45" s="1"/>
  <c r="Z560" i="45"/>
  <c r="AD573" i="45"/>
  <c r="AD574" i="45"/>
  <c r="AD575" i="45"/>
  <c r="AD576" i="45"/>
  <c r="O580" i="45"/>
  <c r="O582" i="45"/>
  <c r="O584" i="45"/>
  <c r="P599" i="45"/>
  <c r="P603" i="45"/>
  <c r="P605" i="45"/>
  <c r="O608" i="45"/>
  <c r="B613" i="45"/>
  <c r="O623" i="45"/>
  <c r="AF623" i="45" s="1"/>
  <c r="AE624" i="45"/>
  <c r="AG624" i="45" s="1"/>
  <c r="AD629" i="45"/>
  <c r="O635" i="45"/>
  <c r="AF635" i="45" s="1"/>
  <c r="AE636" i="45"/>
  <c r="AF655" i="45"/>
  <c r="AF660" i="45"/>
  <c r="AF682" i="45"/>
  <c r="AF685" i="45"/>
  <c r="AF690" i="45"/>
  <c r="AF721" i="45"/>
  <c r="AF727" i="45"/>
  <c r="AF731" i="45"/>
  <c r="AF737" i="45"/>
  <c r="AF741" i="45"/>
  <c r="K753" i="45"/>
  <c r="O753" i="45" s="1"/>
  <c r="Z753" i="45"/>
  <c r="U751" i="45"/>
  <c r="Y751" i="45"/>
  <c r="AD758" i="45"/>
  <c r="AE758" i="45" s="1"/>
  <c r="N759" i="45"/>
  <c r="O762" i="45"/>
  <c r="P762" i="45" s="1"/>
  <c r="K770" i="45"/>
  <c r="O770" i="45" s="1"/>
  <c r="P770" i="45" s="1"/>
  <c r="AD771" i="45"/>
  <c r="AE771" i="45" s="1"/>
  <c r="AI771" i="45" s="1"/>
  <c r="Z773" i="45"/>
  <c r="AD773" i="45" s="1"/>
  <c r="AE773" i="45" s="1"/>
  <c r="N777" i="45"/>
  <c r="N775" i="45" s="1"/>
  <c r="O778" i="45"/>
  <c r="P778" i="45" s="1"/>
  <c r="Z781" i="45"/>
  <c r="AD783" i="45"/>
  <c r="AE72" i="45"/>
  <c r="AH90" i="45"/>
  <c r="K34" i="45"/>
  <c r="Q90" i="45"/>
  <c r="K78" i="45"/>
  <c r="D396" i="45"/>
  <c r="D440" i="45" s="1"/>
  <c r="AD389" i="45"/>
  <c r="B418" i="45"/>
  <c r="AH418" i="45"/>
  <c r="AE573" i="45"/>
  <c r="B596" i="45"/>
  <c r="AE619" i="45"/>
  <c r="AF634" i="45"/>
  <c r="AF672" i="45"/>
  <c r="AF689" i="45"/>
  <c r="K743" i="45"/>
  <c r="AD743" i="45"/>
  <c r="L751" i="45"/>
  <c r="V751" i="45"/>
  <c r="T751" i="45"/>
  <c r="X751" i="45"/>
  <c r="AA90" i="45"/>
  <c r="S90" i="45"/>
  <c r="AC72" i="45"/>
  <c r="AC90" i="45" s="1"/>
  <c r="AD130" i="45"/>
  <c r="AD140" i="45"/>
  <c r="AE140" i="45" s="1"/>
  <c r="AD141" i="45"/>
  <c r="AE141" i="45" s="1"/>
  <c r="O143" i="45"/>
  <c r="P143" i="45" s="1"/>
  <c r="AD144" i="45"/>
  <c r="AE144" i="45" s="1"/>
  <c r="AD145" i="45"/>
  <c r="AE145" i="45" s="1"/>
  <c r="O149" i="45"/>
  <c r="P149" i="45" s="1"/>
  <c r="AD150" i="45"/>
  <c r="AE150" i="45" s="1"/>
  <c r="AD151" i="45"/>
  <c r="AE151" i="45" s="1"/>
  <c r="O153" i="45"/>
  <c r="P153" i="45" s="1"/>
  <c r="AD156" i="45"/>
  <c r="AE156" i="45" s="1"/>
  <c r="AD157" i="45"/>
  <c r="AE157" i="45" s="1"/>
  <c r="O159" i="45"/>
  <c r="P159" i="45" s="1"/>
  <c r="AD160" i="45"/>
  <c r="AE160" i="45" s="1"/>
  <c r="AD161" i="45"/>
  <c r="AE161" i="45" s="1"/>
  <c r="O163" i="45"/>
  <c r="P163" i="45" s="1"/>
  <c r="AD164" i="45"/>
  <c r="AE164" i="45" s="1"/>
  <c r="AD165" i="45"/>
  <c r="AE165" i="45" s="1"/>
  <c r="O167" i="45"/>
  <c r="P167" i="45" s="1"/>
  <c r="O238" i="45"/>
  <c r="P238" i="45" s="1"/>
  <c r="O242" i="45"/>
  <c r="P242" i="45" s="1"/>
  <c r="O246" i="45"/>
  <c r="P246" i="45" s="1"/>
  <c r="O250" i="45"/>
  <c r="P250" i="45" s="1"/>
  <c r="O254" i="45"/>
  <c r="P254" i="45" s="1"/>
  <c r="K299" i="45"/>
  <c r="AF278" i="45"/>
  <c r="AG280" i="45"/>
  <c r="AF284" i="45"/>
  <c r="AG288" i="45"/>
  <c r="O333" i="45"/>
  <c r="AE333" i="45"/>
  <c r="AG311" i="45"/>
  <c r="K333" i="45"/>
  <c r="AF315" i="45"/>
  <c r="AG317" i="45"/>
  <c r="AF321" i="45"/>
  <c r="AD368" i="45"/>
  <c r="AE368" i="45" s="1"/>
  <c r="B396" i="45"/>
  <c r="Q396" i="45"/>
  <c r="AD374" i="45"/>
  <c r="O379" i="45"/>
  <c r="P379" i="45" s="1"/>
  <c r="K381" i="45"/>
  <c r="O381" i="45" s="1"/>
  <c r="O382" i="45"/>
  <c r="P382" i="45" s="1"/>
  <c r="O383" i="45"/>
  <c r="P383" i="45" s="1"/>
  <c r="O385" i="45"/>
  <c r="P385" i="45" s="1"/>
  <c r="O393" i="45"/>
  <c r="P393" i="45" s="1"/>
  <c r="O411" i="45"/>
  <c r="P411" i="45" s="1"/>
  <c r="C418" i="45"/>
  <c r="R418" i="45"/>
  <c r="V418" i="45"/>
  <c r="V440" i="45" s="1"/>
  <c r="Z419" i="45"/>
  <c r="G418" i="45"/>
  <c r="G440" i="45" s="1"/>
  <c r="G1551" i="45" s="1"/>
  <c r="O428" i="45"/>
  <c r="AD433" i="45"/>
  <c r="AE433" i="45" s="1"/>
  <c r="O436" i="45"/>
  <c r="AD436" i="45"/>
  <c r="O450" i="45"/>
  <c r="Z598" i="45"/>
  <c r="Z644" i="45" s="1"/>
  <c r="P601" i="45"/>
  <c r="P619" i="45"/>
  <c r="AE622" i="45"/>
  <c r="P625" i="45"/>
  <c r="AH613" i="45"/>
  <c r="AD627" i="45"/>
  <c r="P631" i="45"/>
  <c r="AE634" i="45"/>
  <c r="P637" i="45"/>
  <c r="AF662" i="45"/>
  <c r="AF675" i="45"/>
  <c r="AF678" i="45"/>
  <c r="AF681" i="45"/>
  <c r="AF703" i="45"/>
  <c r="AG718" i="45"/>
  <c r="AG724" i="45"/>
  <c r="AG730" i="45"/>
  <c r="AG734" i="45"/>
  <c r="AG740" i="45"/>
  <c r="Q751" i="45"/>
  <c r="O758" i="45"/>
  <c r="P758" i="45" s="1"/>
  <c r="AD762" i="45"/>
  <c r="AE762" i="45" s="1"/>
  <c r="O767" i="45"/>
  <c r="P767" i="45" s="1"/>
  <c r="O771" i="45"/>
  <c r="P771" i="45" s="1"/>
  <c r="J775" i="45"/>
  <c r="AD778" i="45"/>
  <c r="K781" i="45"/>
  <c r="O985" i="45"/>
  <c r="P985" i="45" s="1"/>
  <c r="K978" i="45"/>
  <c r="AD788" i="45"/>
  <c r="AE788" i="45" s="1"/>
  <c r="AI788" i="45" s="1"/>
  <c r="B775" i="45"/>
  <c r="O802" i="45"/>
  <c r="P802" i="45" s="1"/>
  <c r="AD806" i="45"/>
  <c r="AD836" i="45"/>
  <c r="AD844" i="45"/>
  <c r="AE844" i="45" s="1"/>
  <c r="AI844" i="45" s="1"/>
  <c r="O868" i="45"/>
  <c r="P868" i="45" s="1"/>
  <c r="AD872" i="45"/>
  <c r="O876" i="45"/>
  <c r="P876" i="45" s="1"/>
  <c r="E775" i="45"/>
  <c r="I775" i="45"/>
  <c r="O895" i="45"/>
  <c r="P895" i="45" s="1"/>
  <c r="O899" i="45"/>
  <c r="P899" i="45" s="1"/>
  <c r="O911" i="45"/>
  <c r="P911" i="45" s="1"/>
  <c r="O915" i="45"/>
  <c r="P915" i="45" s="1"/>
  <c r="O920" i="45"/>
  <c r="P920" i="45" s="1"/>
  <c r="O924" i="45"/>
  <c r="P924" i="45" s="1"/>
  <c r="O936" i="45"/>
  <c r="P936" i="45" s="1"/>
  <c r="O940" i="45"/>
  <c r="P940" i="45" s="1"/>
  <c r="O952" i="45"/>
  <c r="P952" i="45" s="1"/>
  <c r="O956" i="45"/>
  <c r="P956" i="45" s="1"/>
  <c r="O971" i="45"/>
  <c r="P971" i="45" s="1"/>
  <c r="O811" i="45"/>
  <c r="P811" i="45" s="1"/>
  <c r="O815" i="45"/>
  <c r="P815" i="45" s="1"/>
  <c r="AD823" i="45"/>
  <c r="O827" i="45"/>
  <c r="P827" i="45" s="1"/>
  <c r="O831" i="45"/>
  <c r="P831" i="45" s="1"/>
  <c r="AD840" i="45"/>
  <c r="AF840" i="45" s="1"/>
  <c r="AD848" i="45"/>
  <c r="AE848" i="45" s="1"/>
  <c r="AI848" i="45" s="1"/>
  <c r="AD856" i="45"/>
  <c r="AE856" i="45" s="1"/>
  <c r="AI856" i="45" s="1"/>
  <c r="AD864" i="45"/>
  <c r="AE864" i="45" s="1"/>
  <c r="AI864" i="45" s="1"/>
  <c r="AD880" i="45"/>
  <c r="AE880" i="45" s="1"/>
  <c r="AI880" i="45" s="1"/>
  <c r="AD884" i="45"/>
  <c r="AD887" i="45"/>
  <c r="AE887" i="45" s="1"/>
  <c r="O891" i="45"/>
  <c r="P891" i="45" s="1"/>
  <c r="AD903" i="45"/>
  <c r="AE903" i="45" s="1"/>
  <c r="O907" i="45"/>
  <c r="P907" i="45" s="1"/>
  <c r="AD928" i="45"/>
  <c r="AE928" i="45" s="1"/>
  <c r="O932" i="45"/>
  <c r="P932" i="45" s="1"/>
  <c r="AD944" i="45"/>
  <c r="AE944" i="45" s="1"/>
  <c r="O948" i="45"/>
  <c r="P948" i="45" s="1"/>
  <c r="AD960" i="45"/>
  <c r="AF960" i="45" s="1"/>
  <c r="O964" i="45"/>
  <c r="AD1172" i="45"/>
  <c r="AE1172" i="45" s="1"/>
  <c r="AI1172" i="45" s="1"/>
  <c r="Z1170" i="45"/>
  <c r="AD786" i="45"/>
  <c r="AE786" i="45" s="1"/>
  <c r="AI786" i="45" s="1"/>
  <c r="O788" i="45"/>
  <c r="P788" i="45" s="1"/>
  <c r="AD790" i="45"/>
  <c r="O796" i="45"/>
  <c r="P796" i="45" s="1"/>
  <c r="AD797" i="45"/>
  <c r="AE797" i="45" s="1"/>
  <c r="AI797" i="45" s="1"/>
  <c r="O800" i="45"/>
  <c r="P800" i="45" s="1"/>
  <c r="AD802" i="45"/>
  <c r="AE802" i="45" s="1"/>
  <c r="O806" i="45"/>
  <c r="P806" i="45" s="1"/>
  <c r="AD809" i="45"/>
  <c r="AE809" i="45" s="1"/>
  <c r="AI809" i="45" s="1"/>
  <c r="AD814" i="45"/>
  <c r="AE814" i="45" s="1"/>
  <c r="AI814" i="45" s="1"/>
  <c r="O818" i="45"/>
  <c r="P818" i="45" s="1"/>
  <c r="O825" i="45"/>
  <c r="AD830" i="45"/>
  <c r="AE830" i="45" s="1"/>
  <c r="AI830" i="45" s="1"/>
  <c r="AD838" i="45"/>
  <c r="O839" i="45"/>
  <c r="P839" i="45" s="1"/>
  <c r="AD842" i="45"/>
  <c r="AD846" i="45"/>
  <c r="AD854" i="45"/>
  <c r="AD862" i="45"/>
  <c r="AD868" i="45"/>
  <c r="O872" i="45"/>
  <c r="P872" i="45" s="1"/>
  <c r="AD876" i="45"/>
  <c r="O879" i="45"/>
  <c r="P879" i="45" s="1"/>
  <c r="O883" i="45"/>
  <c r="P883" i="45" s="1"/>
  <c r="AD889" i="45"/>
  <c r="AE889" i="45" s="1"/>
  <c r="AI889" i="45" s="1"/>
  <c r="AD890" i="45"/>
  <c r="O893" i="45"/>
  <c r="P893" i="45" s="1"/>
  <c r="AD895" i="45"/>
  <c r="AE895" i="45" s="1"/>
  <c r="AI895" i="45" s="1"/>
  <c r="AD899" i="45"/>
  <c r="O902" i="45"/>
  <c r="P902" i="45" s="1"/>
  <c r="AD905" i="45"/>
  <c r="AE905" i="45" s="1"/>
  <c r="AI905" i="45" s="1"/>
  <c r="AD906" i="45"/>
  <c r="AE906" i="45" s="1"/>
  <c r="AI906" i="45" s="1"/>
  <c r="O909" i="45"/>
  <c r="P909" i="45" s="1"/>
  <c r="AD911" i="45"/>
  <c r="AD915" i="45"/>
  <c r="AE915" i="45" s="1"/>
  <c r="AI915" i="45" s="1"/>
  <c r="O918" i="45"/>
  <c r="P918" i="45" s="1"/>
  <c r="AD920" i="45"/>
  <c r="AE920" i="45" s="1"/>
  <c r="AI920" i="45" s="1"/>
  <c r="AD924" i="45"/>
  <c r="O927" i="45"/>
  <c r="P927" i="45" s="1"/>
  <c r="AD930" i="45"/>
  <c r="AE930" i="45" s="1"/>
  <c r="AI930" i="45" s="1"/>
  <c r="AD931" i="45"/>
  <c r="AE931" i="45" s="1"/>
  <c r="AI931" i="45" s="1"/>
  <c r="O934" i="45"/>
  <c r="P934" i="45" s="1"/>
  <c r="AD936" i="45"/>
  <c r="AE936" i="45" s="1"/>
  <c r="AI936" i="45" s="1"/>
  <c r="AD940" i="45"/>
  <c r="AE940" i="45" s="1"/>
  <c r="AI940" i="45" s="1"/>
  <c r="O943" i="45"/>
  <c r="P943" i="45" s="1"/>
  <c r="AD946" i="45"/>
  <c r="AE946" i="45" s="1"/>
  <c r="AI946" i="45" s="1"/>
  <c r="AD947" i="45"/>
  <c r="O950" i="45"/>
  <c r="P950" i="45" s="1"/>
  <c r="AD952" i="45"/>
  <c r="AE952" i="45" s="1"/>
  <c r="AI952" i="45" s="1"/>
  <c r="AD956" i="45"/>
  <c r="O959" i="45"/>
  <c r="AD962" i="45"/>
  <c r="AD963" i="45"/>
  <c r="AE963" i="45" s="1"/>
  <c r="AI963" i="45" s="1"/>
  <c r="O967" i="45"/>
  <c r="P967" i="45" s="1"/>
  <c r="O968" i="45"/>
  <c r="P968" i="45" s="1"/>
  <c r="O976" i="45"/>
  <c r="P976" i="45" s="1"/>
  <c r="O987" i="45"/>
  <c r="P987" i="45" s="1"/>
  <c r="O989" i="45"/>
  <c r="P989" i="45" s="1"/>
  <c r="AD1027" i="45"/>
  <c r="AE1027" i="45" s="1"/>
  <c r="Z1026" i="45"/>
  <c r="O999" i="45"/>
  <c r="P999" i="45" s="1"/>
  <c r="O1001" i="45"/>
  <c r="P1001" i="45" s="1"/>
  <c r="O1020" i="45"/>
  <c r="P1020" i="45" s="1"/>
  <c r="AD1024" i="45"/>
  <c r="AD1025" i="45"/>
  <c r="O1038" i="45"/>
  <c r="P1038" i="45" s="1"/>
  <c r="O1043" i="45"/>
  <c r="P1043" i="45" s="1"/>
  <c r="AD1045" i="45"/>
  <c r="O1051" i="45"/>
  <c r="P1051" i="45" s="1"/>
  <c r="AD1054" i="45"/>
  <c r="AD1060" i="45"/>
  <c r="AF1060" i="45" s="1"/>
  <c r="O1066" i="45"/>
  <c r="P1066" i="45" s="1"/>
  <c r="AD1072" i="45"/>
  <c r="AD1073" i="45"/>
  <c r="AE1073" i="45" s="1"/>
  <c r="AI1073" i="45" s="1"/>
  <c r="AD1080" i="45"/>
  <c r="AF1080" i="45" s="1"/>
  <c r="AD1086" i="45"/>
  <c r="AE1086" i="45" s="1"/>
  <c r="AI1086" i="45" s="1"/>
  <c r="AD1087" i="45"/>
  <c r="O1092" i="45"/>
  <c r="P1092" i="45" s="1"/>
  <c r="O1095" i="45"/>
  <c r="P1095" i="45" s="1"/>
  <c r="AD1105" i="45"/>
  <c r="AE1105" i="45" s="1"/>
  <c r="AI1105" i="45" s="1"/>
  <c r="O1111" i="45"/>
  <c r="P1111" i="45" s="1"/>
  <c r="AD1121" i="45"/>
  <c r="AE1121" i="45" s="1"/>
  <c r="AI1121" i="45" s="1"/>
  <c r="O1127" i="45"/>
  <c r="P1127" i="45" s="1"/>
  <c r="O1132" i="45"/>
  <c r="P1132" i="45" s="1"/>
  <c r="O1133" i="45"/>
  <c r="P1133" i="45" s="1"/>
  <c r="O1137" i="45"/>
  <c r="P1137" i="45" s="1"/>
  <c r="O1141" i="45"/>
  <c r="P1141" i="45" s="1"/>
  <c r="O1143" i="45"/>
  <c r="O1148" i="45"/>
  <c r="P1148" i="45" s="1"/>
  <c r="O1149" i="45"/>
  <c r="P1149" i="45" s="1"/>
  <c r="AG1149" i="45" s="1"/>
  <c r="O1151" i="45"/>
  <c r="P1151" i="45" s="1"/>
  <c r="H1145" i="45"/>
  <c r="AD1167" i="45"/>
  <c r="U1145" i="45"/>
  <c r="O1171" i="45"/>
  <c r="P1171" i="45" s="1"/>
  <c r="AD1175" i="45"/>
  <c r="AE1175" i="45" s="1"/>
  <c r="AI1175" i="45" s="1"/>
  <c r="O1185" i="45"/>
  <c r="P1185" i="45" s="1"/>
  <c r="O1189" i="45"/>
  <c r="P1189" i="45" s="1"/>
  <c r="AD1191" i="45"/>
  <c r="T1145" i="45"/>
  <c r="X1145" i="45"/>
  <c r="O1206" i="45"/>
  <c r="P1206" i="45" s="1"/>
  <c r="O1209" i="45"/>
  <c r="P1209" i="45" s="1"/>
  <c r="O1228" i="45"/>
  <c r="P1228" i="45" s="1"/>
  <c r="AD1229" i="45"/>
  <c r="AE1229" i="45" s="1"/>
  <c r="AG1229" i="45" s="1"/>
  <c r="O1248" i="45"/>
  <c r="P1248" i="45" s="1"/>
  <c r="O1523" i="45"/>
  <c r="N1523" i="45"/>
  <c r="AI1522" i="45"/>
  <c r="O969" i="45"/>
  <c r="AF969" i="45" s="1"/>
  <c r="AD971" i="45"/>
  <c r="AE971" i="45" s="1"/>
  <c r="AI971" i="45" s="1"/>
  <c r="AD975" i="45"/>
  <c r="AF975" i="45" s="1"/>
  <c r="O980" i="45"/>
  <c r="AD990" i="45"/>
  <c r="AE990" i="45" s="1"/>
  <c r="AI990" i="45" s="1"/>
  <c r="AD991" i="45"/>
  <c r="AE991" i="45" s="1"/>
  <c r="AI991" i="45" s="1"/>
  <c r="AD994" i="45"/>
  <c r="O996" i="45"/>
  <c r="O1003" i="45"/>
  <c r="P1003" i="45" s="1"/>
  <c r="AD1006" i="45"/>
  <c r="AD1007" i="45"/>
  <c r="AE1007" i="45" s="1"/>
  <c r="AI1007" i="45" s="1"/>
  <c r="O1011" i="45"/>
  <c r="P1011" i="45" s="1"/>
  <c r="O1013" i="45"/>
  <c r="P1013" i="45" s="1"/>
  <c r="O1016" i="45"/>
  <c r="P1016" i="45" s="1"/>
  <c r="O1046" i="45"/>
  <c r="P1046" i="45" s="1"/>
  <c r="AD1048" i="45"/>
  <c r="AD1050" i="45"/>
  <c r="AD1057" i="45"/>
  <c r="AE1057" i="45" s="1"/>
  <c r="AI1057" i="45" s="1"/>
  <c r="AD1062" i="45"/>
  <c r="O1074" i="45"/>
  <c r="P1074" i="45" s="1"/>
  <c r="O1075" i="45"/>
  <c r="P1075" i="45" s="1"/>
  <c r="AD1078" i="45"/>
  <c r="AE1078" i="45" s="1"/>
  <c r="AI1078" i="45" s="1"/>
  <c r="AD1083" i="45"/>
  <c r="AE1083" i="45" s="1"/>
  <c r="AI1083" i="45" s="1"/>
  <c r="O1086" i="45"/>
  <c r="P1086" i="45" s="1"/>
  <c r="AD1097" i="45"/>
  <c r="AE1097" i="45" s="1"/>
  <c r="AI1097" i="45" s="1"/>
  <c r="O1103" i="45"/>
  <c r="P1103" i="45" s="1"/>
  <c r="AD1113" i="45"/>
  <c r="AE1113" i="45" s="1"/>
  <c r="AI1113" i="45" s="1"/>
  <c r="O1119" i="45"/>
  <c r="P1119" i="45" s="1"/>
  <c r="AD1130" i="45"/>
  <c r="AE1130" i="45" s="1"/>
  <c r="AI1130" i="45" s="1"/>
  <c r="AD1131" i="45"/>
  <c r="AD1139" i="45"/>
  <c r="AE1139" i="45" s="1"/>
  <c r="AI1139" i="45" s="1"/>
  <c r="AH1145" i="45"/>
  <c r="AD1160" i="45"/>
  <c r="AE1160" i="45" s="1"/>
  <c r="AI1160" i="45" s="1"/>
  <c r="O1163" i="45"/>
  <c r="P1163" i="45" s="1"/>
  <c r="AD1169" i="45"/>
  <c r="N1170" i="45"/>
  <c r="O1175" i="45"/>
  <c r="P1175" i="45" s="1"/>
  <c r="O1176" i="45"/>
  <c r="P1176" i="45" s="1"/>
  <c r="AD1186" i="45"/>
  <c r="AE1186" i="45" s="1"/>
  <c r="AI1186" i="45" s="1"/>
  <c r="Z1303" i="45"/>
  <c r="AD1221" i="45"/>
  <c r="AE1221" i="45" s="1"/>
  <c r="AG1221" i="45" s="1"/>
  <c r="O1234" i="45"/>
  <c r="P1234" i="45" s="1"/>
  <c r="P1375" i="45"/>
  <c r="O1528" i="45"/>
  <c r="N1528" i="45"/>
  <c r="O1540" i="45"/>
  <c r="P1540" i="45" s="1"/>
  <c r="N1540" i="45"/>
  <c r="O1544" i="45"/>
  <c r="P1544" i="45" s="1"/>
  <c r="N1544" i="45"/>
  <c r="AD1156" i="45"/>
  <c r="AE1156" i="45" s="1"/>
  <c r="AI1156" i="45" s="1"/>
  <c r="N1178" i="45"/>
  <c r="O1202" i="45"/>
  <c r="P1202" i="45" s="1"/>
  <c r="AD1233" i="45"/>
  <c r="AE1233" i="45" s="1"/>
  <c r="AG1233" i="45" s="1"/>
  <c r="O1241" i="45"/>
  <c r="P1241" i="45" s="1"/>
  <c r="O1244" i="45"/>
  <c r="P1244" i="45" s="1"/>
  <c r="AD1246" i="45"/>
  <c r="AE1246" i="45" s="1"/>
  <c r="AG1246" i="45" s="1"/>
  <c r="D1550" i="45"/>
  <c r="K1522" i="45"/>
  <c r="O1522" i="45" s="1"/>
  <c r="P1522" i="45" s="1"/>
  <c r="AG1522" i="45" s="1"/>
  <c r="AH1550" i="45"/>
  <c r="O1539" i="45"/>
  <c r="N1539" i="45"/>
  <c r="O1543" i="45"/>
  <c r="AF1543" i="45" s="1"/>
  <c r="N1543" i="45"/>
  <c r="O974" i="45"/>
  <c r="P974" i="45" s="1"/>
  <c r="O982" i="45"/>
  <c r="P982" i="45" s="1"/>
  <c r="O983" i="45"/>
  <c r="P983" i="45" s="1"/>
  <c r="AD984" i="45"/>
  <c r="AE984" i="45" s="1"/>
  <c r="AI984" i="45" s="1"/>
  <c r="AD987" i="45"/>
  <c r="O990" i="45"/>
  <c r="P990" i="45" s="1"/>
  <c r="O991" i="45"/>
  <c r="P991" i="45" s="1"/>
  <c r="AD992" i="45"/>
  <c r="AE992" i="45" s="1"/>
  <c r="AI992" i="45" s="1"/>
  <c r="AD995" i="45"/>
  <c r="AE995" i="45" s="1"/>
  <c r="AI995" i="45" s="1"/>
  <c r="O998" i="45"/>
  <c r="P998" i="45" s="1"/>
  <c r="AD999" i="45"/>
  <c r="AE999" i="45" s="1"/>
  <c r="AI999" i="45" s="1"/>
  <c r="O1002" i="45"/>
  <c r="P1002" i="45" s="1"/>
  <c r="AD1004" i="45"/>
  <c r="AE1004" i="45" s="1"/>
  <c r="O1008" i="45"/>
  <c r="P1008" i="45" s="1"/>
  <c r="AD1011" i="45"/>
  <c r="AE1011" i="45" s="1"/>
  <c r="AI1011" i="45" s="1"/>
  <c r="O1014" i="45"/>
  <c r="P1014" i="45" s="1"/>
  <c r="AD1015" i="45"/>
  <c r="O1018" i="45"/>
  <c r="P1018" i="45" s="1"/>
  <c r="AD1020" i="45"/>
  <c r="AE1020" i="45" s="1"/>
  <c r="O1024" i="45"/>
  <c r="P1024" i="45" s="1"/>
  <c r="O1027" i="45"/>
  <c r="P1027" i="45" s="1"/>
  <c r="AD1029" i="45"/>
  <c r="AE1029" i="45" s="1"/>
  <c r="AI1029" i="45" s="1"/>
  <c r="AD1030" i="45"/>
  <c r="AE1030" i="45" s="1"/>
  <c r="AI1030" i="45" s="1"/>
  <c r="AD1032" i="45"/>
  <c r="AE1032" i="45" s="1"/>
  <c r="AI1032" i="45" s="1"/>
  <c r="AD1034" i="45"/>
  <c r="O1036" i="45"/>
  <c r="P1036" i="45" s="1"/>
  <c r="AD1038" i="45"/>
  <c r="AE1038" i="45" s="1"/>
  <c r="AI1038" i="45" s="1"/>
  <c r="O1042" i="45"/>
  <c r="AD1047" i="45"/>
  <c r="AE1047" i="45" s="1"/>
  <c r="AI1047" i="45" s="1"/>
  <c r="O1054" i="45"/>
  <c r="P1054" i="45" s="1"/>
  <c r="O1059" i="45"/>
  <c r="P1059" i="45" s="1"/>
  <c r="AD1064" i="45"/>
  <c r="AE1064" i="45" s="1"/>
  <c r="AI1064" i="45" s="1"/>
  <c r="AD1066" i="45"/>
  <c r="O1068" i="45"/>
  <c r="P1068" i="45" s="1"/>
  <c r="O1072" i="45"/>
  <c r="P1072" i="45" s="1"/>
  <c r="AD1076" i="45"/>
  <c r="O1079" i="45"/>
  <c r="P1079" i="45" s="1"/>
  <c r="O1083" i="45"/>
  <c r="P1083" i="45" s="1"/>
  <c r="O1088" i="45"/>
  <c r="P1088" i="45" s="1"/>
  <c r="AD1092" i="45"/>
  <c r="AE1092" i="45" s="1"/>
  <c r="AI1092" i="45" s="1"/>
  <c r="O1096" i="45"/>
  <c r="O1098" i="45"/>
  <c r="P1098" i="45" s="1"/>
  <c r="O1104" i="45"/>
  <c r="O1106" i="45"/>
  <c r="P1106" i="45" s="1"/>
  <c r="O1112" i="45"/>
  <c r="O1114" i="45"/>
  <c r="P1114" i="45" s="1"/>
  <c r="O1120" i="45"/>
  <c r="O1122" i="45"/>
  <c r="P1122" i="45" s="1"/>
  <c r="O1128" i="45"/>
  <c r="P1128" i="45" s="1"/>
  <c r="AD1129" i="45"/>
  <c r="AE1129" i="45" s="1"/>
  <c r="O1136" i="45"/>
  <c r="P1136" i="45" s="1"/>
  <c r="AD1137" i="45"/>
  <c r="AE1137" i="45" s="1"/>
  <c r="AI1137" i="45" s="1"/>
  <c r="O1140" i="45"/>
  <c r="P1140" i="45" s="1"/>
  <c r="AD1142" i="45"/>
  <c r="Q1145" i="45"/>
  <c r="AD1150" i="45"/>
  <c r="AE1150" i="45" s="1"/>
  <c r="O1153" i="45"/>
  <c r="O1161" i="45"/>
  <c r="P1161" i="45" s="1"/>
  <c r="AC1158" i="45"/>
  <c r="AD1163" i="45"/>
  <c r="AE1163" i="45" s="1"/>
  <c r="AI1163" i="45" s="1"/>
  <c r="AD1165" i="45"/>
  <c r="AE1165" i="45" s="1"/>
  <c r="AI1165" i="45" s="1"/>
  <c r="AD1174" i="45"/>
  <c r="AD1176" i="45"/>
  <c r="AD1180" i="45"/>
  <c r="AE1180" i="45" s="1"/>
  <c r="AI1180" i="45" s="1"/>
  <c r="O1187" i="45"/>
  <c r="P1187" i="45" s="1"/>
  <c r="O1192" i="45"/>
  <c r="P1192" i="45" s="1"/>
  <c r="O1197" i="45"/>
  <c r="P1197" i="45" s="1"/>
  <c r="AD1200" i="45"/>
  <c r="AE1200" i="45" s="1"/>
  <c r="AI1200" i="45" s="1"/>
  <c r="AD1201" i="45"/>
  <c r="AE1201" i="45" s="1"/>
  <c r="AI1201" i="45" s="1"/>
  <c r="O1204" i="45"/>
  <c r="P1204" i="45" s="1"/>
  <c r="AD1206" i="45"/>
  <c r="O1223" i="45"/>
  <c r="P1223" i="45" s="1"/>
  <c r="O1225" i="45"/>
  <c r="P1225" i="45" s="1"/>
  <c r="AD1226" i="45"/>
  <c r="AE1226" i="45" s="1"/>
  <c r="AG1226" i="45" s="1"/>
  <c r="AD1228" i="45"/>
  <c r="AE1228" i="45" s="1"/>
  <c r="AG1228" i="45" s="1"/>
  <c r="O1229" i="45"/>
  <c r="P1229" i="45" s="1"/>
  <c r="AD1235" i="45"/>
  <c r="AE1235" i="45" s="1"/>
  <c r="AG1235" i="45" s="1"/>
  <c r="AD1236" i="45"/>
  <c r="AE1236" i="45" s="1"/>
  <c r="AG1236" i="45" s="1"/>
  <c r="O1237" i="45"/>
  <c r="P1237" i="45" s="1"/>
  <c r="AD1239" i="45"/>
  <c r="AE1239" i="45" s="1"/>
  <c r="AG1239" i="45" s="1"/>
  <c r="AD1254" i="45"/>
  <c r="AE1254" i="45" s="1"/>
  <c r="AG1254" i="45" s="1"/>
  <c r="AD1262" i="45"/>
  <c r="AE1262" i="45" s="1"/>
  <c r="AG1262" i="45" s="1"/>
  <c r="O1266" i="45"/>
  <c r="P1266" i="45" s="1"/>
  <c r="AD1272" i="45"/>
  <c r="AE1272" i="45" s="1"/>
  <c r="AG1272" i="45" s="1"/>
  <c r="O1276" i="45"/>
  <c r="P1276" i="45" s="1"/>
  <c r="AD1281" i="45"/>
  <c r="AE1281" i="45" s="1"/>
  <c r="AG1281" i="45" s="1"/>
  <c r="O1286" i="45"/>
  <c r="P1286" i="45" s="1"/>
  <c r="AD1291" i="45"/>
  <c r="AE1291" i="45" s="1"/>
  <c r="AG1291" i="45" s="1"/>
  <c r="O1298" i="45"/>
  <c r="P1298" i="45" s="1"/>
  <c r="AD1302" i="45"/>
  <c r="AE1302" i="45" s="1"/>
  <c r="AG1302" i="45" s="1"/>
  <c r="AD1525" i="45"/>
  <c r="AE1525" i="45" s="1"/>
  <c r="AI1525" i="45" s="1"/>
  <c r="AC1525" i="45"/>
  <c r="AD1538" i="45"/>
  <c r="AE1538" i="45" s="1"/>
  <c r="AI1538" i="45" s="1"/>
  <c r="AC1538" i="45"/>
  <c r="O1542" i="45"/>
  <c r="P1542" i="45" s="1"/>
  <c r="N1542" i="45"/>
  <c r="AA1550" i="45"/>
  <c r="O1240" i="45"/>
  <c r="P1240" i="45" s="1"/>
  <c r="AD1241" i="45"/>
  <c r="AE1241" i="45" s="1"/>
  <c r="AG1241" i="45" s="1"/>
  <c r="AD1242" i="45"/>
  <c r="AE1242" i="45" s="1"/>
  <c r="AG1242" i="45" s="1"/>
  <c r="O1252" i="45"/>
  <c r="P1252" i="45" s="1"/>
  <c r="O1254" i="45"/>
  <c r="P1254" i="45" s="1"/>
  <c r="AD1256" i="45"/>
  <c r="AE1256" i="45" s="1"/>
  <c r="AG1256" i="45" s="1"/>
  <c r="O1257" i="45"/>
  <c r="P1257" i="45" s="1"/>
  <c r="O1258" i="45"/>
  <c r="P1258" i="45" s="1"/>
  <c r="AG1318" i="45"/>
  <c r="P1320" i="45"/>
  <c r="AG1320" i="45" s="1"/>
  <c r="AD1429" i="45"/>
  <c r="AE1429" i="45" s="1"/>
  <c r="O1431" i="45"/>
  <c r="P1431" i="45" s="1"/>
  <c r="AD1433" i="45"/>
  <c r="AE1433" i="45" s="1"/>
  <c r="AD1512" i="45"/>
  <c r="L1550" i="45"/>
  <c r="X1550" i="45"/>
  <c r="AD1245" i="45"/>
  <c r="AE1245" i="45" s="1"/>
  <c r="AG1245" i="45" s="1"/>
  <c r="O1246" i="45"/>
  <c r="P1246" i="45" s="1"/>
  <c r="AD1248" i="45"/>
  <c r="AE1248" i="45" s="1"/>
  <c r="AG1248" i="45" s="1"/>
  <c r="AD1250" i="45"/>
  <c r="AE1250" i="45" s="1"/>
  <c r="AG1250" i="45" s="1"/>
  <c r="AD1261" i="45"/>
  <c r="AE1261" i="45" s="1"/>
  <c r="AG1261" i="45" s="1"/>
  <c r="AD1265" i="45"/>
  <c r="AE1265" i="45" s="1"/>
  <c r="AG1265" i="45" s="1"/>
  <c r="O1267" i="45"/>
  <c r="P1267" i="45" s="1"/>
  <c r="AD1270" i="45"/>
  <c r="AE1270" i="45" s="1"/>
  <c r="AG1270" i="45" s="1"/>
  <c r="O1273" i="45"/>
  <c r="P1273" i="45" s="1"/>
  <c r="AD1275" i="45"/>
  <c r="AE1275" i="45" s="1"/>
  <c r="AG1275" i="45" s="1"/>
  <c r="O1278" i="45"/>
  <c r="P1278" i="45" s="1"/>
  <c r="AD1280" i="45"/>
  <c r="O1282" i="45"/>
  <c r="P1282" i="45" s="1"/>
  <c r="AD1284" i="45"/>
  <c r="AE1284" i="45" s="1"/>
  <c r="AG1284" i="45" s="1"/>
  <c r="O1287" i="45"/>
  <c r="P1287" i="45" s="1"/>
  <c r="AD1289" i="45"/>
  <c r="AE1289" i="45" s="1"/>
  <c r="AG1289" i="45" s="1"/>
  <c r="O1293" i="45"/>
  <c r="P1293" i="45" s="1"/>
  <c r="AD1297" i="45"/>
  <c r="AE1297" i="45" s="1"/>
  <c r="AG1297" i="45" s="1"/>
  <c r="O1299" i="45"/>
  <c r="P1299" i="45" s="1"/>
  <c r="AD1301" i="45"/>
  <c r="AE1301" i="45" s="1"/>
  <c r="AG1301" i="45" s="1"/>
  <c r="O1365" i="45"/>
  <c r="P1365" i="45" s="1"/>
  <c r="AD1367" i="45"/>
  <c r="AE1367" i="45" s="1"/>
  <c r="O1369" i="45"/>
  <c r="P1369" i="45" s="1"/>
  <c r="AD1373" i="45"/>
  <c r="AE1373" i="45" s="1"/>
  <c r="AG1373" i="45" s="1"/>
  <c r="O1379" i="45"/>
  <c r="O1380" i="45"/>
  <c r="P1380" i="45" s="1"/>
  <c r="O1381" i="45"/>
  <c r="P1381" i="45" s="1"/>
  <c r="O1382" i="45"/>
  <c r="P1382" i="45" s="1"/>
  <c r="O1385" i="45"/>
  <c r="P1385" i="45" s="1"/>
  <c r="O1386" i="45"/>
  <c r="O1389" i="45"/>
  <c r="O1390" i="45"/>
  <c r="P1390" i="45" s="1"/>
  <c r="AG1390" i="45" s="1"/>
  <c r="O1393" i="45"/>
  <c r="AF1393" i="45" s="1"/>
  <c r="O1394" i="45"/>
  <c r="P1394" i="45" s="1"/>
  <c r="AG1394" i="45" s="1"/>
  <c r="O1397" i="45"/>
  <c r="O1398" i="45"/>
  <c r="AD1436" i="45"/>
  <c r="AE1436" i="45" s="1"/>
  <c r="AD1437" i="45"/>
  <c r="AE1437" i="45" s="1"/>
  <c r="AD1440" i="45"/>
  <c r="AE1440" i="45" s="1"/>
  <c r="AD1441" i="45"/>
  <c r="AE1441" i="45" s="1"/>
  <c r="AD1444" i="45"/>
  <c r="AE1444" i="45" s="1"/>
  <c r="AD1445" i="45"/>
  <c r="AE1445" i="45" s="1"/>
  <c r="O1521" i="45"/>
  <c r="AF1521" i="45" s="1"/>
  <c r="AC1524" i="45"/>
  <c r="I305" i="32"/>
  <c r="I93" i="32"/>
  <c r="I179" i="32"/>
  <c r="I201" i="32"/>
  <c r="C223" i="32"/>
  <c r="C288" i="32"/>
  <c r="I308" i="32"/>
  <c r="C23" i="32"/>
  <c r="G23" i="32"/>
  <c r="I16" i="32"/>
  <c r="H484" i="32"/>
  <c r="C71" i="32"/>
  <c r="E223" i="32"/>
  <c r="I220" i="32"/>
  <c r="H20" i="32"/>
  <c r="I219" i="32"/>
  <c r="I293" i="32"/>
  <c r="I298" i="32"/>
  <c r="I330" i="32"/>
  <c r="C483" i="32"/>
  <c r="M2019" i="53"/>
  <c r="M2020" i="53" s="1"/>
  <c r="M2202" i="53"/>
  <c r="N3052" i="53"/>
  <c r="M1717" i="53"/>
  <c r="M278" i="53"/>
  <c r="M298" i="53"/>
  <c r="M299" i="53" s="1"/>
  <c r="M347" i="53"/>
  <c r="M359" i="53"/>
  <c r="M494" i="53"/>
  <c r="M495" i="53" s="1"/>
  <c r="M567" i="53"/>
  <c r="M641" i="53" s="1"/>
  <c r="E641" i="53"/>
  <c r="P988" i="53"/>
  <c r="P989" i="53" s="1"/>
  <c r="M988" i="53"/>
  <c r="M989" i="53" s="1"/>
  <c r="P1927" i="53"/>
  <c r="P2019" i="53" s="1"/>
  <c r="P3052" i="53"/>
  <c r="P1717" i="53"/>
  <c r="P347" i="53"/>
  <c r="P755" i="53"/>
  <c r="P278" i="53"/>
  <c r="M328" i="53"/>
  <c r="M348" i="53" s="1"/>
  <c r="E348" i="53"/>
  <c r="P494" i="53"/>
  <c r="P495" i="53" s="1"/>
  <c r="P567" i="53"/>
  <c r="P641" i="53" s="1"/>
  <c r="P1925" i="53"/>
  <c r="P2871" i="53"/>
  <c r="E359" i="53"/>
  <c r="E435" i="53" s="1"/>
  <c r="AF73" i="45"/>
  <c r="AE44" i="45"/>
  <c r="AD59" i="45"/>
  <c r="O59" i="45"/>
  <c r="P355" i="45"/>
  <c r="AC398" i="45"/>
  <c r="AD403" i="45"/>
  <c r="AE403" i="45" s="1"/>
  <c r="AE637" i="45"/>
  <c r="AD637" i="45"/>
  <c r="AE641" i="45"/>
  <c r="AD641" i="45"/>
  <c r="AE15" i="45"/>
  <c r="AE19" i="45"/>
  <c r="P43" i="45"/>
  <c r="P59" i="45" s="1"/>
  <c r="C90" i="45"/>
  <c r="B90" i="45"/>
  <c r="L90" i="45"/>
  <c r="N72" i="45"/>
  <c r="N90" i="45" s="1"/>
  <c r="AG72" i="45"/>
  <c r="AG90" i="45" s="1"/>
  <c r="AI75" i="45"/>
  <c r="P76" i="45"/>
  <c r="AF76" i="45" s="1"/>
  <c r="Z81" i="45"/>
  <c r="AD82" i="45"/>
  <c r="AE99" i="45"/>
  <c r="AE130" i="45" s="1"/>
  <c r="O140" i="45"/>
  <c r="K170" i="45"/>
  <c r="P233" i="45"/>
  <c r="N263" i="45"/>
  <c r="O355" i="45"/>
  <c r="AD367" i="45"/>
  <c r="AE367" i="45" s="1"/>
  <c r="Z364" i="45"/>
  <c r="C396" i="45"/>
  <c r="AG396" i="45"/>
  <c r="AG440" i="45" s="1"/>
  <c r="AE387" i="45"/>
  <c r="AF387" i="45" s="1"/>
  <c r="AE392" i="45"/>
  <c r="O405" i="45"/>
  <c r="P405" i="45" s="1"/>
  <c r="K398" i="45"/>
  <c r="S418" i="45"/>
  <c r="W418" i="45"/>
  <c r="W440" i="45" s="1"/>
  <c r="O420" i="45"/>
  <c r="K419" i="45"/>
  <c r="E418" i="45"/>
  <c r="E440" i="45" s="1"/>
  <c r="E1551" i="45" s="1"/>
  <c r="I418" i="45"/>
  <c r="I440" i="45" s="1"/>
  <c r="M418" i="45"/>
  <c r="M440" i="45" s="1"/>
  <c r="M1551" i="45" s="1"/>
  <c r="K427" i="45"/>
  <c r="Z427" i="45"/>
  <c r="AD428" i="45"/>
  <c r="AF437" i="45"/>
  <c r="P436" i="45"/>
  <c r="AG588" i="45"/>
  <c r="AE592" i="45"/>
  <c r="AG592" i="45" s="1"/>
  <c r="AD592" i="45"/>
  <c r="AF605" i="45"/>
  <c r="AE616" i="45"/>
  <c r="AD616" i="45"/>
  <c r="AE618" i="45"/>
  <c r="AD618" i="45"/>
  <c r="AF30" i="45"/>
  <c r="Z34" i="45"/>
  <c r="Z59" i="45"/>
  <c r="O70" i="45"/>
  <c r="K69" i="45"/>
  <c r="N364" i="45"/>
  <c r="N396" i="45" s="1"/>
  <c r="O366" i="45"/>
  <c r="AD70" i="45"/>
  <c r="Z69" i="45"/>
  <c r="Z72" i="45"/>
  <c r="AD72" i="45" s="1"/>
  <c r="P78" i="45"/>
  <c r="Z78" i="45"/>
  <c r="AI79" i="45"/>
  <c r="AI78" i="45" s="1"/>
  <c r="O78" i="45"/>
  <c r="K263" i="45"/>
  <c r="AD235" i="45"/>
  <c r="AE235" i="45" s="1"/>
  <c r="AI235" i="45" s="1"/>
  <c r="AD239" i="45"/>
  <c r="AE239" i="45" s="1"/>
  <c r="AI239" i="45" s="1"/>
  <c r="AD243" i="45"/>
  <c r="AE243" i="45" s="1"/>
  <c r="AI243" i="45" s="1"/>
  <c r="AD247" i="45"/>
  <c r="AE247" i="45" s="1"/>
  <c r="AI247" i="45" s="1"/>
  <c r="AD251" i="45"/>
  <c r="AE251" i="45" s="1"/>
  <c r="AI251" i="45" s="1"/>
  <c r="O299" i="45"/>
  <c r="AF274" i="45"/>
  <c r="AI274" i="45"/>
  <c r="AI299" i="45" s="1"/>
  <c r="AE299" i="45"/>
  <c r="AD333" i="45"/>
  <c r="P333" i="45"/>
  <c r="AC355" i="45"/>
  <c r="AC364" i="45"/>
  <c r="AC396" i="45" s="1"/>
  <c r="AD366" i="45"/>
  <c r="AH396" i="45"/>
  <c r="L396" i="45"/>
  <c r="O433" i="45"/>
  <c r="P433" i="45" s="1"/>
  <c r="N431" i="45"/>
  <c r="N418" i="45" s="1"/>
  <c r="K436" i="45"/>
  <c r="I644" i="45"/>
  <c r="K598" i="45"/>
  <c r="K644" i="45" s="1"/>
  <c r="AE611" i="45"/>
  <c r="AD611" i="45"/>
  <c r="AE639" i="45"/>
  <c r="AD639" i="45"/>
  <c r="AE642" i="45"/>
  <c r="AD642" i="45"/>
  <c r="AI73" i="45"/>
  <c r="O72" i="45"/>
  <c r="P74" i="45"/>
  <c r="AF74" i="45" s="1"/>
  <c r="AI74" i="45"/>
  <c r="Z170" i="45"/>
  <c r="N34" i="45"/>
  <c r="AC34" i="45"/>
  <c r="R90" i="45"/>
  <c r="K81" i="45"/>
  <c r="O82" i="45"/>
  <c r="P130" i="45"/>
  <c r="AD234" i="45"/>
  <c r="AE234" i="45" s="1"/>
  <c r="AI234" i="45" s="1"/>
  <c r="Z263" i="45"/>
  <c r="P299" i="45"/>
  <c r="N355" i="45"/>
  <c r="O367" i="45"/>
  <c r="P367" i="45" s="1"/>
  <c r="K364" i="45"/>
  <c r="K373" i="45"/>
  <c r="O373" i="45" s="1"/>
  <c r="O374" i="45"/>
  <c r="P374" i="45" s="1"/>
  <c r="Q418" i="45"/>
  <c r="U418" i="45"/>
  <c r="U440" i="45" s="1"/>
  <c r="Y418" i="45"/>
  <c r="Y440" i="45" s="1"/>
  <c r="P573" i="45"/>
  <c r="O573" i="45"/>
  <c r="P574" i="45"/>
  <c r="AG574" i="45" s="1"/>
  <c r="O574" i="45"/>
  <c r="P575" i="45"/>
  <c r="AG575" i="45" s="1"/>
  <c r="O575" i="45"/>
  <c r="P576" i="45"/>
  <c r="AG576" i="45" s="1"/>
  <c r="O576" i="45"/>
  <c r="AE601" i="45"/>
  <c r="AD601" i="45"/>
  <c r="AF601" i="45" s="1"/>
  <c r="P610" i="45"/>
  <c r="O610" i="45"/>
  <c r="AE615" i="45"/>
  <c r="AD615" i="45"/>
  <c r="AE617" i="45"/>
  <c r="AD617" i="45"/>
  <c r="O743" i="45"/>
  <c r="AI717" i="45"/>
  <c r="AI743" i="45" s="1"/>
  <c r="AE743" i="45"/>
  <c r="S766" i="45"/>
  <c r="Z770" i="45"/>
  <c r="AD770" i="45" s="1"/>
  <c r="AF789" i="45"/>
  <c r="K355" i="45"/>
  <c r="R396" i="45"/>
  <c r="AE602" i="45"/>
  <c r="AD602" i="45"/>
  <c r="AF602" i="45" s="1"/>
  <c r="AG607" i="45"/>
  <c r="AF722" i="45"/>
  <c r="AF728" i="45"/>
  <c r="AF732" i="45"/>
  <c r="AF738" i="45"/>
  <c r="AF742" i="45"/>
  <c r="O755" i="45"/>
  <c r="N754" i="45"/>
  <c r="Z756" i="45"/>
  <c r="R754" i="45"/>
  <c r="S759" i="45"/>
  <c r="AD767" i="45"/>
  <c r="D766" i="45"/>
  <c r="D751" i="45" s="1"/>
  <c r="K772" i="45"/>
  <c r="O772" i="45" s="1"/>
  <c r="P772" i="45" s="1"/>
  <c r="K777" i="45"/>
  <c r="K792" i="45"/>
  <c r="C791" i="45"/>
  <c r="C775" i="45" s="1"/>
  <c r="O797" i="45"/>
  <c r="K793" i="45"/>
  <c r="AE845" i="45"/>
  <c r="AI845" i="45" s="1"/>
  <c r="K59" i="45"/>
  <c r="AG274" i="45"/>
  <c r="AI310" i="45"/>
  <c r="AI333" i="45" s="1"/>
  <c r="AE438" i="45"/>
  <c r="AF438" i="45" s="1"/>
  <c r="AD587" i="45"/>
  <c r="AD588" i="45"/>
  <c r="AD589" i="45"/>
  <c r="AD590" i="45"/>
  <c r="AF590" i="45" s="1"/>
  <c r="O592" i="45"/>
  <c r="AE599" i="45"/>
  <c r="AD599" i="45"/>
  <c r="AF599" i="45" s="1"/>
  <c r="AE603" i="45"/>
  <c r="AD603" i="45"/>
  <c r="AF603" i="45" s="1"/>
  <c r="O607" i="45"/>
  <c r="P611" i="45"/>
  <c r="O611" i="45"/>
  <c r="AD625" i="45"/>
  <c r="AF625" i="45" s="1"/>
  <c r="P627" i="45"/>
  <c r="AG627" i="45" s="1"/>
  <c r="O627" i="45"/>
  <c r="P628" i="45"/>
  <c r="O628" i="45"/>
  <c r="P629" i="45"/>
  <c r="AG629" i="45" s="1"/>
  <c r="O629" i="45"/>
  <c r="P630" i="45"/>
  <c r="AG630" i="45" s="1"/>
  <c r="O630" i="45"/>
  <c r="O637" i="45"/>
  <c r="Z708" i="45"/>
  <c r="AD653" i="45"/>
  <c r="AD708" i="45" s="1"/>
  <c r="AF677" i="45"/>
  <c r="AF684" i="45"/>
  <c r="AF692" i="45"/>
  <c r="AF697" i="45"/>
  <c r="AF700" i="45"/>
  <c r="AF702" i="45"/>
  <c r="AF705" i="45"/>
  <c r="AC759" i="45"/>
  <c r="B751" i="45"/>
  <c r="AF769" i="45"/>
  <c r="AE769" i="45"/>
  <c r="Z777" i="45"/>
  <c r="R775" i="45"/>
  <c r="K784" i="45"/>
  <c r="P785" i="45"/>
  <c r="AC791" i="45"/>
  <c r="AC775" i="45" s="1"/>
  <c r="AA775" i="45"/>
  <c r="AE794" i="45"/>
  <c r="O835" i="45"/>
  <c r="K834" i="45"/>
  <c r="AF858" i="45"/>
  <c r="AE600" i="45"/>
  <c r="AD600" i="45"/>
  <c r="AF600" i="45" s="1"/>
  <c r="AE604" i="45"/>
  <c r="AD604" i="45"/>
  <c r="P615" i="45"/>
  <c r="O615" i="45"/>
  <c r="P616" i="45"/>
  <c r="O616" i="45"/>
  <c r="P617" i="45"/>
  <c r="O617" i="45"/>
  <c r="P618" i="45"/>
  <c r="O618" i="45"/>
  <c r="AE631" i="45"/>
  <c r="P639" i="45"/>
  <c r="O639" i="45"/>
  <c r="P641" i="45"/>
  <c r="O641" i="45"/>
  <c r="P642" i="45"/>
  <c r="O642" i="45"/>
  <c r="AF657" i="45"/>
  <c r="AF658" i="45"/>
  <c r="AF667" i="45"/>
  <c r="AF670" i="45"/>
  <c r="AF676" i="45"/>
  <c r="AF679" i="45"/>
  <c r="AF683" i="45"/>
  <c r="AF691" i="45"/>
  <c r="AF704" i="45"/>
  <c r="AA751" i="45"/>
  <c r="AD768" i="45"/>
  <c r="AC766" i="45"/>
  <c r="Y775" i="45"/>
  <c r="AH775" i="45"/>
  <c r="AD787" i="45"/>
  <c r="Z784" i="45"/>
  <c r="AE937" i="45"/>
  <c r="AI937" i="45" s="1"/>
  <c r="R708" i="45"/>
  <c r="AF828" i="45"/>
  <c r="Z885" i="45"/>
  <c r="AD886" i="45"/>
  <c r="AE908" i="45"/>
  <c r="AI908" i="45" s="1"/>
  <c r="R766" i="45"/>
  <c r="Z792" i="45"/>
  <c r="Z793" i="45"/>
  <c r="AE828" i="45"/>
  <c r="AI828" i="45" s="1"/>
  <c r="Z834" i="45"/>
  <c r="AD835" i="45"/>
  <c r="AD843" i="45"/>
  <c r="O847" i="45"/>
  <c r="P847" i="45" s="1"/>
  <c r="AD851" i="45"/>
  <c r="O855" i="45"/>
  <c r="P855" i="45" s="1"/>
  <c r="AD859" i="45"/>
  <c r="O863" i="45"/>
  <c r="P863" i="45" s="1"/>
  <c r="AE866" i="45"/>
  <c r="AI866" i="45" s="1"/>
  <c r="AE942" i="45"/>
  <c r="AI942" i="45" s="1"/>
  <c r="AE948" i="45"/>
  <c r="AI948" i="45" s="1"/>
  <c r="K673" i="45"/>
  <c r="O673" i="45" s="1"/>
  <c r="AF673" i="45" s="1"/>
  <c r="AD810" i="45"/>
  <c r="O814" i="45"/>
  <c r="P814" i="45" s="1"/>
  <c r="AD818" i="45"/>
  <c r="O822" i="45"/>
  <c r="P822" i="45" s="1"/>
  <c r="AG822" i="45" s="1"/>
  <c r="AD826" i="45"/>
  <c r="O830" i="45"/>
  <c r="P830" i="45" s="1"/>
  <c r="AE852" i="45"/>
  <c r="AI852" i="45" s="1"/>
  <c r="AF869" i="45"/>
  <c r="O886" i="45"/>
  <c r="K885" i="45"/>
  <c r="AD919" i="45"/>
  <c r="Z916" i="45"/>
  <c r="Z978" i="45"/>
  <c r="AD979" i="45"/>
  <c r="AE1088" i="45"/>
  <c r="AF1122" i="45"/>
  <c r="AE1122" i="45"/>
  <c r="AI1122" i="45" s="1"/>
  <c r="AE961" i="45"/>
  <c r="AI961" i="45" s="1"/>
  <c r="AE985" i="45"/>
  <c r="AI985" i="45" s="1"/>
  <c r="AE997" i="45"/>
  <c r="AI997" i="45" s="1"/>
  <c r="AE1090" i="45"/>
  <c r="AI1090" i="45" s="1"/>
  <c r="K916" i="45"/>
  <c r="AD966" i="45"/>
  <c r="O970" i="45"/>
  <c r="P970" i="45" s="1"/>
  <c r="AD974" i="45"/>
  <c r="AE1018" i="45"/>
  <c r="AI1018" i="45" s="1"/>
  <c r="AE1024" i="45"/>
  <c r="AE1074" i="45"/>
  <c r="AI1074" i="45" s="1"/>
  <c r="AE1095" i="45"/>
  <c r="AI1095" i="45" s="1"/>
  <c r="AF1108" i="45"/>
  <c r="AE1108" i="45"/>
  <c r="AI1108" i="45" s="1"/>
  <c r="AE1081" i="45"/>
  <c r="AI1081" i="45" s="1"/>
  <c r="AE1084" i="45"/>
  <c r="AI1084" i="45" s="1"/>
  <c r="K1026" i="45"/>
  <c r="O1030" i="45"/>
  <c r="AE1118" i="45"/>
  <c r="AI1118" i="45" s="1"/>
  <c r="AE1148" i="45"/>
  <c r="AI1148" i="45" s="1"/>
  <c r="AF1033" i="45"/>
  <c r="AD1035" i="45"/>
  <c r="O1039" i="45"/>
  <c r="P1039" i="45" s="1"/>
  <c r="AD1043" i="45"/>
  <c r="O1047" i="45"/>
  <c r="P1047" i="45" s="1"/>
  <c r="AD1051" i="45"/>
  <c r="O1055" i="45"/>
  <c r="P1055" i="45" s="1"/>
  <c r="AG1055" i="45" s="1"/>
  <c r="AD1059" i="45"/>
  <c r="O1063" i="45"/>
  <c r="P1063" i="45" s="1"/>
  <c r="AD1067" i="45"/>
  <c r="AE1098" i="45"/>
  <c r="AI1098" i="45" s="1"/>
  <c r="AE1116" i="45"/>
  <c r="AI1116" i="45" s="1"/>
  <c r="O1166" i="45"/>
  <c r="P1166" i="45" s="1"/>
  <c r="K1158" i="45"/>
  <c r="K1178" i="45"/>
  <c r="Z1193" i="45"/>
  <c r="AD1198" i="45"/>
  <c r="AC1193" i="45"/>
  <c r="O1256" i="45"/>
  <c r="P1256" i="45" s="1"/>
  <c r="AE1147" i="45"/>
  <c r="O1172" i="45"/>
  <c r="P1172" i="45" s="1"/>
  <c r="K1170" i="45"/>
  <c r="P1179" i="45"/>
  <c r="AD1154" i="45"/>
  <c r="O1155" i="45"/>
  <c r="P1155" i="45" s="1"/>
  <c r="AD1161" i="45"/>
  <c r="Z1158" i="45"/>
  <c r="O1162" i="45"/>
  <c r="P1162" i="45" s="1"/>
  <c r="AD1166" i="45"/>
  <c r="AC1170" i="45"/>
  <c r="AC1178" i="45"/>
  <c r="N1193" i="45"/>
  <c r="AE1203" i="45"/>
  <c r="AI1203" i="45" s="1"/>
  <c r="O1154" i="45"/>
  <c r="P1154" i="45" s="1"/>
  <c r="N1158" i="45"/>
  <c r="AE1159" i="45"/>
  <c r="O1173" i="45"/>
  <c r="P1173" i="45" s="1"/>
  <c r="AD1177" i="45"/>
  <c r="AD1179" i="45"/>
  <c r="Z1178" i="45"/>
  <c r="O1180" i="45"/>
  <c r="P1180" i="45" s="1"/>
  <c r="AD1184" i="45"/>
  <c r="O1188" i="45"/>
  <c r="P1188" i="45" s="1"/>
  <c r="AG1188" i="45" s="1"/>
  <c r="AD1192" i="45"/>
  <c r="Z1207" i="45"/>
  <c r="AD1208" i="45"/>
  <c r="AC1303" i="45"/>
  <c r="AD1220" i="45"/>
  <c r="AF1220" i="45" s="1"/>
  <c r="O1263" i="45"/>
  <c r="P1263" i="45" s="1"/>
  <c r="O1208" i="45"/>
  <c r="K1207" i="45"/>
  <c r="AD1209" i="45"/>
  <c r="AC1207" i="45"/>
  <c r="N1303" i="45"/>
  <c r="O1220" i="45"/>
  <c r="O1261" i="45"/>
  <c r="P1261" i="45" s="1"/>
  <c r="AF1411" i="45"/>
  <c r="AF1419" i="45"/>
  <c r="AF1225" i="45"/>
  <c r="AF1260" i="45"/>
  <c r="R1354" i="45"/>
  <c r="AD1312" i="45"/>
  <c r="AF1348" i="45"/>
  <c r="AE1348" i="45"/>
  <c r="AG1348" i="45" s="1"/>
  <c r="Z1448" i="45"/>
  <c r="AD1363" i="45"/>
  <c r="AF1278" i="45"/>
  <c r="AD1380" i="45"/>
  <c r="AE1380" i="45" s="1"/>
  <c r="K1303" i="45"/>
  <c r="AF1269" i="45"/>
  <c r="AF1300" i="45"/>
  <c r="K1448" i="45"/>
  <c r="O1363" i="45"/>
  <c r="O1378" i="45"/>
  <c r="AF1383" i="45"/>
  <c r="AF1318" i="45"/>
  <c r="N1448" i="45"/>
  <c r="AC1448" i="45"/>
  <c r="AG1399" i="45"/>
  <c r="AG1392" i="45"/>
  <c r="AF1392" i="45"/>
  <c r="P1437" i="45"/>
  <c r="AI1521" i="45"/>
  <c r="O1526" i="45"/>
  <c r="N1526" i="45"/>
  <c r="P1538" i="45"/>
  <c r="K1512" i="45"/>
  <c r="O1457" i="45"/>
  <c r="O1512" i="45" s="1"/>
  <c r="Z1512" i="45"/>
  <c r="AC1522" i="45"/>
  <c r="P1414" i="45"/>
  <c r="P1418" i="45"/>
  <c r="P1420" i="45"/>
  <c r="P1424" i="45"/>
  <c r="AG1424" i="45" s="1"/>
  <c r="Z1550" i="45"/>
  <c r="AC1523" i="45"/>
  <c r="AD1527" i="45"/>
  <c r="AE1527" i="45" s="1"/>
  <c r="AI1527" i="45" s="1"/>
  <c r="AC1527" i="45"/>
  <c r="AD1530" i="45"/>
  <c r="AE1530" i="45" s="1"/>
  <c r="AI1530" i="45" s="1"/>
  <c r="AC1530" i="45"/>
  <c r="AF1532" i="45"/>
  <c r="AD1532" i="45"/>
  <c r="AE1532" i="45" s="1"/>
  <c r="AI1532" i="45" s="1"/>
  <c r="AC1532" i="45"/>
  <c r="AF1534" i="45"/>
  <c r="AD1534" i="45"/>
  <c r="AE1534" i="45" s="1"/>
  <c r="AI1534" i="45" s="1"/>
  <c r="AC1534" i="45"/>
  <c r="AF1536" i="45"/>
  <c r="AD1536" i="45"/>
  <c r="AE1536" i="45" s="1"/>
  <c r="AI1536" i="45" s="1"/>
  <c r="AC1536" i="45"/>
  <c r="AD1539" i="45"/>
  <c r="AE1539" i="45" s="1"/>
  <c r="AI1539" i="45" s="1"/>
  <c r="AC1539" i="45"/>
  <c r="AD1541" i="45"/>
  <c r="AE1541" i="45" s="1"/>
  <c r="AI1541" i="45" s="1"/>
  <c r="AC1541" i="45"/>
  <c r="AD1543" i="45"/>
  <c r="AE1543" i="45" s="1"/>
  <c r="AI1543" i="45" s="1"/>
  <c r="AC1543" i="45"/>
  <c r="AD1545" i="45"/>
  <c r="AE1545" i="45" s="1"/>
  <c r="AI1545" i="45" s="1"/>
  <c r="AC1545" i="45"/>
  <c r="N1548" i="45"/>
  <c r="O1525" i="45"/>
  <c r="N1525" i="45"/>
  <c r="P1547" i="45"/>
  <c r="AF1547" i="45"/>
  <c r="AD1547" i="45"/>
  <c r="AE1547" i="45" s="1"/>
  <c r="AI1547" i="45" s="1"/>
  <c r="AC1547" i="45"/>
  <c r="AC1521" i="45"/>
  <c r="AD1529" i="45"/>
  <c r="AE1529" i="45" s="1"/>
  <c r="AI1529" i="45" s="1"/>
  <c r="AC1529" i="45"/>
  <c r="P1531" i="45"/>
  <c r="AF1531" i="45"/>
  <c r="AD1531" i="45"/>
  <c r="AE1531" i="45" s="1"/>
  <c r="AI1531" i="45" s="1"/>
  <c r="AC1531" i="45"/>
  <c r="AD1533" i="45"/>
  <c r="AE1533" i="45" s="1"/>
  <c r="AI1533" i="45" s="1"/>
  <c r="AC1533" i="45"/>
  <c r="P1535" i="45"/>
  <c r="AF1535" i="45"/>
  <c r="AD1535" i="45"/>
  <c r="AE1535" i="45" s="1"/>
  <c r="AI1535" i="45" s="1"/>
  <c r="AC1535" i="45"/>
  <c r="P1537" i="45"/>
  <c r="AF1537" i="45"/>
  <c r="AD1537" i="45"/>
  <c r="AE1537" i="45" s="1"/>
  <c r="AI1537" i="45" s="1"/>
  <c r="AC1537" i="45"/>
  <c r="AD1540" i="45"/>
  <c r="AE1540" i="45" s="1"/>
  <c r="AI1540" i="45" s="1"/>
  <c r="AC1540" i="45"/>
  <c r="AD1542" i="45"/>
  <c r="AE1542" i="45" s="1"/>
  <c r="AI1542" i="45" s="1"/>
  <c r="AC1542" i="45"/>
  <c r="AD1544" i="45"/>
  <c r="AE1544" i="45" s="1"/>
  <c r="AI1544" i="45" s="1"/>
  <c r="AC1544" i="45"/>
  <c r="P1548" i="45"/>
  <c r="AF1548" i="45"/>
  <c r="AD1548" i="45"/>
  <c r="AE1548" i="45" s="1"/>
  <c r="AI1548" i="45" s="1"/>
  <c r="AC1548" i="45"/>
  <c r="N1521" i="45"/>
  <c r="AF1527" i="45"/>
  <c r="N1549" i="45"/>
  <c r="AC1549" i="45"/>
  <c r="G309" i="32"/>
  <c r="E483" i="32"/>
  <c r="E23" i="32"/>
  <c r="I20" i="32"/>
  <c r="D484" i="32"/>
  <c r="G223" i="32"/>
  <c r="I417" i="32"/>
  <c r="G438" i="32"/>
  <c r="I353" i="32"/>
  <c r="H7" i="32"/>
  <c r="H12" i="32"/>
  <c r="H16" i="32"/>
  <c r="G71" i="32"/>
  <c r="I206" i="32"/>
  <c r="I223" i="32" s="1"/>
  <c r="I266" i="32"/>
  <c r="I374" i="32"/>
  <c r="G483" i="32"/>
  <c r="I480" i="32"/>
  <c r="G29" i="32"/>
  <c r="I309" i="32"/>
  <c r="C45" i="32"/>
  <c r="C309" i="32"/>
  <c r="E38" i="32"/>
  <c r="E45" i="32" s="1"/>
  <c r="I422" i="32"/>
  <c r="I438" i="32" s="1"/>
  <c r="I472" i="32"/>
  <c r="I7" i="32"/>
  <c r="K623" i="60"/>
  <c r="K678" i="60"/>
  <c r="V56" i="60"/>
  <c r="V65" i="60" s="1"/>
  <c r="L438" i="60"/>
  <c r="L442" i="60" s="1"/>
  <c r="V520" i="60"/>
  <c r="W520" i="60" s="1"/>
  <c r="V634" i="60"/>
  <c r="O638" i="60"/>
  <c r="D521" i="60"/>
  <c r="K75" i="60"/>
  <c r="L75" i="60" s="1"/>
  <c r="L374" i="60"/>
  <c r="W363" i="60"/>
  <c r="W418" i="60"/>
  <c r="M693" i="60"/>
  <c r="W693" i="60" s="1"/>
  <c r="L831" i="60"/>
  <c r="L247" i="60"/>
  <c r="M342" i="60"/>
  <c r="M374" i="60"/>
  <c r="W357" i="60"/>
  <c r="W387" i="60"/>
  <c r="D442" i="60"/>
  <c r="B449" i="60"/>
  <c r="K500" i="60"/>
  <c r="L500" i="60" s="1"/>
  <c r="W515" i="60"/>
  <c r="K831" i="60"/>
  <c r="M79" i="60"/>
  <c r="V79" i="60" s="1"/>
  <c r="W79" i="60" s="1"/>
  <c r="B84" i="60"/>
  <c r="K84" i="60" s="1"/>
  <c r="L84" i="60" s="1"/>
  <c r="T146" i="60"/>
  <c r="U146" i="60"/>
  <c r="G342" i="60"/>
  <c r="W342" i="60"/>
  <c r="W349" i="60"/>
  <c r="W374" i="60" s="1"/>
  <c r="W412" i="60"/>
  <c r="K634" i="60"/>
  <c r="V831" i="60"/>
  <c r="K451" i="60"/>
  <c r="N449" i="60"/>
  <c r="N521" i="60" s="1"/>
  <c r="K81" i="60"/>
  <c r="K247" i="60"/>
  <c r="M506" i="60"/>
  <c r="M505" i="60" s="1"/>
  <c r="M84" i="60"/>
  <c r="M265" i="60"/>
  <c r="V265" i="60" s="1"/>
  <c r="W265" i="60" s="1"/>
  <c r="W301" i="60"/>
  <c r="H342" i="60"/>
  <c r="P342" i="60"/>
  <c r="P832" i="60" s="1"/>
  <c r="T342" i="60"/>
  <c r="B342" i="60"/>
  <c r="S342" i="60"/>
  <c r="S832" i="60" s="1"/>
  <c r="W406" i="60"/>
  <c r="K472" i="60"/>
  <c r="B488" i="60"/>
  <c r="V506" i="60"/>
  <c r="L506" i="60"/>
  <c r="B515" i="60"/>
  <c r="B505" i="60" s="1"/>
  <c r="B638" i="60"/>
  <c r="V623" i="60"/>
  <c r="V629" i="60"/>
  <c r="V678" i="60"/>
  <c r="U432" i="60"/>
  <c r="K113" i="60"/>
  <c r="C449" i="60"/>
  <c r="C521" i="60" s="1"/>
  <c r="K476" i="60"/>
  <c r="V481" i="60"/>
  <c r="W481" i="60" s="1"/>
  <c r="M638" i="60"/>
  <c r="O84" i="60"/>
  <c r="O96" i="60" s="1"/>
  <c r="W201" i="60"/>
  <c r="W217" i="60" s="1"/>
  <c r="W247" i="60"/>
  <c r="E342" i="60"/>
  <c r="I342" i="60"/>
  <c r="U342" i="60"/>
  <c r="C342" i="60"/>
  <c r="K342" i="60"/>
  <c r="O342" i="60"/>
  <c r="B374" i="60"/>
  <c r="W380" i="60"/>
  <c r="W400" i="60"/>
  <c r="W434" i="60"/>
  <c r="W442" i="60" s="1"/>
  <c r="L476" i="60"/>
  <c r="W638" i="60"/>
  <c r="K629" i="60"/>
  <c r="K638" i="60" s="1"/>
  <c r="M703" i="60"/>
  <c r="W703" i="60" s="1"/>
  <c r="K785" i="60"/>
  <c r="L262" i="60"/>
  <c r="M262" i="60"/>
  <c r="V262" i="60" s="1"/>
  <c r="W262" i="60" s="1"/>
  <c r="W473" i="60"/>
  <c r="W472" i="60" s="1"/>
  <c r="V472" i="60"/>
  <c r="M266" i="60"/>
  <c r="V266" i="60" s="1"/>
  <c r="W266" i="60" s="1"/>
  <c r="L266" i="60"/>
  <c r="L451" i="60"/>
  <c r="M36" i="60"/>
  <c r="W12" i="60"/>
  <c r="W36" i="60" s="1"/>
  <c r="L36" i="60"/>
  <c r="B96" i="60"/>
  <c r="K71" i="60"/>
  <c r="M254" i="60"/>
  <c r="V254" i="60" s="1"/>
  <c r="W254" i="60" s="1"/>
  <c r="K272" i="60"/>
  <c r="L254" i="60"/>
  <c r="W454" i="60"/>
  <c r="W451" i="60" s="1"/>
  <c r="V451" i="60"/>
  <c r="L467" i="60"/>
  <c r="W498" i="60"/>
  <c r="V11" i="60"/>
  <c r="V36" i="60" s="1"/>
  <c r="L255" i="60"/>
  <c r="M255" i="60"/>
  <c r="V255" i="60" s="1"/>
  <c r="W255" i="60" s="1"/>
  <c r="M260" i="60"/>
  <c r="V260" i="60" s="1"/>
  <c r="W260" i="60" s="1"/>
  <c r="L260" i="60"/>
  <c r="L432" i="60"/>
  <c r="L459" i="60"/>
  <c r="K467" i="60"/>
  <c r="W477" i="60"/>
  <c r="V476" i="60"/>
  <c r="W533" i="60"/>
  <c r="W583" i="60" s="1"/>
  <c r="V583" i="60"/>
  <c r="B36" i="60"/>
  <c r="K11" i="60"/>
  <c r="K36" i="60" s="1"/>
  <c r="V71" i="60"/>
  <c r="M261" i="60"/>
  <c r="V261" i="60" s="1"/>
  <c r="W261" i="60" s="1"/>
  <c r="L261" i="60"/>
  <c r="K459" i="60"/>
  <c r="V500" i="60"/>
  <c r="W500" i="60" s="1"/>
  <c r="V247" i="60"/>
  <c r="O521" i="60"/>
  <c r="K499" i="60"/>
  <c r="L499" i="60" s="1"/>
  <c r="L494" i="60" s="1"/>
  <c r="B494" i="60"/>
  <c r="L482" i="60"/>
  <c r="V493" i="60"/>
  <c r="W493" i="60" s="1"/>
  <c r="W488" i="60" s="1"/>
  <c r="J432" i="60"/>
  <c r="W459" i="60"/>
  <c r="W467" i="60"/>
  <c r="B482" i="60"/>
  <c r="K617" i="60"/>
  <c r="L785" i="60"/>
  <c r="M146" i="60"/>
  <c r="F342" i="60"/>
  <c r="J342" i="60"/>
  <c r="N342" i="60"/>
  <c r="R342" i="60"/>
  <c r="V342" i="60"/>
  <c r="V459" i="60"/>
  <c r="V467" i="60"/>
  <c r="B476" i="60"/>
  <c r="K482" i="60"/>
  <c r="V487" i="60"/>
  <c r="W487" i="60" s="1"/>
  <c r="W482" i="60" s="1"/>
  <c r="L490" i="60"/>
  <c r="L488" i="60" s="1"/>
  <c r="K488" i="60"/>
  <c r="M494" i="60"/>
  <c r="M475" i="60" s="1"/>
  <c r="V499" i="60"/>
  <c r="W499" i="60" s="1"/>
  <c r="W494" i="60" s="1"/>
  <c r="W506" i="60"/>
  <c r="V515" i="60"/>
  <c r="L583" i="60"/>
  <c r="K583" i="60"/>
  <c r="L638" i="60"/>
  <c r="D638" i="60"/>
  <c r="M685" i="60"/>
  <c r="L727" i="60"/>
  <c r="W785" i="60"/>
  <c r="W831" i="60"/>
  <c r="R832" i="60"/>
  <c r="K506" i="60"/>
  <c r="L516" i="60"/>
  <c r="L515" i="60" s="1"/>
  <c r="K515" i="60"/>
  <c r="W617" i="60"/>
  <c r="L698" i="60"/>
  <c r="L709" i="60" s="1"/>
  <c r="V785" i="60"/>
  <c r="AG801" i="45" l="1"/>
  <c r="AG1071" i="45"/>
  <c r="AF390" i="45"/>
  <c r="P435" i="53"/>
  <c r="P2020" i="53"/>
  <c r="P348" i="53"/>
  <c r="M521" i="60"/>
  <c r="J443" i="60"/>
  <c r="D832" i="60"/>
  <c r="K494" i="60"/>
  <c r="K475" i="60" s="1"/>
  <c r="P1545" i="45"/>
  <c r="AF1288" i="45"/>
  <c r="AF9" i="45"/>
  <c r="AF980" i="45"/>
  <c r="AF757" i="45"/>
  <c r="AA440" i="45"/>
  <c r="AF412" i="45"/>
  <c r="P1524" i="45"/>
  <c r="AG1524" i="45" s="1"/>
  <c r="AF1267" i="45"/>
  <c r="AF852" i="45"/>
  <c r="AG1164" i="45"/>
  <c r="AF977" i="45"/>
  <c r="AG1388" i="45"/>
  <c r="AG897" i="45"/>
  <c r="AF1533" i="45"/>
  <c r="P1412" i="45"/>
  <c r="AG1412" i="45" s="1"/>
  <c r="AF1248" i="45"/>
  <c r="AF1103" i="45"/>
  <c r="AF1102" i="45"/>
  <c r="AF755" i="45"/>
  <c r="AF241" i="45"/>
  <c r="AG871" i="45"/>
  <c r="AF245" i="45"/>
  <c r="AF380" i="45"/>
  <c r="AF1123" i="45"/>
  <c r="AF1159" i="45"/>
  <c r="AF841" i="45"/>
  <c r="AF14" i="45"/>
  <c r="AF244" i="45"/>
  <c r="AG1065" i="45"/>
  <c r="P1438" i="45"/>
  <c r="AG1438" i="45" s="1"/>
  <c r="AF1257" i="45"/>
  <c r="AF1255" i="45"/>
  <c r="AF972" i="45"/>
  <c r="AF1127" i="45"/>
  <c r="AF935" i="45"/>
  <c r="AF837" i="45"/>
  <c r="AF1167" i="45"/>
  <c r="AG1133" i="45"/>
  <c r="AF1025" i="45"/>
  <c r="AF908" i="45"/>
  <c r="AG761" i="45"/>
  <c r="AF29" i="45"/>
  <c r="AG863" i="45"/>
  <c r="AF801" i="45"/>
  <c r="AG1197" i="45"/>
  <c r="AF1242" i="45"/>
  <c r="AF1077" i="45"/>
  <c r="AF993" i="45"/>
  <c r="AF587" i="45"/>
  <c r="AG573" i="45"/>
  <c r="Z396" i="45"/>
  <c r="AF836" i="45"/>
  <c r="AG636" i="45"/>
  <c r="AF1099" i="45"/>
  <c r="AF1056" i="45"/>
  <c r="AF917" i="45"/>
  <c r="AG875" i="45"/>
  <c r="AF1366" i="45"/>
  <c r="AF377" i="45"/>
  <c r="AG1443" i="45"/>
  <c r="AF1423" i="45"/>
  <c r="AG1368" i="45"/>
  <c r="AF1164" i="45"/>
  <c r="AG765" i="45"/>
  <c r="AE29" i="45"/>
  <c r="AF253" i="45"/>
  <c r="AG1201" i="45"/>
  <c r="AG894" i="45"/>
  <c r="AG1384" i="45"/>
  <c r="AF1373" i="45"/>
  <c r="AG1419" i="45"/>
  <c r="AF1368" i="45"/>
  <c r="AF1115" i="45"/>
  <c r="AF1091" i="45"/>
  <c r="AF1010" i="45"/>
  <c r="AF765" i="45"/>
  <c r="AF433" i="45"/>
  <c r="AG1444" i="45"/>
  <c r="AF1379" i="45"/>
  <c r="AF1274" i="45"/>
  <c r="AF1048" i="45"/>
  <c r="AG1426" i="45"/>
  <c r="AF1263" i="45"/>
  <c r="AG26" i="45"/>
  <c r="AF780" i="45"/>
  <c r="AG1382" i="45"/>
  <c r="AF1439" i="45"/>
  <c r="AF1409" i="45"/>
  <c r="AF1118" i="45"/>
  <c r="AF1044" i="45"/>
  <c r="AF968" i="45"/>
  <c r="AF918" i="45"/>
  <c r="AG27" i="45"/>
  <c r="AF392" i="45"/>
  <c r="AG31" i="45"/>
  <c r="AF907" i="45"/>
  <c r="AF1540" i="45"/>
  <c r="AF1230" i="45"/>
  <c r="AF1029" i="45"/>
  <c r="P917" i="45"/>
  <c r="AG917" i="45" s="1"/>
  <c r="AG1383" i="45"/>
  <c r="AG1173" i="45"/>
  <c r="AG970" i="45"/>
  <c r="K754" i="45"/>
  <c r="AD777" i="45"/>
  <c r="AF937" i="45"/>
  <c r="P829" i="45"/>
  <c r="AG829" i="45" s="1"/>
  <c r="AF628" i="45"/>
  <c r="AG1418" i="45"/>
  <c r="AF1443" i="45"/>
  <c r="AG1377" i="45"/>
  <c r="AF1201" i="45"/>
  <c r="AF1190" i="45"/>
  <c r="AG1128" i="45"/>
  <c r="AF1148" i="45"/>
  <c r="AF1082" i="45"/>
  <c r="AF1125" i="45"/>
  <c r="AE907" i="45"/>
  <c r="AI907" i="45" s="1"/>
  <c r="AF914" i="45"/>
  <c r="AF805" i="45"/>
  <c r="AE386" i="45"/>
  <c r="AF386" i="45" s="1"/>
  <c r="AF936" i="45"/>
  <c r="AF250" i="45"/>
  <c r="O764" i="45"/>
  <c r="P764" i="45" s="1"/>
  <c r="P759" i="45" s="1"/>
  <c r="AG1427" i="45"/>
  <c r="AF1081" i="45"/>
  <c r="AF610" i="45"/>
  <c r="AF1364" i="45"/>
  <c r="AF1160" i="45"/>
  <c r="AF971" i="45"/>
  <c r="AF1399" i="45"/>
  <c r="AF1377" i="45"/>
  <c r="AF1302" i="45"/>
  <c r="AF1238" i="45"/>
  <c r="AG1423" i="45"/>
  <c r="AF1186" i="45"/>
  <c r="AF1156" i="45"/>
  <c r="AF1101" i="45"/>
  <c r="AE1048" i="45"/>
  <c r="AI1048" i="45" s="1"/>
  <c r="AF1019" i="45"/>
  <c r="AF900" i="45"/>
  <c r="AF853" i="45"/>
  <c r="AG631" i="45"/>
  <c r="AF629" i="45"/>
  <c r="AF573" i="45"/>
  <c r="AF27" i="45"/>
  <c r="AF25" i="45"/>
  <c r="AF1298" i="45"/>
  <c r="AF911" i="45"/>
  <c r="AE394" i="45"/>
  <c r="AE389" i="45" s="1"/>
  <c r="AF1089" i="45"/>
  <c r="AG857" i="45"/>
  <c r="AG622" i="45"/>
  <c r="AE431" i="45"/>
  <c r="AF1005" i="45"/>
  <c r="AG805" i="45"/>
  <c r="AG1422" i="45"/>
  <c r="AF888" i="45"/>
  <c r="AF861" i="45"/>
  <c r="AF609" i="45"/>
  <c r="AG1367" i="45"/>
  <c r="AF877" i="45"/>
  <c r="B1211" i="45"/>
  <c r="AF798" i="45"/>
  <c r="L440" i="45"/>
  <c r="AF1434" i="45"/>
  <c r="AF1121" i="45"/>
  <c r="AF956" i="45"/>
  <c r="AF924" i="45"/>
  <c r="AF813" i="45"/>
  <c r="AI414" i="45"/>
  <c r="AF1372" i="45"/>
  <c r="AF579" i="45"/>
  <c r="AF395" i="45"/>
  <c r="AF414" i="45"/>
  <c r="AF240" i="45"/>
  <c r="AG1190" i="45"/>
  <c r="P1521" i="45"/>
  <c r="AG1521" i="45" s="1"/>
  <c r="AF1182" i="45"/>
  <c r="AF1078" i="45"/>
  <c r="AF1009" i="45"/>
  <c r="AE1060" i="45"/>
  <c r="AI1060" i="45" s="1"/>
  <c r="AE888" i="45"/>
  <c r="AI888" i="45" s="1"/>
  <c r="AF857" i="45"/>
  <c r="AG1434" i="45"/>
  <c r="AF1279" i="45"/>
  <c r="AF1287" i="45"/>
  <c r="AF1250" i="45"/>
  <c r="AF1147" i="45"/>
  <c r="AF1151" i="45"/>
  <c r="AF1046" i="45"/>
  <c r="AE1005" i="45"/>
  <c r="AI1005" i="45" s="1"/>
  <c r="AF1085" i="45"/>
  <c r="AF1014" i="45"/>
  <c r="AF929" i="45"/>
  <c r="AF951" i="45"/>
  <c r="AF896" i="45"/>
  <c r="AG603" i="45"/>
  <c r="AE861" i="45"/>
  <c r="AI861" i="45" s="1"/>
  <c r="AF799" i="45"/>
  <c r="AE14" i="45"/>
  <c r="AG14" i="45" s="1"/>
  <c r="AG1365" i="45"/>
  <c r="AF1064" i="45"/>
  <c r="AG1014" i="45"/>
  <c r="AF992" i="45"/>
  <c r="AF1131" i="45"/>
  <c r="AG1046" i="45"/>
  <c r="AF1183" i="45"/>
  <c r="AG634" i="45"/>
  <c r="V1211" i="45"/>
  <c r="V1551" i="45" s="1"/>
  <c r="AF1410" i="45"/>
  <c r="AF1252" i="45"/>
  <c r="AF1194" i="45"/>
  <c r="AF949" i="45"/>
  <c r="AF850" i="45"/>
  <c r="AG1144" i="45"/>
  <c r="AF1052" i="45"/>
  <c r="AF804" i="45"/>
  <c r="AF1402" i="45"/>
  <c r="AF794" i="45"/>
  <c r="AF945" i="45"/>
  <c r="AF252" i="45"/>
  <c r="AF16" i="45"/>
  <c r="AG1033" i="45"/>
  <c r="AG1372" i="45"/>
  <c r="AF1299" i="45"/>
  <c r="AF1234" i="45"/>
  <c r="AF1415" i="45"/>
  <c r="AF1107" i="45"/>
  <c r="AF1388" i="45"/>
  <c r="AF1203" i="45"/>
  <c r="AE1080" i="45"/>
  <c r="AI1080" i="45" s="1"/>
  <c r="AE1056" i="45"/>
  <c r="AI1056" i="45" s="1"/>
  <c r="AF941" i="45"/>
  <c r="AF905" i="45"/>
  <c r="Z759" i="45"/>
  <c r="AF893" i="45"/>
  <c r="AF875" i="45"/>
  <c r="AG951" i="45"/>
  <c r="AF933" i="45"/>
  <c r="AF894" i="45"/>
  <c r="AF882" i="45"/>
  <c r="AF915" i="45"/>
  <c r="AG905" i="45"/>
  <c r="O781" i="45"/>
  <c r="AF630" i="45"/>
  <c r="AG30" i="45"/>
  <c r="AG1136" i="45"/>
  <c r="AF962" i="45"/>
  <c r="AF940" i="45"/>
  <c r="AF868" i="45"/>
  <c r="AF842" i="45"/>
  <c r="L1211" i="45"/>
  <c r="AG1430" i="45"/>
  <c r="AG1364" i="45"/>
  <c r="AG1442" i="45"/>
  <c r="AF1090" i="45"/>
  <c r="AG973" i="45"/>
  <c r="AG1405" i="45"/>
  <c r="AF1132" i="45"/>
  <c r="AF1069" i="45"/>
  <c r="AF255" i="45"/>
  <c r="AF876" i="45"/>
  <c r="AF1106" i="45"/>
  <c r="AG1376" i="45"/>
  <c r="AF934" i="45"/>
  <c r="AF899" i="45"/>
  <c r="AF989" i="45"/>
  <c r="AE924" i="45"/>
  <c r="AI924" i="45" s="1"/>
  <c r="AF1405" i="45"/>
  <c r="AF1387" i="45"/>
  <c r="AF1293" i="45"/>
  <c r="AF1150" i="45"/>
  <c r="AF1140" i="45"/>
  <c r="AE1099" i="45"/>
  <c r="AI1099" i="45" s="1"/>
  <c r="AF1135" i="45"/>
  <c r="AF1116" i="45"/>
  <c r="AG1063" i="45"/>
  <c r="AE1132" i="45"/>
  <c r="AI1132" i="45" s="1"/>
  <c r="AF1094" i="45"/>
  <c r="AF1037" i="45"/>
  <c r="AE1069" i="45"/>
  <c r="AI1069" i="45" s="1"/>
  <c r="AF1012" i="45"/>
  <c r="AF1071" i="45"/>
  <c r="AF1020" i="45"/>
  <c r="AF1001" i="45"/>
  <c r="AF860" i="45"/>
  <c r="AF832" i="45"/>
  <c r="AE945" i="45"/>
  <c r="AI945" i="45" s="1"/>
  <c r="AE949" i="45"/>
  <c r="AI949" i="45" s="1"/>
  <c r="AF923" i="45"/>
  <c r="AF898" i="45"/>
  <c r="AE778" i="45"/>
  <c r="AG778" i="45" s="1"/>
  <c r="AF761" i="45"/>
  <c r="K752" i="45"/>
  <c r="AF589" i="45"/>
  <c r="AE424" i="45"/>
  <c r="AE423" i="45" s="1"/>
  <c r="AI384" i="45"/>
  <c r="P424" i="45"/>
  <c r="P423" i="45" s="1"/>
  <c r="AF23" i="45"/>
  <c r="AF22" i="45"/>
  <c r="AF1386" i="45"/>
  <c r="AG1204" i="45"/>
  <c r="AF1024" i="45"/>
  <c r="AG918" i="45"/>
  <c r="AG883" i="45"/>
  <c r="AG1401" i="45"/>
  <c r="AF388" i="45"/>
  <c r="AG23" i="45"/>
  <c r="AF248" i="45"/>
  <c r="AF1074" i="45"/>
  <c r="AF1032" i="45"/>
  <c r="AE956" i="45"/>
  <c r="AI956" i="45" s="1"/>
  <c r="AF1206" i="45"/>
  <c r="AG1420" i="45"/>
  <c r="AG1400" i="45"/>
  <c r="P1366" i="45"/>
  <c r="AG1366" i="45" s="1"/>
  <c r="AF1381" i="45"/>
  <c r="AF1273" i="45"/>
  <c r="AE1131" i="45"/>
  <c r="AI1131" i="45" s="1"/>
  <c r="AF1256" i="45"/>
  <c r="AF1197" i="45"/>
  <c r="AF1144" i="45"/>
  <c r="AF1073" i="45"/>
  <c r="AF1031" i="45"/>
  <c r="AF1079" i="45"/>
  <c r="AF1028" i="45"/>
  <c r="AF957" i="45"/>
  <c r="AF931" i="45"/>
  <c r="AF865" i="45"/>
  <c r="AF897" i="45"/>
  <c r="AE836" i="45"/>
  <c r="AF808" i="45"/>
  <c r="AF803" i="45"/>
  <c r="AF604" i="45"/>
  <c r="AF782" i="45"/>
  <c r="AF795" i="45"/>
  <c r="AG786" i="45"/>
  <c r="AE16" i="45"/>
  <c r="AG16" i="45" s="1"/>
  <c r="AG1436" i="45"/>
  <c r="AF1295" i="45"/>
  <c r="AF1165" i="45"/>
  <c r="AG1140" i="45"/>
  <c r="AF903" i="45"/>
  <c r="AF880" i="45"/>
  <c r="AG1019" i="45"/>
  <c r="AG821" i="45"/>
  <c r="Q644" i="45"/>
  <c r="AF1098" i="45"/>
  <c r="AF953" i="45"/>
  <c r="AF839" i="45"/>
  <c r="AF881" i="45"/>
  <c r="AF257" i="45"/>
  <c r="AF1422" i="45"/>
  <c r="AF1418" i="45"/>
  <c r="AF406" i="45"/>
  <c r="AG1182" i="45"/>
  <c r="AF958" i="45"/>
  <c r="AI817" i="45"/>
  <c r="AG817" i="45"/>
  <c r="AF1544" i="45"/>
  <c r="P1402" i="45"/>
  <c r="AG1402" i="45" s="1"/>
  <c r="AF1284" i="45"/>
  <c r="AF1045" i="45"/>
  <c r="AF884" i="45"/>
  <c r="AF773" i="45"/>
  <c r="AF403" i="45"/>
  <c r="AI391" i="45"/>
  <c r="AF817" i="45"/>
  <c r="AF1040" i="45"/>
  <c r="AF873" i="45"/>
  <c r="AG1428" i="45"/>
  <c r="AG1429" i="45"/>
  <c r="P1379" i="45"/>
  <c r="AG1379" i="45" s="1"/>
  <c r="AF1141" i="45"/>
  <c r="AF1007" i="45"/>
  <c r="AF1113" i="45"/>
  <c r="AG889" i="45"/>
  <c r="AE785" i="45"/>
  <c r="AI785" i="45" s="1"/>
  <c r="P1408" i="45"/>
  <c r="AG1408" i="45" s="1"/>
  <c r="P1393" i="45"/>
  <c r="AG1393" i="45" s="1"/>
  <c r="AF1390" i="45"/>
  <c r="AF1236" i="45"/>
  <c r="AG1431" i="45"/>
  <c r="AF1376" i="45"/>
  <c r="AG1203" i="45"/>
  <c r="AF1246" i="45"/>
  <c r="AF1163" i="45"/>
  <c r="AG1077" i="45"/>
  <c r="AF1065" i="45"/>
  <c r="AF1041" i="45"/>
  <c r="AE1052" i="45"/>
  <c r="AI1052" i="45" s="1"/>
  <c r="AF1000" i="45"/>
  <c r="AE960" i="45"/>
  <c r="AF943" i="45"/>
  <c r="AF928" i="45"/>
  <c r="AF889" i="45"/>
  <c r="AF871" i="45"/>
  <c r="AE953" i="45"/>
  <c r="AI953" i="45" s="1"/>
  <c r="AF921" i="45"/>
  <c r="AE899" i="45"/>
  <c r="AI899" i="45" s="1"/>
  <c r="AE881" i="45"/>
  <c r="AI881" i="45" s="1"/>
  <c r="AG600" i="45"/>
  <c r="AF588" i="45"/>
  <c r="N751" i="45"/>
  <c r="AE850" i="45"/>
  <c r="AI850" i="45" s="1"/>
  <c r="AI405" i="45"/>
  <c r="AI378" i="45"/>
  <c r="S440" i="45"/>
  <c r="AF28" i="45"/>
  <c r="AF1076" i="45"/>
  <c r="AF1070" i="45"/>
  <c r="AF1404" i="45"/>
  <c r="AF1400" i="45"/>
  <c r="AF1444" i="45"/>
  <c r="P977" i="45"/>
  <c r="AG977" i="45" s="1"/>
  <c r="AF1004" i="45"/>
  <c r="AG931" i="45"/>
  <c r="AF809" i="45"/>
  <c r="AF1281" i="45"/>
  <c r="AF1247" i="45"/>
  <c r="P1194" i="45"/>
  <c r="P1193" i="45" s="1"/>
  <c r="AF1237" i="45"/>
  <c r="AF1157" i="45"/>
  <c r="AF1210" i="45"/>
  <c r="AF1200" i="45"/>
  <c r="AF1063" i="45"/>
  <c r="AG1039" i="45"/>
  <c r="AF1093" i="45"/>
  <c r="AG830" i="45"/>
  <c r="AF909" i="45"/>
  <c r="AG717" i="45"/>
  <c r="AG743" i="45" s="1"/>
  <c r="AF786" i="45"/>
  <c r="AG610" i="45"/>
  <c r="AF1431" i="45"/>
  <c r="AG972" i="45"/>
  <c r="AG1041" i="45"/>
  <c r="AG1007" i="45"/>
  <c r="AF21" i="45"/>
  <c r="AF391" i="45"/>
  <c r="P1541" i="45"/>
  <c r="AG1541" i="45" s="1"/>
  <c r="AF1541" i="45"/>
  <c r="AF1413" i="45"/>
  <c r="P1413" i="45"/>
  <c r="AG1413" i="45" s="1"/>
  <c r="P1391" i="45"/>
  <c r="AG1391" i="45" s="1"/>
  <c r="AF1391" i="45"/>
  <c r="AE1100" i="45"/>
  <c r="AI1100" i="45" s="1"/>
  <c r="AF1100" i="45"/>
  <c r="AF1130" i="45"/>
  <c r="AF1053" i="45"/>
  <c r="AI393" i="45"/>
  <c r="P1153" i="45"/>
  <c r="AG1153" i="45" s="1"/>
  <c r="AF1153" i="45"/>
  <c r="AE1015" i="45"/>
  <c r="AI1015" i="45" s="1"/>
  <c r="AF1015" i="45"/>
  <c r="AE987" i="45"/>
  <c r="AI987" i="45" s="1"/>
  <c r="AF987" i="45"/>
  <c r="P1539" i="45"/>
  <c r="AG1539" i="45" s="1"/>
  <c r="AF1539" i="45"/>
  <c r="P1143" i="45"/>
  <c r="AG1143" i="45" s="1"/>
  <c r="AF1143" i="45"/>
  <c r="AF823" i="45"/>
  <c r="AE823" i="45"/>
  <c r="AI823" i="45" s="1"/>
  <c r="AE783" i="45"/>
  <c r="AE781" i="45" s="1"/>
  <c r="AF783" i="45"/>
  <c r="AD753" i="45"/>
  <c r="AD752" i="45" s="1"/>
  <c r="Z752" i="45"/>
  <c r="AG1091" i="45"/>
  <c r="AF1427" i="45"/>
  <c r="P1410" i="45"/>
  <c r="AG1410" i="45" s="1"/>
  <c r="AF1435" i="45"/>
  <c r="AF1421" i="45"/>
  <c r="AI44" i="45"/>
  <c r="AI59" i="45" s="1"/>
  <c r="AE59" i="45"/>
  <c r="P1397" i="45"/>
  <c r="AG1397" i="45" s="1"/>
  <c r="AF1397" i="45"/>
  <c r="AF1389" i="45"/>
  <c r="P1389" i="45"/>
  <c r="AG1389" i="45" s="1"/>
  <c r="AE1280" i="45"/>
  <c r="AG1280" i="45" s="1"/>
  <c r="AF1280" i="45"/>
  <c r="AF1027" i="45"/>
  <c r="AE806" i="45"/>
  <c r="AG806" i="45" s="1"/>
  <c r="AF806" i="45"/>
  <c r="AF1138" i="45"/>
  <c r="AE1138" i="45"/>
  <c r="AI1138" i="45" s="1"/>
  <c r="P1023" i="45"/>
  <c r="AG1023" i="45" s="1"/>
  <c r="AF1023" i="45"/>
  <c r="P1017" i="45"/>
  <c r="AG1017" i="45" s="1"/>
  <c r="AF1017" i="45"/>
  <c r="AF1395" i="45"/>
  <c r="AF1181" i="45"/>
  <c r="AG1075" i="45"/>
  <c r="AF1124" i="45"/>
  <c r="AF920" i="45"/>
  <c r="AI411" i="45"/>
  <c r="AE374" i="45"/>
  <c r="AE373" i="45" s="1"/>
  <c r="AI374" i="45"/>
  <c r="AF1202" i="45"/>
  <c r="AE1202" i="45"/>
  <c r="AI1202" i="45" s="1"/>
  <c r="AF1126" i="45"/>
  <c r="AE1126" i="45"/>
  <c r="AI1126" i="45" s="1"/>
  <c r="P1110" i="45"/>
  <c r="AF1110" i="45"/>
  <c r="P1084" i="45"/>
  <c r="AG1084" i="45" s="1"/>
  <c r="AF1084" i="45"/>
  <c r="P988" i="45"/>
  <c r="AG988" i="45" s="1"/>
  <c r="AF988" i="45"/>
  <c r="P922" i="45"/>
  <c r="AG922" i="45" s="1"/>
  <c r="AF922" i="45"/>
  <c r="AE910" i="45"/>
  <c r="AG910" i="45" s="1"/>
  <c r="AF910" i="45"/>
  <c r="P856" i="45"/>
  <c r="AG856" i="45" s="1"/>
  <c r="AF856" i="45"/>
  <c r="AF812" i="45"/>
  <c r="AE812" i="45"/>
  <c r="AI812" i="45" s="1"/>
  <c r="P887" i="45"/>
  <c r="AF887" i="45"/>
  <c r="P849" i="45"/>
  <c r="AG849" i="45" s="1"/>
  <c r="AF849" i="45"/>
  <c r="AF779" i="45"/>
  <c r="AE779" i="45"/>
  <c r="AI779" i="45" s="1"/>
  <c r="P1152" i="45"/>
  <c r="AG1152" i="45" s="1"/>
  <c r="AF1152" i="45"/>
  <c r="P1530" i="45"/>
  <c r="AG1530" i="45" s="1"/>
  <c r="AF1530" i="45"/>
  <c r="AF986" i="45"/>
  <c r="AE986" i="45"/>
  <c r="AE955" i="45"/>
  <c r="AI955" i="45" s="1"/>
  <c r="AF955" i="45"/>
  <c r="AG893" i="45"/>
  <c r="AG605" i="45"/>
  <c r="AF1244" i="45"/>
  <c r="AF256" i="45"/>
  <c r="AG1440" i="45"/>
  <c r="AG1421" i="45"/>
  <c r="AF1417" i="45"/>
  <c r="AF401" i="45"/>
  <c r="AF831" i="45"/>
  <c r="AF378" i="45"/>
  <c r="AH1211" i="45"/>
  <c r="AG1538" i="45"/>
  <c r="AF1437" i="45"/>
  <c r="P1404" i="45"/>
  <c r="AG1404" i="45" s="1"/>
  <c r="AF1239" i="45"/>
  <c r="AF1171" i="45"/>
  <c r="AE1123" i="45"/>
  <c r="AI1123" i="45" s="1"/>
  <c r="AF1205" i="45"/>
  <c r="AE1076" i="45"/>
  <c r="AG1076" i="45" s="1"/>
  <c r="AG1047" i="45"/>
  <c r="AF1097" i="45"/>
  <c r="AE1040" i="45"/>
  <c r="AI1040" i="45" s="1"/>
  <c r="AF1013" i="45"/>
  <c r="AF984" i="45"/>
  <c r="AF26" i="45"/>
  <c r="C440" i="45"/>
  <c r="AF1266" i="45"/>
  <c r="AG932" i="45"/>
  <c r="AG625" i="45"/>
  <c r="P389" i="45"/>
  <c r="AF778" i="45"/>
  <c r="AF777" i="45" s="1"/>
  <c r="AG1445" i="45"/>
  <c r="AG1403" i="45"/>
  <c r="AF1189" i="45"/>
  <c r="AG633" i="45"/>
  <c r="AF827" i="45"/>
  <c r="AF997" i="45"/>
  <c r="AG621" i="45"/>
  <c r="AF410" i="45"/>
  <c r="AF24" i="45"/>
  <c r="AB1551" i="45"/>
  <c r="AG1101" i="45"/>
  <c r="AG1387" i="45"/>
  <c r="AF1420" i="45"/>
  <c r="AF236" i="45"/>
  <c r="P1386" i="45"/>
  <c r="AG1386" i="45" s="1"/>
  <c r="AF1199" i="45"/>
  <c r="AG1180" i="45"/>
  <c r="AG1171" i="45"/>
  <c r="AF1095" i="45"/>
  <c r="P969" i="45"/>
  <c r="AG969" i="45" s="1"/>
  <c r="AF944" i="45"/>
  <c r="AF627" i="45"/>
  <c r="AE840" i="45"/>
  <c r="AI840" i="45" s="1"/>
  <c r="AG771" i="45"/>
  <c r="AG602" i="45"/>
  <c r="AG601" i="45"/>
  <c r="AF367" i="45"/>
  <c r="AE21" i="45"/>
  <c r="AG21" i="45" s="1"/>
  <c r="AG1185" i="45"/>
  <c r="AF20" i="45"/>
  <c r="AF608" i="45"/>
  <c r="AF13" i="45"/>
  <c r="AF17" i="45"/>
  <c r="AG914" i="45"/>
  <c r="AF912" i="45"/>
  <c r="AF394" i="45"/>
  <c r="AE1087" i="45"/>
  <c r="AI1087" i="45" s="1"/>
  <c r="AF1087" i="45"/>
  <c r="P964" i="45"/>
  <c r="AG964" i="45" s="1"/>
  <c r="AF964" i="45"/>
  <c r="AG1058" i="45"/>
  <c r="AE763" i="45"/>
  <c r="AG763" i="45" s="1"/>
  <c r="AD759" i="45"/>
  <c r="AE913" i="45"/>
  <c r="AI913" i="45" s="1"/>
  <c r="AF913" i="45"/>
  <c r="P874" i="45"/>
  <c r="AG874" i="45" s="1"/>
  <c r="AF874" i="45"/>
  <c r="AI816" i="45"/>
  <c r="AG816" i="45"/>
  <c r="P1417" i="45"/>
  <c r="AG1417" i="45" s="1"/>
  <c r="AF1394" i="45"/>
  <c r="AF1262" i="45"/>
  <c r="AF1385" i="45"/>
  <c r="AF1369" i="45"/>
  <c r="AF1282" i="45"/>
  <c r="O1193" i="45"/>
  <c r="AE1167" i="45"/>
  <c r="AI1167" i="45" s="1"/>
  <c r="AE1206" i="45"/>
  <c r="AI1206" i="45" s="1"/>
  <c r="AF1168" i="45"/>
  <c r="AF1061" i="45"/>
  <c r="AF1038" i="45"/>
  <c r="AG998" i="45"/>
  <c r="AF991" i="45"/>
  <c r="AF816" i="45"/>
  <c r="AF879" i="45"/>
  <c r="AG946" i="45"/>
  <c r="P766" i="45"/>
  <c r="AF1258" i="45"/>
  <c r="P996" i="45"/>
  <c r="AG996" i="45" s="1"/>
  <c r="AF996" i="45"/>
  <c r="AF1105" i="45"/>
  <c r="AH644" i="45"/>
  <c r="AF965" i="45"/>
  <c r="P963" i="45"/>
  <c r="AG963" i="45" s="1"/>
  <c r="AF963" i="45"/>
  <c r="AI935" i="45"/>
  <c r="AG935" i="45"/>
  <c r="P878" i="45"/>
  <c r="AG878" i="45" s="1"/>
  <c r="AF878" i="45"/>
  <c r="AD34" i="45"/>
  <c r="AE938" i="45"/>
  <c r="AI938" i="45" s="1"/>
  <c r="AF938" i="45"/>
  <c r="AE1286" i="45"/>
  <c r="AG1286" i="45" s="1"/>
  <c r="AF1286" i="45"/>
  <c r="AF18" i="45"/>
  <c r="AE18" i="45"/>
  <c r="AI18" i="45" s="1"/>
  <c r="AE383" i="45"/>
  <c r="AF383" i="45" s="1"/>
  <c r="AF1414" i="45"/>
  <c r="AG1117" i="45"/>
  <c r="B440" i="45"/>
  <c r="AF582" i="45"/>
  <c r="P939" i="45"/>
  <c r="AG939" i="45" s="1"/>
  <c r="AF939" i="45"/>
  <c r="AE824" i="45"/>
  <c r="AF824" i="45"/>
  <c r="AE902" i="45"/>
  <c r="AI902" i="45" s="1"/>
  <c r="AF902" i="45"/>
  <c r="AF819" i="45"/>
  <c r="AG896" i="45"/>
  <c r="AE890" i="45"/>
  <c r="AF890" i="45"/>
  <c r="AE1432" i="45"/>
  <c r="AG1432" i="45" s="1"/>
  <c r="AF1432" i="45"/>
  <c r="AE1223" i="45"/>
  <c r="AG1223" i="45" s="1"/>
  <c r="AF1223" i="45"/>
  <c r="AE867" i="45"/>
  <c r="AI867" i="45" s="1"/>
  <c r="AF867" i="45"/>
  <c r="AF1445" i="45"/>
  <c r="AG1437" i="45"/>
  <c r="AF1396" i="45"/>
  <c r="AF1374" i="45"/>
  <c r="P1425" i="45"/>
  <c r="AG1425" i="45" s="1"/>
  <c r="AF1240" i="45"/>
  <c r="P1543" i="45"/>
  <c r="AG1543" i="45" s="1"/>
  <c r="AF1522" i="45"/>
  <c r="AG1414" i="45"/>
  <c r="AF1403" i="45"/>
  <c r="AG1433" i="45"/>
  <c r="AF1401" i="45"/>
  <c r="AG1385" i="45"/>
  <c r="AF1270" i="45"/>
  <c r="AG1210" i="45"/>
  <c r="AG1205" i="45"/>
  <c r="AF1133" i="45"/>
  <c r="AE1089" i="45"/>
  <c r="AI1089" i="45" s="1"/>
  <c r="AF1111" i="45"/>
  <c r="AF1117" i="45"/>
  <c r="AG1082" i="45"/>
  <c r="AF1021" i="45"/>
  <c r="AE1025" i="45"/>
  <c r="AI1025" i="45" s="1"/>
  <c r="AF998" i="45"/>
  <c r="AF1134" i="45"/>
  <c r="AF1003" i="45"/>
  <c r="AF967" i="45"/>
  <c r="AF946" i="45"/>
  <c r="O978" i="45"/>
  <c r="AF932" i="45"/>
  <c r="AF904" i="45"/>
  <c r="AF891" i="45"/>
  <c r="AE876" i="45"/>
  <c r="AI876" i="45" s="1"/>
  <c r="AE873" i="45"/>
  <c r="AI873" i="45" s="1"/>
  <c r="AF954" i="45"/>
  <c r="AE911" i="45"/>
  <c r="AI911" i="45" s="1"/>
  <c r="AE757" i="45"/>
  <c r="AI757" i="45" s="1"/>
  <c r="AF807" i="45"/>
  <c r="O784" i="45"/>
  <c r="AF763" i="45"/>
  <c r="AF788" i="45"/>
  <c r="D1551" i="45"/>
  <c r="AF1542" i="45"/>
  <c r="N1522" i="45"/>
  <c r="AF1436" i="45"/>
  <c r="AF1442" i="45"/>
  <c r="AF1384" i="45"/>
  <c r="AF1433" i="45"/>
  <c r="AF1297" i="45"/>
  <c r="AF1365" i="45"/>
  <c r="AF1367" i="45"/>
  <c r="AF1245" i="45"/>
  <c r="AF1261" i="45"/>
  <c r="AF1229" i="45"/>
  <c r="AF1195" i="45"/>
  <c r="AF1175" i="45"/>
  <c r="AF1049" i="45"/>
  <c r="AF1109" i="45"/>
  <c r="AE1045" i="45"/>
  <c r="AI1045" i="45" s="1"/>
  <c r="AF1011" i="45"/>
  <c r="AF995" i="45"/>
  <c r="AF981" i="45"/>
  <c r="AF1088" i="45"/>
  <c r="AG929" i="45"/>
  <c r="AF925" i="45"/>
  <c r="P980" i="45"/>
  <c r="AG980" i="45" s="1"/>
  <c r="AF892" i="45"/>
  <c r="AG604" i="45"/>
  <c r="AF844" i="45"/>
  <c r="AF821" i="45"/>
  <c r="AE804" i="45"/>
  <c r="AI804" i="45" s="1"/>
  <c r="Z766" i="45"/>
  <c r="AF864" i="45"/>
  <c r="AF764" i="45"/>
  <c r="AF576" i="45"/>
  <c r="AE9" i="45"/>
  <c r="AG9" i="45" s="1"/>
  <c r="AG1381" i="45"/>
  <c r="AG1369" i="45"/>
  <c r="AF1264" i="45"/>
  <c r="P959" i="45"/>
  <c r="AG959" i="45" s="1"/>
  <c r="AF959" i="45"/>
  <c r="AE947" i="45"/>
  <c r="AF947" i="45"/>
  <c r="AG879" i="45"/>
  <c r="AF790" i="45"/>
  <c r="AE790" i="45"/>
  <c r="AI790" i="45" s="1"/>
  <c r="AE1416" i="45"/>
  <c r="AG1416" i="45" s="1"/>
  <c r="AF1416" i="45"/>
  <c r="AE1283" i="45"/>
  <c r="AG1283" i="45" s="1"/>
  <c r="AF1283" i="45"/>
  <c r="AG1049" i="45"/>
  <c r="AG1109" i="45"/>
  <c r="AE983" i="45"/>
  <c r="AI983" i="45" s="1"/>
  <c r="AF983" i="45"/>
  <c r="AE927" i="45"/>
  <c r="AI927" i="45" s="1"/>
  <c r="AF927" i="45"/>
  <c r="P866" i="45"/>
  <c r="AG866" i="45" s="1"/>
  <c r="AF866" i="45"/>
  <c r="AF833" i="45"/>
  <c r="AE833" i="45"/>
  <c r="AI833" i="45" s="1"/>
  <c r="P820" i="45"/>
  <c r="AF820" i="45"/>
  <c r="AF811" i="45"/>
  <c r="AG814" i="45"/>
  <c r="AG794" i="45"/>
  <c r="AG628" i="45"/>
  <c r="AF607" i="45"/>
  <c r="C1211" i="45"/>
  <c r="AH440" i="45"/>
  <c r="Z418" i="45"/>
  <c r="AF1382" i="45"/>
  <c r="AF1142" i="45"/>
  <c r="AF1006" i="45"/>
  <c r="AG943" i="45"/>
  <c r="AF385" i="45"/>
  <c r="AF368" i="45"/>
  <c r="AF242" i="45"/>
  <c r="AG923" i="45"/>
  <c r="AG809" i="45"/>
  <c r="AF1139" i="45"/>
  <c r="AG1119" i="45"/>
  <c r="AG1001" i="45"/>
  <c r="AG950" i="45"/>
  <c r="AF895" i="45"/>
  <c r="AG796" i="45"/>
  <c r="AF254" i="45"/>
  <c r="AF238" i="45"/>
  <c r="AF584" i="45"/>
  <c r="AF580" i="45"/>
  <c r="AG1374" i="45"/>
  <c r="AF845" i="45"/>
  <c r="AG865" i="45"/>
  <c r="AG1151" i="45"/>
  <c r="AG1181" i="45"/>
  <c r="AG1122" i="45"/>
  <c r="AG1113" i="45"/>
  <c r="AG1108" i="45"/>
  <c r="AG1064" i="45"/>
  <c r="AD793" i="45"/>
  <c r="AG837" i="45"/>
  <c r="AF1272" i="45"/>
  <c r="AF1228" i="45"/>
  <c r="AG1155" i="45"/>
  <c r="AD1193" i="45"/>
  <c r="AF1185" i="45"/>
  <c r="AF1137" i="45"/>
  <c r="AF1075" i="45"/>
  <c r="AG1124" i="45"/>
  <c r="AF985" i="45"/>
  <c r="AE962" i="45"/>
  <c r="AI962" i="45" s="1"/>
  <c r="AE884" i="45"/>
  <c r="AI884" i="45" s="1"/>
  <c r="O777" i="45"/>
  <c r="AF802" i="45"/>
  <c r="AF760" i="45"/>
  <c r="Q440" i="45"/>
  <c r="N440" i="45"/>
  <c r="O34" i="45"/>
  <c r="AD431" i="45"/>
  <c r="AF1398" i="45"/>
  <c r="AF1276" i="45"/>
  <c r="AF1241" i="45"/>
  <c r="AF1136" i="45"/>
  <c r="AG920" i="45"/>
  <c r="AF872" i="45"/>
  <c r="AF772" i="45"/>
  <c r="AG1395" i="45"/>
  <c r="AG1125" i="45"/>
  <c r="AG808" i="45"/>
  <c r="AF901" i="45"/>
  <c r="B644" i="45"/>
  <c r="AG1157" i="45"/>
  <c r="AE420" i="45"/>
  <c r="AE419" i="45" s="1"/>
  <c r="AD419" i="45"/>
  <c r="AF10" i="45"/>
  <c r="P85" i="45"/>
  <c r="O84" i="45"/>
  <c r="AF1440" i="45"/>
  <c r="AF1429" i="45"/>
  <c r="AF1265" i="45"/>
  <c r="AF1289" i="45"/>
  <c r="AF1221" i="45"/>
  <c r="AF1188" i="45"/>
  <c r="AF1180" i="45"/>
  <c r="AD1170" i="45"/>
  <c r="AF1149" i="45"/>
  <c r="AG1200" i="45"/>
  <c r="AF1092" i="45"/>
  <c r="AF1055" i="45"/>
  <c r="AF1047" i="45"/>
  <c r="AF1039" i="45"/>
  <c r="AF1119" i="45"/>
  <c r="AG1011" i="45"/>
  <c r="AG997" i="45"/>
  <c r="AF930" i="45"/>
  <c r="AE842" i="45"/>
  <c r="AI842" i="45" s="1"/>
  <c r="AF771" i="45"/>
  <c r="AF796" i="45"/>
  <c r="AG599" i="45"/>
  <c r="AG299" i="45"/>
  <c r="AG789" i="45"/>
  <c r="AF575" i="45"/>
  <c r="AF411" i="45"/>
  <c r="AD560" i="45"/>
  <c r="AD398" i="45"/>
  <c r="AF31" i="45"/>
  <c r="AD598" i="45"/>
  <c r="AF1174" i="45"/>
  <c r="AG1083" i="45"/>
  <c r="AG1375" i="45"/>
  <c r="AG1183" i="45"/>
  <c r="AF1072" i="45"/>
  <c r="AG999" i="45"/>
  <c r="AF393" i="45"/>
  <c r="U1211" i="45"/>
  <c r="U1551" i="45" s="1"/>
  <c r="AF400" i="45"/>
  <c r="AG333" i="45"/>
  <c r="AF15" i="45"/>
  <c r="AF258" i="45"/>
  <c r="AF1428" i="45"/>
  <c r="AC440" i="45"/>
  <c r="AE598" i="45"/>
  <c r="AE644" i="45" s="1"/>
  <c r="AF1375" i="45"/>
  <c r="AG934" i="45"/>
  <c r="AG882" i="45"/>
  <c r="AG898" i="45"/>
  <c r="AG1195" i="45"/>
  <c r="AG813" i="45"/>
  <c r="AE560" i="45"/>
  <c r="P34" i="45"/>
  <c r="AI1129" i="45"/>
  <c r="AG1129" i="45"/>
  <c r="AG933" i="45"/>
  <c r="AG881" i="45"/>
  <c r="AF1196" i="45"/>
  <c r="J1145" i="45"/>
  <c r="K1146" i="45"/>
  <c r="K1145" i="45" s="1"/>
  <c r="AF1441" i="45"/>
  <c r="AF1275" i="45"/>
  <c r="AF1301" i="45"/>
  <c r="P1398" i="45"/>
  <c r="AG1398" i="45" s="1"/>
  <c r="AF1204" i="45"/>
  <c r="AE1142" i="45"/>
  <c r="AI1142" i="45" s="1"/>
  <c r="AE1174" i="45"/>
  <c r="AI1174" i="45" s="1"/>
  <c r="AG1148" i="45"/>
  <c r="AF1129" i="45"/>
  <c r="AF1114" i="45"/>
  <c r="AF1008" i="45"/>
  <c r="AE1072" i="45"/>
  <c r="AI1072" i="45" s="1"/>
  <c r="AF1068" i="45"/>
  <c r="AF1036" i="45"/>
  <c r="AF976" i="45"/>
  <c r="AE975" i="45"/>
  <c r="AI975" i="45" s="1"/>
  <c r="AE872" i="45"/>
  <c r="AG872" i="45" s="1"/>
  <c r="AF948" i="45"/>
  <c r="AF906" i="45"/>
  <c r="AF952" i="45"/>
  <c r="AE868" i="45"/>
  <c r="AG868" i="45" s="1"/>
  <c r="AG930" i="45"/>
  <c r="AF815" i="45"/>
  <c r="AG807" i="45"/>
  <c r="AC751" i="45"/>
  <c r="AE772" i="45"/>
  <c r="AG772" i="45" s="1"/>
  <c r="AF574" i="45"/>
  <c r="Z90" i="45"/>
  <c r="P398" i="45"/>
  <c r="AF1233" i="45"/>
  <c r="AG1187" i="45"/>
  <c r="AG1003" i="45"/>
  <c r="AF1018" i="45"/>
  <c r="AF1058" i="45"/>
  <c r="AG927" i="45"/>
  <c r="AD355" i="45"/>
  <c r="AF973" i="45"/>
  <c r="O1529" i="45"/>
  <c r="O1550" i="45" s="1"/>
  <c r="N1529" i="45"/>
  <c r="N1550" i="45" s="1"/>
  <c r="AF926" i="45"/>
  <c r="AG1093" i="45"/>
  <c r="AF19" i="45"/>
  <c r="AD1158" i="45"/>
  <c r="AG1441" i="45"/>
  <c r="AF1291" i="45"/>
  <c r="AE1354" i="45"/>
  <c r="AF1380" i="45"/>
  <c r="N1145" i="45"/>
  <c r="AF1226" i="45"/>
  <c r="O1178" i="45"/>
  <c r="AG1100" i="45"/>
  <c r="AF1057" i="45"/>
  <c r="AG1081" i="45"/>
  <c r="AF1083" i="45"/>
  <c r="AE1006" i="45"/>
  <c r="AI1006" i="45" s="1"/>
  <c r="AF1016" i="45"/>
  <c r="AF999" i="45"/>
  <c r="AG965" i="45"/>
  <c r="AG958" i="45"/>
  <c r="AG993" i="45"/>
  <c r="AG971" i="45"/>
  <c r="AF950" i="45"/>
  <c r="AG906" i="45"/>
  <c r="AG877" i="45"/>
  <c r="AG847" i="45"/>
  <c r="AF883" i="45"/>
  <c r="AG840" i="45"/>
  <c r="O766" i="45"/>
  <c r="AF762" i="45"/>
  <c r="AG831" i="45"/>
  <c r="S751" i="45"/>
  <c r="S1211" i="45" s="1"/>
  <c r="R440" i="45"/>
  <c r="AF848" i="45"/>
  <c r="AF592" i="45"/>
  <c r="O431" i="45"/>
  <c r="K1550" i="45"/>
  <c r="AG1078" i="45"/>
  <c r="T1211" i="45"/>
  <c r="T1551" i="45" s="1"/>
  <c r="AF1426" i="45"/>
  <c r="AF942" i="45"/>
  <c r="AF1022" i="45"/>
  <c r="AG954" i="45"/>
  <c r="AF11" i="45"/>
  <c r="AF639" i="45"/>
  <c r="AF299" i="45"/>
  <c r="P381" i="45"/>
  <c r="AG637" i="45"/>
  <c r="AG991" i="45"/>
  <c r="AF1430" i="45"/>
  <c r="AG1175" i="45"/>
  <c r="AG909" i="45"/>
  <c r="O560" i="45"/>
  <c r="AF12" i="45"/>
  <c r="AF774" i="45"/>
  <c r="W1211" i="45"/>
  <c r="W1551" i="45" s="1"/>
  <c r="AF870" i="45"/>
  <c r="AG832" i="45"/>
  <c r="AF384" i="45"/>
  <c r="P1112" i="45"/>
  <c r="AG1112" i="45" s="1"/>
  <c r="AF1112" i="45"/>
  <c r="P1096" i="45"/>
  <c r="AG1096" i="45" s="1"/>
  <c r="AF1096" i="45"/>
  <c r="AE1066" i="45"/>
  <c r="AI1066" i="45" s="1"/>
  <c r="AF1066" i="45"/>
  <c r="AE1034" i="45"/>
  <c r="AF1034" i="45"/>
  <c r="AF1523" i="45"/>
  <c r="P1523" i="45"/>
  <c r="AG1523" i="45" s="1"/>
  <c r="AE1191" i="45"/>
  <c r="AF1191" i="45"/>
  <c r="P825" i="45"/>
  <c r="AG825" i="45" s="1"/>
  <c r="AF825" i="45"/>
  <c r="P428" i="45"/>
  <c r="P427" i="45" s="1"/>
  <c r="O427" i="45"/>
  <c r="AG1114" i="45"/>
  <c r="AG1092" i="45"/>
  <c r="AG1053" i="45"/>
  <c r="AG1527" i="45"/>
  <c r="AG1163" i="45"/>
  <c r="AG1111" i="45"/>
  <c r="AG1107" i="45"/>
  <c r="AG1074" i="45"/>
  <c r="AG1002" i="45"/>
  <c r="AF863" i="45"/>
  <c r="AG855" i="45"/>
  <c r="AG937" i="45"/>
  <c r="AG921" i="45"/>
  <c r="AG869" i="45"/>
  <c r="K766" i="45"/>
  <c r="AF615" i="45"/>
  <c r="P450" i="45"/>
  <c r="P560" i="45" s="1"/>
  <c r="I1551" i="45"/>
  <c r="O398" i="45"/>
  <c r="AI398" i="45"/>
  <c r="AF239" i="45"/>
  <c r="AF1254" i="45"/>
  <c r="P1042" i="45"/>
  <c r="AG1042" i="45" s="1"/>
  <c r="AF1042" i="45"/>
  <c r="AF1528" i="45"/>
  <c r="P1528" i="45"/>
  <c r="AG1528" i="45" s="1"/>
  <c r="AF1062" i="45"/>
  <c r="AE1062" i="45"/>
  <c r="AE994" i="45"/>
  <c r="AF994" i="45"/>
  <c r="AF862" i="45"/>
  <c r="AE862" i="45"/>
  <c r="AF800" i="45"/>
  <c r="AF379" i="45"/>
  <c r="AF246" i="45"/>
  <c r="AD170" i="45"/>
  <c r="AG619" i="45"/>
  <c r="O263" i="45"/>
  <c r="AC1145" i="45"/>
  <c r="AG1162" i="45"/>
  <c r="AG1160" i="45"/>
  <c r="AG1168" i="45"/>
  <c r="AG1105" i="45"/>
  <c r="AG1545" i="45"/>
  <c r="AG1536" i="45"/>
  <c r="AG1534" i="45"/>
  <c r="AG1532" i="45"/>
  <c r="AF1162" i="45"/>
  <c r="AG1156" i="45"/>
  <c r="AG1032" i="45"/>
  <c r="AF970" i="45"/>
  <c r="AG1134" i="45"/>
  <c r="AG1013" i="45"/>
  <c r="AG1118" i="45"/>
  <c r="AG942" i="45"/>
  <c r="AG1022" i="45"/>
  <c r="AG940" i="45"/>
  <c r="AG803" i="45"/>
  <c r="AI72" i="45"/>
  <c r="AE170" i="45"/>
  <c r="AG788" i="45"/>
  <c r="AF247" i="45"/>
  <c r="AE1176" i="45"/>
  <c r="AI1176" i="45" s="1"/>
  <c r="AF1176" i="45"/>
  <c r="AF1120" i="45"/>
  <c r="P1120" i="45"/>
  <c r="AG1120" i="45" s="1"/>
  <c r="AF1104" i="45"/>
  <c r="P1104" i="45"/>
  <c r="AG1104" i="45" s="1"/>
  <c r="AF1187" i="45"/>
  <c r="AG1186" i="45"/>
  <c r="AF1128" i="45"/>
  <c r="AF1086" i="45"/>
  <c r="AF1054" i="45"/>
  <c r="AE1054" i="45"/>
  <c r="AI1054" i="45" s="1"/>
  <c r="AG1038" i="45"/>
  <c r="AF1002" i="45"/>
  <c r="AF854" i="45"/>
  <c r="AE854" i="45"/>
  <c r="AF838" i="45"/>
  <c r="AE838" i="45"/>
  <c r="AG1029" i="45"/>
  <c r="AG1057" i="45"/>
  <c r="AF982" i="45"/>
  <c r="Q1211" i="45"/>
  <c r="AF758" i="45"/>
  <c r="P753" i="45"/>
  <c r="P752" i="45" s="1"/>
  <c r="O752" i="45"/>
  <c r="AG1106" i="45"/>
  <c r="AG904" i="45"/>
  <c r="AG845" i="45"/>
  <c r="K90" i="45"/>
  <c r="AF1235" i="45"/>
  <c r="AF1169" i="45"/>
  <c r="AE1169" i="45"/>
  <c r="AE1050" i="45"/>
  <c r="AF1050" i="45"/>
  <c r="AF990" i="45"/>
  <c r="AF846" i="45"/>
  <c r="AE846" i="45"/>
  <c r="AG995" i="45"/>
  <c r="X1211" i="45"/>
  <c r="X1551" i="45" s="1"/>
  <c r="AE382" i="45"/>
  <c r="AF382" i="45" s="1"/>
  <c r="AI382" i="45"/>
  <c r="AD781" i="45"/>
  <c r="E484" i="32"/>
  <c r="I483" i="32"/>
  <c r="C484" i="32"/>
  <c r="AF1525" i="45"/>
  <c r="P1525" i="45"/>
  <c r="AG1525" i="45" s="1"/>
  <c r="O1448" i="45"/>
  <c r="P1363" i="45"/>
  <c r="AF1363" i="45"/>
  <c r="AD1178" i="45"/>
  <c r="AE1179" i="45"/>
  <c r="AG1179" i="45" s="1"/>
  <c r="AF1179" i="45"/>
  <c r="P1178" i="45"/>
  <c r="AI1008" i="45"/>
  <c r="AG1008" i="45"/>
  <c r="AG1115" i="45"/>
  <c r="AG1080" i="45"/>
  <c r="AI1088" i="45"/>
  <c r="AG1088" i="45"/>
  <c r="AE979" i="45"/>
  <c r="AD978" i="45"/>
  <c r="AF979" i="45"/>
  <c r="AE843" i="45"/>
  <c r="AF843" i="45"/>
  <c r="Z791" i="45"/>
  <c r="AD791" i="45" s="1"/>
  <c r="AE791" i="45" s="1"/>
  <c r="AI791" i="45" s="1"/>
  <c r="AD792" i="45"/>
  <c r="AD1550" i="45"/>
  <c r="AD1448" i="45"/>
  <c r="AE1363" i="45"/>
  <c r="AE1448" i="45" s="1"/>
  <c r="AE1208" i="45"/>
  <c r="AD1207" i="45"/>
  <c r="AF1208" i="45"/>
  <c r="AF1155" i="45"/>
  <c r="AG1548" i="45"/>
  <c r="AG1544" i="45"/>
  <c r="AG1542" i="45"/>
  <c r="AG1540" i="45"/>
  <c r="AG1537" i="45"/>
  <c r="AG1535" i="45"/>
  <c r="AG1533" i="45"/>
  <c r="AG1531" i="45"/>
  <c r="AC1550" i="45"/>
  <c r="AG1547" i="45"/>
  <c r="AF1526" i="45"/>
  <c r="P1526" i="45"/>
  <c r="AG1526" i="45" s="1"/>
  <c r="P1378" i="45"/>
  <c r="AG1378" i="45" s="1"/>
  <c r="AF1378" i="45"/>
  <c r="AF1312" i="45"/>
  <c r="AE1312" i="45"/>
  <c r="AG1312" i="45" s="1"/>
  <c r="AG1380" i="45"/>
  <c r="O1170" i="45"/>
  <c r="AI1171" i="45"/>
  <c r="AF1154" i="45"/>
  <c r="AE1154" i="45"/>
  <c r="AI1154" i="45" s="1"/>
  <c r="AD1146" i="45"/>
  <c r="O1158" i="45"/>
  <c r="AG1139" i="45"/>
  <c r="AG1147" i="45"/>
  <c r="AE1067" i="45"/>
  <c r="AF1067" i="45"/>
  <c r="AE1059" i="45"/>
  <c r="AF1059" i="45"/>
  <c r="AE1051" i="45"/>
  <c r="AF1051" i="45"/>
  <c r="AE1043" i="45"/>
  <c r="AF1043" i="45"/>
  <c r="AE1035" i="45"/>
  <c r="AF1035" i="45"/>
  <c r="AG1079" i="45"/>
  <c r="AG1127" i="45"/>
  <c r="AG1095" i="45"/>
  <c r="AG1085" i="45"/>
  <c r="AG1135" i="45"/>
  <c r="AG1094" i="45"/>
  <c r="AE974" i="45"/>
  <c r="AF974" i="45"/>
  <c r="AE966" i="45"/>
  <c r="AF966" i="45"/>
  <c r="AG1068" i="45"/>
  <c r="AG1027" i="45"/>
  <c r="AG1021" i="45"/>
  <c r="AG1018" i="45"/>
  <c r="AI1004" i="45"/>
  <c r="AG1004" i="45"/>
  <c r="AG990" i="45"/>
  <c r="AG982" i="45"/>
  <c r="AI903" i="45"/>
  <c r="AG903" i="45"/>
  <c r="AI887" i="45"/>
  <c r="AG887" i="45"/>
  <c r="AG985" i="45"/>
  <c r="AG892" i="45"/>
  <c r="AE859" i="45"/>
  <c r="AF859" i="45"/>
  <c r="AE835" i="45"/>
  <c r="AD834" i="45"/>
  <c r="AF835" i="45"/>
  <c r="AE886" i="45"/>
  <c r="AD885" i="45"/>
  <c r="AF886" i="45"/>
  <c r="AG900" i="45"/>
  <c r="AG952" i="45"/>
  <c r="AF847" i="45"/>
  <c r="AI806" i="45"/>
  <c r="AG782" i="45"/>
  <c r="P781" i="45"/>
  <c r="AF768" i="45"/>
  <c r="AE768" i="45"/>
  <c r="AI762" i="45"/>
  <c r="AG762" i="45"/>
  <c r="AG880" i="45"/>
  <c r="AI774" i="45"/>
  <c r="AG774" i="45"/>
  <c r="AG815" i="45"/>
  <c r="R751" i="45"/>
  <c r="R1211" i="45" s="1"/>
  <c r="AF653" i="45"/>
  <c r="AG891" i="45"/>
  <c r="AG841" i="45"/>
  <c r="AG819" i="45"/>
  <c r="AF770" i="45"/>
  <c r="AE770" i="45"/>
  <c r="AF617" i="45"/>
  <c r="P82" i="45"/>
  <c r="AI82" i="45"/>
  <c r="AI81" i="45" s="1"/>
  <c r="O81" i="45"/>
  <c r="AF642" i="45"/>
  <c r="AG611" i="45"/>
  <c r="P366" i="45"/>
  <c r="P364" i="45" s="1"/>
  <c r="O364" i="45"/>
  <c r="O396" i="45" s="1"/>
  <c r="AG616" i="45"/>
  <c r="AF436" i="45"/>
  <c r="P263" i="45"/>
  <c r="AF233" i="45"/>
  <c r="AE82" i="45"/>
  <c r="AE81" i="45" s="1"/>
  <c r="AD81" i="45"/>
  <c r="AG19" i="45"/>
  <c r="AI19" i="45"/>
  <c r="AG15" i="45"/>
  <c r="AI15" i="45"/>
  <c r="AG11" i="45"/>
  <c r="AI11" i="45"/>
  <c r="AG852" i="45"/>
  <c r="AG641" i="45"/>
  <c r="AF235" i="45"/>
  <c r="AI25" i="45"/>
  <c r="AG25" i="45"/>
  <c r="AF243" i="45"/>
  <c r="AE398" i="45"/>
  <c r="AI24" i="45"/>
  <c r="AG24" i="45"/>
  <c r="AE1550" i="45"/>
  <c r="AG1172" i="45"/>
  <c r="P1170" i="45"/>
  <c r="AI1147" i="45"/>
  <c r="AI1016" i="45"/>
  <c r="AG1016" i="45"/>
  <c r="AI960" i="45"/>
  <c r="AG960" i="45"/>
  <c r="AI944" i="45"/>
  <c r="AG944" i="45"/>
  <c r="AI872" i="45"/>
  <c r="AG984" i="45"/>
  <c r="AI917" i="45"/>
  <c r="AI836" i="45"/>
  <c r="AG836" i="45"/>
  <c r="AG828" i="45"/>
  <c r="AF1209" i="45"/>
  <c r="AE1209" i="45"/>
  <c r="AE1177" i="45"/>
  <c r="AF1177" i="45"/>
  <c r="AI1194" i="45"/>
  <c r="AI1550" i="45"/>
  <c r="P1208" i="45"/>
  <c r="O1207" i="45"/>
  <c r="AE1220" i="45"/>
  <c r="AD1303" i="45"/>
  <c r="AE1192" i="45"/>
  <c r="AF1192" i="45"/>
  <c r="AE1184" i="45"/>
  <c r="AF1184" i="45"/>
  <c r="AF1173" i="45"/>
  <c r="AI1159" i="45"/>
  <c r="AE1166" i="45"/>
  <c r="AI1166" i="45" s="1"/>
  <c r="AF1166" i="45"/>
  <c r="AF1161" i="45"/>
  <c r="AE1161" i="45"/>
  <c r="AG1196" i="45"/>
  <c r="AG1189" i="45"/>
  <c r="AI1150" i="45"/>
  <c r="AG1150" i="45"/>
  <c r="AF1198" i="45"/>
  <c r="AE1198" i="45"/>
  <c r="AG1165" i="45"/>
  <c r="AG1141" i="45"/>
  <c r="AG1199" i="45"/>
  <c r="AF1172" i="45"/>
  <c r="P1158" i="45"/>
  <c r="AG1159" i="45"/>
  <c r="AG1130" i="45"/>
  <c r="AG1097" i="45"/>
  <c r="AG1061" i="45"/>
  <c r="AG1044" i="45"/>
  <c r="AD1026" i="45"/>
  <c r="AI1024" i="45"/>
  <c r="AG1024" i="45"/>
  <c r="AG1009" i="45"/>
  <c r="AG1126" i="45"/>
  <c r="AG1036" i="45"/>
  <c r="AG1086" i="45"/>
  <c r="AG1045" i="45"/>
  <c r="AI1000" i="45"/>
  <c r="AG1000" i="45"/>
  <c r="AG1090" i="45"/>
  <c r="AG1073" i="45"/>
  <c r="AG1037" i="45"/>
  <c r="AI1020" i="45"/>
  <c r="AG1020" i="45"/>
  <c r="AG989" i="45"/>
  <c r="AG981" i="45"/>
  <c r="AG961" i="45"/>
  <c r="AG926" i="45"/>
  <c r="AE919" i="45"/>
  <c r="AD916" i="45"/>
  <c r="AF919" i="45"/>
  <c r="AF830" i="45"/>
  <c r="AF822" i="45"/>
  <c r="AF814" i="45"/>
  <c r="AG967" i="45"/>
  <c r="O916" i="45"/>
  <c r="AG992" i="45"/>
  <c r="AG912" i="45"/>
  <c r="AG957" i="45"/>
  <c r="AG925" i="45"/>
  <c r="AG876" i="45"/>
  <c r="AI755" i="45"/>
  <c r="AA1211" i="45"/>
  <c r="AA1551" i="45" s="1"/>
  <c r="AG820" i="45"/>
  <c r="AG795" i="45"/>
  <c r="O793" i="45"/>
  <c r="P784" i="45"/>
  <c r="AI782" i="45"/>
  <c r="AG769" i="45"/>
  <c r="AI769" i="45"/>
  <c r="AI758" i="45"/>
  <c r="AG758" i="45"/>
  <c r="AG799" i="45"/>
  <c r="P797" i="45"/>
  <c r="AF797" i="45"/>
  <c r="AE767" i="45"/>
  <c r="AD766" i="45"/>
  <c r="AF767" i="45"/>
  <c r="AD756" i="45"/>
  <c r="Z754" i="45"/>
  <c r="AF753" i="45"/>
  <c r="AF752" i="45" s="1"/>
  <c r="O708" i="45"/>
  <c r="AG948" i="45"/>
  <c r="AG870" i="45"/>
  <c r="AG858" i="45"/>
  <c r="AG811" i="45"/>
  <c r="AG764" i="45"/>
  <c r="AI764" i="45"/>
  <c r="AF743" i="45"/>
  <c r="AG617" i="45"/>
  <c r="K396" i="45"/>
  <c r="AG642" i="45"/>
  <c r="AG844" i="45"/>
  <c r="AF618" i="45"/>
  <c r="AD644" i="45"/>
  <c r="P431" i="45"/>
  <c r="AF432" i="45"/>
  <c r="AF431" i="45" s="1"/>
  <c r="K418" i="45"/>
  <c r="AF405" i="45"/>
  <c r="AG10" i="45"/>
  <c r="AI10" i="45"/>
  <c r="AF637" i="45"/>
  <c r="AE436" i="45"/>
  <c r="AF251" i="45"/>
  <c r="P72" i="45"/>
  <c r="AE787" i="45"/>
  <c r="AF787" i="45"/>
  <c r="AF855" i="45"/>
  <c r="O792" i="45"/>
  <c r="P792" i="45" s="1"/>
  <c r="K791" i="45"/>
  <c r="O791" i="45" s="1"/>
  <c r="P791" i="45" s="1"/>
  <c r="AG800" i="45"/>
  <c r="AG773" i="45"/>
  <c r="AI773" i="45"/>
  <c r="P598" i="45"/>
  <c r="P644" i="45" s="1"/>
  <c r="O598" i="45"/>
  <c r="AG618" i="45"/>
  <c r="P420" i="45"/>
  <c r="O419" i="45"/>
  <c r="O170" i="45"/>
  <c r="P140" i="45"/>
  <c r="P170" i="45" s="1"/>
  <c r="AG17" i="45"/>
  <c r="AI17" i="45"/>
  <c r="AG13" i="45"/>
  <c r="AI13" i="45"/>
  <c r="AG798" i="45"/>
  <c r="AI29" i="45"/>
  <c r="AG29" i="45"/>
  <c r="AI28" i="45"/>
  <c r="AG28" i="45"/>
  <c r="AF72" i="45"/>
  <c r="AG1137" i="45"/>
  <c r="AI928" i="45"/>
  <c r="AG928" i="45"/>
  <c r="O1303" i="45"/>
  <c r="P1220" i="45"/>
  <c r="P1303" i="45" s="1"/>
  <c r="O1146" i="45"/>
  <c r="AI1110" i="45"/>
  <c r="AG1110" i="45"/>
  <c r="P1030" i="45"/>
  <c r="AG1030" i="45" s="1"/>
  <c r="AF1030" i="45"/>
  <c r="AG1121" i="45"/>
  <c r="AG1116" i="45"/>
  <c r="AG1098" i="45"/>
  <c r="AG1069" i="45"/>
  <c r="AI1027" i="45"/>
  <c r="AG1070" i="45"/>
  <c r="AI1102" i="45"/>
  <c r="AG1102" i="45"/>
  <c r="O1026" i="45"/>
  <c r="AG1103" i="45"/>
  <c r="AG1028" i="45"/>
  <c r="AG1005" i="45"/>
  <c r="AG901" i="45"/>
  <c r="P886" i="45"/>
  <c r="O885" i="45"/>
  <c r="AE826" i="45"/>
  <c r="AF826" i="45"/>
  <c r="AE818" i="45"/>
  <c r="AF818" i="45"/>
  <c r="AE810" i="45"/>
  <c r="AF810" i="45"/>
  <c r="AG1012" i="45"/>
  <c r="AG976" i="45"/>
  <c r="AG908" i="45"/>
  <c r="AE851" i="45"/>
  <c r="AF851" i="45"/>
  <c r="AG968" i="45"/>
  <c r="AG941" i="45"/>
  <c r="AG936" i="45"/>
  <c r="AG915" i="45"/>
  <c r="AG895" i="45"/>
  <c r="K708" i="45"/>
  <c r="AG864" i="45"/>
  <c r="AG848" i="45"/>
  <c r="AG839" i="45"/>
  <c r="P835" i="45"/>
  <c r="O834" i="45"/>
  <c r="AI794" i="45"/>
  <c r="AD784" i="45"/>
  <c r="AI776" i="45"/>
  <c r="AI760" i="45"/>
  <c r="AG760" i="45"/>
  <c r="AG842" i="45"/>
  <c r="P777" i="45"/>
  <c r="P755" i="45"/>
  <c r="P754" i="45" s="1"/>
  <c r="O754" i="45"/>
  <c r="AG853" i="45"/>
  <c r="AG827" i="45"/>
  <c r="AI802" i="45"/>
  <c r="AG802" i="45"/>
  <c r="AG615" i="45"/>
  <c r="P373" i="45"/>
  <c r="AG639" i="45"/>
  <c r="AF611" i="45"/>
  <c r="AE366" i="45"/>
  <c r="AD364" i="45"/>
  <c r="AD396" i="45" s="1"/>
  <c r="AE70" i="45"/>
  <c r="AE69" i="45" s="1"/>
  <c r="AE90" i="45" s="1"/>
  <c r="AD69" i="45"/>
  <c r="P70" i="45"/>
  <c r="O69" i="45"/>
  <c r="AF616" i="45"/>
  <c r="AE428" i="45"/>
  <c r="AD427" i="45"/>
  <c r="AE263" i="45"/>
  <c r="AI233" i="45"/>
  <c r="AI263" i="45" s="1"/>
  <c r="AG20" i="45"/>
  <c r="AI20" i="45"/>
  <c r="AG12" i="45"/>
  <c r="AI12" i="45"/>
  <c r="AG860" i="45"/>
  <c r="AF641" i="45"/>
  <c r="AD263" i="45"/>
  <c r="AF234" i="45"/>
  <c r="I23" i="32"/>
  <c r="I29" i="32"/>
  <c r="I45" i="32" s="1"/>
  <c r="G45" i="32"/>
  <c r="G484" i="32" s="1"/>
  <c r="W709" i="60"/>
  <c r="L505" i="60"/>
  <c r="M96" i="60"/>
  <c r="M832" i="60" s="1"/>
  <c r="N832" i="60"/>
  <c r="L443" i="60"/>
  <c r="U443" i="60"/>
  <c r="U832" i="60" s="1"/>
  <c r="T832" i="60"/>
  <c r="W505" i="60"/>
  <c r="V488" i="60"/>
  <c r="K449" i="60"/>
  <c r="V638" i="60"/>
  <c r="O832" i="60"/>
  <c r="K505" i="60"/>
  <c r="V494" i="60"/>
  <c r="V84" i="60"/>
  <c r="W432" i="60"/>
  <c r="W443" i="60" s="1"/>
  <c r="V505" i="60"/>
  <c r="B475" i="60"/>
  <c r="B521" i="60" s="1"/>
  <c r="B832" i="60" s="1"/>
  <c r="L475" i="60"/>
  <c r="W476" i="60"/>
  <c r="V482" i="60"/>
  <c r="K96" i="60"/>
  <c r="L96" i="60" s="1"/>
  <c r="L71" i="60"/>
  <c r="L272" i="60"/>
  <c r="L449" i="60"/>
  <c r="V449" i="60"/>
  <c r="W475" i="60"/>
  <c r="W449" i="60"/>
  <c r="W272" i="60"/>
  <c r="W84" i="60" l="1"/>
  <c r="W96" i="60" s="1"/>
  <c r="V96" i="60"/>
  <c r="K521" i="60"/>
  <c r="L521" i="60"/>
  <c r="L832" i="60" s="1"/>
  <c r="V475" i="60"/>
  <c r="AI16" i="45"/>
  <c r="AI9" i="45"/>
  <c r="AG1099" i="45"/>
  <c r="Z440" i="45"/>
  <c r="AG1132" i="45"/>
  <c r="AG861" i="45"/>
  <c r="AF781" i="45"/>
  <c r="AG1174" i="45"/>
  <c r="AI1076" i="45"/>
  <c r="AG1054" i="45"/>
  <c r="AG1131" i="45"/>
  <c r="AF374" i="45"/>
  <c r="AI778" i="45"/>
  <c r="AG757" i="45"/>
  <c r="AG987" i="45"/>
  <c r="S1551" i="45"/>
  <c r="O759" i="45"/>
  <c r="AF1193" i="45"/>
  <c r="AI389" i="45"/>
  <c r="AG913" i="45"/>
  <c r="AF389" i="45"/>
  <c r="AI21" i="45"/>
  <c r="AI381" i="45"/>
  <c r="AG949" i="45"/>
  <c r="P1146" i="45"/>
  <c r="AG907" i="45"/>
  <c r="AG1060" i="45"/>
  <c r="AG1202" i="45"/>
  <c r="AG899" i="45"/>
  <c r="N1211" i="45"/>
  <c r="AI373" i="45"/>
  <c r="AF423" i="45"/>
  <c r="AF598" i="45"/>
  <c r="AF784" i="45"/>
  <c r="AI777" i="45"/>
  <c r="AG1194" i="45"/>
  <c r="AC1211" i="45"/>
  <c r="AC1551" i="45" s="1"/>
  <c r="K751" i="45"/>
  <c r="AG983" i="45"/>
  <c r="Q1551" i="45"/>
  <c r="AE777" i="45"/>
  <c r="L1551" i="45"/>
  <c r="AG850" i="45"/>
  <c r="AG888" i="45"/>
  <c r="AG779" i="45"/>
  <c r="AG777" i="45" s="1"/>
  <c r="AD418" i="45"/>
  <c r="AD440" i="45" s="1"/>
  <c r="AG1048" i="45"/>
  <c r="AG1138" i="45"/>
  <c r="AG945" i="45"/>
  <c r="AG812" i="45"/>
  <c r="B1551" i="45"/>
  <c r="AG823" i="45"/>
  <c r="AG884" i="45"/>
  <c r="AG1052" i="45"/>
  <c r="AI14" i="45"/>
  <c r="AG1040" i="45"/>
  <c r="AG1025" i="45"/>
  <c r="P751" i="45"/>
  <c r="AG956" i="45"/>
  <c r="AF424" i="45"/>
  <c r="AG804" i="45"/>
  <c r="AG924" i="45"/>
  <c r="AG1056" i="45"/>
  <c r="C1551" i="45"/>
  <c r="K440" i="45"/>
  <c r="AE759" i="45"/>
  <c r="AG18" i="45"/>
  <c r="AG1089" i="45"/>
  <c r="AE1193" i="45"/>
  <c r="AG1123" i="45"/>
  <c r="AG953" i="45"/>
  <c r="AG1087" i="45"/>
  <c r="AI910" i="45"/>
  <c r="AE784" i="45"/>
  <c r="AE753" i="45"/>
  <c r="AG753" i="45" s="1"/>
  <c r="AG752" i="45" s="1"/>
  <c r="AI763" i="45"/>
  <c r="AF759" i="45"/>
  <c r="AG1072" i="45"/>
  <c r="AI772" i="45"/>
  <c r="AG785" i="45"/>
  <c r="AG1206" i="45"/>
  <c r="AG1015" i="45"/>
  <c r="AI783" i="45"/>
  <c r="AI781" i="45" s="1"/>
  <c r="AG783" i="45"/>
  <c r="AG781" i="45" s="1"/>
  <c r="AG902" i="45"/>
  <c r="AI986" i="45"/>
  <c r="AG986" i="45"/>
  <c r="AF398" i="45"/>
  <c r="AG962" i="45"/>
  <c r="AG790" i="45"/>
  <c r="AG873" i="45"/>
  <c r="AE34" i="45"/>
  <c r="AH1551" i="45"/>
  <c r="AG955" i="45"/>
  <c r="P978" i="45"/>
  <c r="AG911" i="45"/>
  <c r="O418" i="45"/>
  <c r="O440" i="45" s="1"/>
  <c r="Z751" i="45"/>
  <c r="AE1170" i="45"/>
  <c r="R1551" i="45"/>
  <c r="AF885" i="45"/>
  <c r="AI90" i="45"/>
  <c r="AG1167" i="45"/>
  <c r="AG833" i="45"/>
  <c r="AG938" i="45"/>
  <c r="AI947" i="45"/>
  <c r="AG947" i="45"/>
  <c r="AI824" i="45"/>
  <c r="AG824" i="45"/>
  <c r="AI868" i="45"/>
  <c r="P916" i="45"/>
  <c r="AF1158" i="45"/>
  <c r="AI890" i="45"/>
  <c r="AG890" i="45"/>
  <c r="AG867" i="45"/>
  <c r="AG598" i="45"/>
  <c r="AF1178" i="45"/>
  <c r="AF85" i="45"/>
  <c r="AF84" i="45" s="1"/>
  <c r="P84" i="45"/>
  <c r="AE381" i="45"/>
  <c r="O751" i="45"/>
  <c r="AE1146" i="45"/>
  <c r="N1551" i="45"/>
  <c r="AG1066" i="45"/>
  <c r="AF381" i="45"/>
  <c r="AG1142" i="45"/>
  <c r="AF1170" i="45"/>
  <c r="AF916" i="45"/>
  <c r="AF1303" i="45"/>
  <c r="AD775" i="45"/>
  <c r="AG759" i="45"/>
  <c r="Z775" i="45"/>
  <c r="AG975" i="45"/>
  <c r="P1529" i="45"/>
  <c r="AG1529" i="45" s="1"/>
  <c r="AG1550" i="45" s="1"/>
  <c r="AF1529" i="45"/>
  <c r="AF1550" i="45" s="1"/>
  <c r="AD90" i="45"/>
  <c r="AF373" i="45"/>
  <c r="AG1006" i="45"/>
  <c r="AF1026" i="45"/>
  <c r="O1145" i="45"/>
  <c r="AF793" i="45"/>
  <c r="AF978" i="45"/>
  <c r="AI862" i="45"/>
  <c r="AG862" i="45"/>
  <c r="AI994" i="45"/>
  <c r="AG994" i="45"/>
  <c r="AI1034" i="45"/>
  <c r="AG1034" i="45"/>
  <c r="AF766" i="45"/>
  <c r="AI1050" i="45"/>
  <c r="AG1050" i="45"/>
  <c r="AI854" i="45"/>
  <c r="AG854" i="45"/>
  <c r="AI1062" i="45"/>
  <c r="AG1062" i="45"/>
  <c r="AG1176" i="45"/>
  <c r="AI846" i="45"/>
  <c r="AG846" i="45"/>
  <c r="AI838" i="45"/>
  <c r="AG838" i="45"/>
  <c r="O90" i="45"/>
  <c r="AE1026" i="45"/>
  <c r="AI1169" i="45"/>
  <c r="AG1169" i="45"/>
  <c r="AI1191" i="45"/>
  <c r="AG1191" i="45"/>
  <c r="I484" i="32"/>
  <c r="AI851" i="45"/>
  <c r="AG851" i="45"/>
  <c r="AI810" i="45"/>
  <c r="AG810" i="45"/>
  <c r="AI826" i="45"/>
  <c r="AG826" i="45"/>
  <c r="AI759" i="45"/>
  <c r="AE766" i="45"/>
  <c r="AI767" i="45"/>
  <c r="AG767" i="45"/>
  <c r="AI1161" i="45"/>
  <c r="AG1161" i="45"/>
  <c r="AI1184" i="45"/>
  <c r="AG1184" i="45"/>
  <c r="AE1303" i="45"/>
  <c r="AG1220" i="45"/>
  <c r="AG1303" i="45" s="1"/>
  <c r="AF263" i="45"/>
  <c r="AI770" i="45"/>
  <c r="AG770" i="45"/>
  <c r="AE834" i="45"/>
  <c r="AI835" i="45"/>
  <c r="AI1035" i="45"/>
  <c r="AG1035" i="45"/>
  <c r="AI1051" i="45"/>
  <c r="AG1051" i="45"/>
  <c r="AI1067" i="45"/>
  <c r="AG1067" i="45"/>
  <c r="AF792" i="45"/>
  <c r="AF791" i="45" s="1"/>
  <c r="AE792" i="45"/>
  <c r="AI792" i="45" s="1"/>
  <c r="AI1179" i="45"/>
  <c r="AE1178" i="45"/>
  <c r="AE427" i="45"/>
  <c r="AF428" i="45"/>
  <c r="AG835" i="45"/>
  <c r="P834" i="45"/>
  <c r="P69" i="45"/>
  <c r="AF70" i="45"/>
  <c r="AF69" i="45" s="1"/>
  <c r="O644" i="45"/>
  <c r="AE793" i="45"/>
  <c r="AI818" i="45"/>
  <c r="AG818" i="45"/>
  <c r="P885" i="45"/>
  <c r="AG886" i="45"/>
  <c r="P419" i="45"/>
  <c r="AF420" i="45"/>
  <c r="AI753" i="45"/>
  <c r="AI752" i="45" s="1"/>
  <c r="AF756" i="45"/>
  <c r="AF754" i="45" s="1"/>
  <c r="AE756" i="45"/>
  <c r="AD754" i="45"/>
  <c r="AD751" i="45" s="1"/>
  <c r="AG755" i="45"/>
  <c r="AI919" i="45"/>
  <c r="AG919" i="45"/>
  <c r="AE1158" i="45"/>
  <c r="AI768" i="45"/>
  <c r="AG768" i="45"/>
  <c r="AE885" i="45"/>
  <c r="AI886" i="45"/>
  <c r="P1026" i="45"/>
  <c r="AI966" i="45"/>
  <c r="AG966" i="45"/>
  <c r="O775" i="45"/>
  <c r="AI1198" i="45"/>
  <c r="AI1193" i="45" s="1"/>
  <c r="AG1198" i="45"/>
  <c r="AI1192" i="45"/>
  <c r="AG1192" i="45"/>
  <c r="P1207" i="45"/>
  <c r="AG1208" i="45"/>
  <c r="AI1177" i="45"/>
  <c r="AI1170" i="45" s="1"/>
  <c r="AG1177" i="45"/>
  <c r="AG1170" i="45" s="1"/>
  <c r="AI1146" i="45"/>
  <c r="P396" i="45"/>
  <c r="AF834" i="45"/>
  <c r="AI859" i="45"/>
  <c r="AG859" i="45"/>
  <c r="AI1043" i="45"/>
  <c r="AG1043" i="45"/>
  <c r="AI1059" i="45"/>
  <c r="AG1059" i="45"/>
  <c r="AF1146" i="45"/>
  <c r="AD1145" i="45"/>
  <c r="AF1207" i="45"/>
  <c r="AE978" i="45"/>
  <c r="AI979" i="45"/>
  <c r="AG979" i="45"/>
  <c r="AF1448" i="45"/>
  <c r="AF366" i="45"/>
  <c r="AF364" i="45" s="1"/>
  <c r="AE364" i="45"/>
  <c r="AI787" i="45"/>
  <c r="AI784" i="45" s="1"/>
  <c r="AG787" i="45"/>
  <c r="AG797" i="45"/>
  <c r="P793" i="45"/>
  <c r="AI1209" i="45"/>
  <c r="AG1209" i="45"/>
  <c r="AE916" i="45"/>
  <c r="P81" i="45"/>
  <c r="AF82" i="45"/>
  <c r="AF81" i="45" s="1"/>
  <c r="AI974" i="45"/>
  <c r="AG974" i="45"/>
  <c r="AG1166" i="45"/>
  <c r="AG1154" i="45"/>
  <c r="AE1207" i="45"/>
  <c r="AI1208" i="45"/>
  <c r="K775" i="45"/>
  <c r="K1211" i="45" s="1"/>
  <c r="AI843" i="45"/>
  <c r="AG843" i="45"/>
  <c r="P1448" i="45"/>
  <c r="AG1363" i="45"/>
  <c r="AG1448" i="45" s="1"/>
  <c r="W521" i="60"/>
  <c r="W832" i="60" s="1"/>
  <c r="V521" i="60"/>
  <c r="V832" i="60" s="1"/>
  <c r="AG1146" i="45" l="1"/>
  <c r="AF1145" i="45"/>
  <c r="K1551" i="45"/>
  <c r="AI1158" i="45"/>
  <c r="P1145" i="45"/>
  <c r="O1211" i="45"/>
  <c r="AI885" i="45"/>
  <c r="AE752" i="45"/>
  <c r="AG1193" i="45"/>
  <c r="P1550" i="45"/>
  <c r="AF751" i="45"/>
  <c r="AG784" i="45"/>
  <c r="AG1178" i="45"/>
  <c r="O1551" i="45"/>
  <c r="AG885" i="45"/>
  <c r="AG793" i="45"/>
  <c r="AI916" i="45"/>
  <c r="AG1158" i="45"/>
  <c r="AF396" i="45"/>
  <c r="AD1211" i="45"/>
  <c r="AD1551" i="45" s="1"/>
  <c r="AF775" i="45"/>
  <c r="P775" i="45"/>
  <c r="P1211" i="45" s="1"/>
  <c r="AG978" i="45"/>
  <c r="AI1178" i="45"/>
  <c r="AI1026" i="45"/>
  <c r="AI793" i="45"/>
  <c r="AG916" i="45"/>
  <c r="AE1145" i="45"/>
  <c r="AI978" i="45"/>
  <c r="AG1026" i="45"/>
  <c r="AE775" i="45"/>
  <c r="AI756" i="45"/>
  <c r="AI754" i="45" s="1"/>
  <c r="AG756" i="45"/>
  <c r="AG754" i="45" s="1"/>
  <c r="AE754" i="45"/>
  <c r="AE751" i="45" s="1"/>
  <c r="P90" i="45"/>
  <c r="AI396" i="45"/>
  <c r="AE396" i="45"/>
  <c r="AF419" i="45"/>
  <c r="AF418" i="45" s="1"/>
  <c r="AF440" i="45" s="1"/>
  <c r="P418" i="45"/>
  <c r="P440" i="45" s="1"/>
  <c r="AG834" i="45"/>
  <c r="AF427" i="45"/>
  <c r="AI418" i="45"/>
  <c r="AI440" i="45" s="1"/>
  <c r="AE418" i="45"/>
  <c r="AI834" i="45"/>
  <c r="AG766" i="45"/>
  <c r="AI1207" i="45"/>
  <c r="AG792" i="45"/>
  <c r="AG791" i="45" s="1"/>
  <c r="AG1207" i="45"/>
  <c r="AF90" i="45"/>
  <c r="AI766" i="45"/>
  <c r="AF1211" i="45" l="1"/>
  <c r="AI1145" i="45"/>
  <c r="AG1145" i="45"/>
  <c r="AG775" i="45"/>
  <c r="AI751" i="45"/>
  <c r="AG751" i="45"/>
  <c r="AE440" i="45"/>
  <c r="AF1551" i="45"/>
  <c r="AE1211" i="45"/>
  <c r="AI775" i="45"/>
  <c r="P1551" i="45"/>
  <c r="AI1211" i="45" l="1"/>
  <c r="AI1551" i="45" s="1"/>
  <c r="AG1211" i="45"/>
  <c r="AG1551" i="45" s="1"/>
  <c r="AE1551" i="45"/>
  <c r="M21" i="64" l="1"/>
  <c r="G18" i="64"/>
  <c r="N6" i="64"/>
  <c r="N21" i="64" s="1"/>
  <c r="H193" i="79" l="1"/>
  <c r="G193" i="79"/>
  <c r="H63" i="79"/>
  <c r="G63" i="79"/>
  <c r="H41" i="79"/>
  <c r="H30" i="79"/>
  <c r="J961" i="51"/>
  <c r="J960" i="51"/>
  <c r="J959" i="51"/>
  <c r="J958" i="51"/>
  <c r="J957" i="51"/>
  <c r="J956" i="51"/>
  <c r="J955" i="51"/>
  <c r="J954" i="51"/>
  <c r="J953" i="51"/>
  <c r="J952" i="51"/>
  <c r="J951" i="51"/>
  <c r="J950" i="51"/>
  <c r="J949" i="51"/>
  <c r="J948" i="51"/>
  <c r="J947" i="51"/>
  <c r="J946" i="51"/>
  <c r="J945" i="51"/>
  <c r="J944" i="51"/>
  <c r="J943" i="51"/>
  <c r="J942" i="51"/>
  <c r="J941" i="51"/>
  <c r="J940" i="51"/>
  <c r="J939" i="51"/>
  <c r="J938" i="51"/>
  <c r="J937" i="51"/>
  <c r="J936" i="51"/>
  <c r="J935" i="51"/>
  <c r="J934" i="51"/>
  <c r="J933" i="51"/>
  <c r="J932" i="51"/>
  <c r="J931" i="51"/>
  <c r="J930" i="51"/>
  <c r="J929" i="51"/>
  <c r="J928" i="51"/>
  <c r="J927" i="51"/>
  <c r="J926" i="51"/>
  <c r="J925" i="51"/>
  <c r="J924" i="51"/>
  <c r="J923" i="51"/>
  <c r="J922" i="51"/>
  <c r="J921" i="51"/>
  <c r="J920" i="51"/>
  <c r="J919" i="51"/>
  <c r="J918" i="51"/>
  <c r="J917" i="51"/>
  <c r="J916" i="51"/>
  <c r="J915" i="51"/>
  <c r="J914" i="51"/>
  <c r="J913" i="51"/>
  <c r="J909" i="51"/>
  <c r="J908" i="51"/>
  <c r="J907" i="51"/>
  <c r="J906" i="51"/>
  <c r="J905" i="51"/>
  <c r="J904" i="51"/>
  <c r="J903" i="51"/>
  <c r="J902" i="51"/>
  <c r="J901" i="51"/>
  <c r="J900" i="51"/>
  <c r="J899" i="51"/>
  <c r="J898" i="51"/>
  <c r="J897" i="51"/>
  <c r="J896" i="51"/>
  <c r="J895" i="51"/>
  <c r="J894" i="51"/>
  <c r="J893" i="51"/>
  <c r="J892" i="51"/>
  <c r="J891" i="51"/>
  <c r="J890" i="51"/>
  <c r="J889" i="51"/>
  <c r="J888" i="51"/>
  <c r="J887" i="51"/>
  <c r="J886" i="51"/>
  <c r="J885" i="51"/>
  <c r="J884" i="51"/>
  <c r="J883" i="51"/>
  <c r="J882" i="51"/>
  <c r="J881" i="51"/>
  <c r="J880" i="51"/>
  <c r="J879" i="51"/>
  <c r="J878" i="51"/>
  <c r="J877" i="51"/>
  <c r="J876" i="51"/>
  <c r="J875" i="51"/>
  <c r="J874" i="51"/>
  <c r="J873" i="51"/>
  <c r="J872" i="51"/>
  <c r="J871" i="51"/>
  <c r="J870" i="51"/>
  <c r="J869" i="51"/>
  <c r="J868" i="51"/>
  <c r="J867" i="51"/>
  <c r="J866" i="51"/>
  <c r="J865" i="51"/>
  <c r="J864" i="51"/>
  <c r="J863" i="51"/>
  <c r="J862" i="51"/>
  <c r="J861" i="51"/>
  <c r="J860" i="51"/>
  <c r="J859" i="51"/>
  <c r="J858" i="51"/>
  <c r="J857" i="51"/>
  <c r="J856" i="51"/>
  <c r="J855" i="51"/>
  <c r="J854" i="51"/>
  <c r="J853" i="51"/>
  <c r="J852" i="51"/>
  <c r="J851" i="51"/>
  <c r="J850" i="51"/>
  <c r="J849" i="51"/>
  <c r="J848" i="51"/>
  <c r="J847" i="51"/>
  <c r="J846" i="51"/>
  <c r="J845" i="51"/>
  <c r="J844" i="51"/>
  <c r="J840" i="51"/>
  <c r="J839" i="51"/>
  <c r="J838" i="51"/>
  <c r="J837" i="51"/>
  <c r="J836" i="51"/>
  <c r="J835" i="51"/>
  <c r="J834" i="51"/>
  <c r="J833" i="51"/>
  <c r="J832" i="51"/>
  <c r="J831" i="51"/>
  <c r="J830" i="51"/>
  <c r="J829" i="51"/>
  <c r="J828" i="51"/>
  <c r="J827" i="51"/>
  <c r="J826" i="51"/>
  <c r="J825" i="51"/>
  <c r="J824" i="51"/>
  <c r="J823" i="51"/>
  <c r="J822" i="51"/>
  <c r="J821" i="51"/>
  <c r="J820" i="51"/>
  <c r="J819" i="51"/>
  <c r="J818" i="51"/>
  <c r="J817" i="51"/>
  <c r="J816" i="51"/>
  <c r="J815" i="51"/>
  <c r="J814" i="51"/>
  <c r="J813" i="51"/>
  <c r="J812" i="51"/>
  <c r="J811" i="51"/>
  <c r="J810" i="51"/>
  <c r="J809" i="51"/>
  <c r="J808" i="51"/>
  <c r="J807" i="51"/>
  <c r="J806" i="51"/>
  <c r="J805" i="51"/>
  <c r="J804" i="51"/>
  <c r="J800" i="51"/>
  <c r="J799" i="51"/>
  <c r="J798" i="51"/>
  <c r="J797" i="51"/>
  <c r="J796" i="51"/>
  <c r="J792" i="51"/>
  <c r="J791" i="51"/>
  <c r="J790" i="51"/>
  <c r="J789" i="51"/>
  <c r="J788" i="51"/>
  <c r="J787" i="51"/>
  <c r="J786" i="51"/>
  <c r="J785" i="51"/>
  <c r="J784" i="51"/>
  <c r="J783" i="51"/>
  <c r="J782" i="51"/>
  <c r="J781" i="51"/>
  <c r="J780" i="51"/>
  <c r="J779" i="51"/>
  <c r="J778" i="51"/>
  <c r="J777" i="51"/>
  <c r="J776" i="51"/>
  <c r="J775" i="51"/>
  <c r="J774" i="51"/>
  <c r="J773" i="51"/>
  <c r="J772" i="51"/>
  <c r="J771" i="51"/>
  <c r="J770" i="51"/>
  <c r="J769" i="51"/>
  <c r="J768" i="51"/>
  <c r="J767" i="51"/>
  <c r="J766" i="51"/>
  <c r="J765" i="51"/>
  <c r="J764" i="51"/>
  <c r="J763" i="51"/>
  <c r="J762" i="51"/>
  <c r="J761" i="51"/>
  <c r="J760" i="51"/>
  <c r="J759" i="51"/>
  <c r="J758" i="51"/>
  <c r="J757" i="51"/>
  <c r="J756" i="51"/>
  <c r="J755" i="51"/>
  <c r="J754" i="51"/>
  <c r="J753" i="51"/>
  <c r="J752" i="51"/>
  <c r="J751" i="51"/>
  <c r="J750" i="51"/>
  <c r="J749" i="51"/>
  <c r="J748" i="51"/>
  <c r="J747" i="51"/>
  <c r="J746" i="51"/>
  <c r="J745" i="51"/>
  <c r="J744" i="51"/>
  <c r="J743" i="51"/>
  <c r="J742" i="51"/>
  <c r="J741" i="51"/>
  <c r="J740" i="51"/>
  <c r="J739" i="51"/>
  <c r="J738" i="51"/>
  <c r="J737" i="51"/>
  <c r="J736" i="51"/>
  <c r="J728" i="51"/>
  <c r="J726" i="51"/>
  <c r="J725" i="51"/>
  <c r="J724" i="51"/>
  <c r="J723" i="51"/>
  <c r="J722" i="51"/>
  <c r="J721" i="51"/>
  <c r="J720" i="51"/>
  <c r="J719" i="51"/>
  <c r="J718" i="51"/>
  <c r="J717" i="51"/>
  <c r="J716" i="51"/>
  <c r="J715" i="51"/>
  <c r="J714" i="51"/>
  <c r="J713" i="51"/>
  <c r="J712" i="51"/>
  <c r="J711" i="51"/>
  <c r="J710" i="51"/>
  <c r="J709" i="51"/>
  <c r="J708" i="51"/>
  <c r="J707" i="51"/>
  <c r="J706" i="51"/>
  <c r="J705" i="51"/>
  <c r="J704" i="51"/>
  <c r="J703" i="51"/>
  <c r="J702" i="51"/>
  <c r="J701" i="51"/>
  <c r="J700" i="51"/>
  <c r="J692" i="51"/>
  <c r="J691" i="51"/>
  <c r="J690" i="51"/>
  <c r="J689" i="51"/>
  <c r="J688" i="51"/>
  <c r="J687" i="51"/>
  <c r="J686" i="51"/>
  <c r="J685" i="51"/>
  <c r="J684" i="51"/>
  <c r="J683" i="51"/>
  <c r="J682" i="51"/>
  <c r="J681" i="51"/>
  <c r="J680" i="51"/>
  <c r="J675" i="51"/>
  <c r="J674" i="51"/>
  <c r="J673" i="51"/>
  <c r="J672" i="51"/>
  <c r="J671" i="51"/>
  <c r="J670" i="51"/>
  <c r="J669" i="51"/>
  <c r="J668" i="51"/>
  <c r="J667" i="51"/>
  <c r="J666" i="51"/>
  <c r="J665" i="51"/>
  <c r="J664" i="51"/>
  <c r="J663" i="51"/>
  <c r="J662" i="51"/>
  <c r="J661" i="51"/>
  <c r="J660" i="51"/>
  <c r="J659" i="51"/>
  <c r="J658" i="51"/>
  <c r="J657" i="51"/>
  <c r="J656" i="51"/>
  <c r="J655" i="51"/>
  <c r="J654" i="51"/>
  <c r="J653" i="51"/>
  <c r="J652" i="51"/>
  <c r="J651" i="51"/>
  <c r="J650" i="51"/>
  <c r="J649" i="51"/>
  <c r="J648" i="51"/>
  <c r="J647" i="51"/>
  <c r="J646" i="51"/>
  <c r="J645" i="51"/>
  <c r="J641" i="51"/>
  <c r="J640" i="51"/>
  <c r="J639" i="51"/>
  <c r="J638" i="51"/>
  <c r="J637" i="51"/>
  <c r="J636" i="51"/>
  <c r="J635" i="51"/>
  <c r="J634" i="51"/>
  <c r="J633" i="51"/>
  <c r="J632" i="51"/>
  <c r="J631" i="51"/>
  <c r="J630" i="51"/>
  <c r="J629" i="51"/>
  <c r="J628" i="51"/>
  <c r="J627" i="51"/>
  <c r="J626" i="51"/>
  <c r="J625" i="51"/>
  <c r="J624" i="51"/>
  <c r="J623" i="51"/>
  <c r="J622" i="51"/>
  <c r="J621" i="51"/>
  <c r="J620" i="51"/>
  <c r="J619" i="51"/>
  <c r="J618" i="51"/>
  <c r="J617" i="51"/>
  <c r="J616" i="51"/>
  <c r="J615" i="51"/>
  <c r="J614" i="51"/>
  <c r="J613" i="51"/>
  <c r="J612" i="51"/>
  <c r="J611" i="51"/>
  <c r="J610" i="51"/>
  <c r="J609" i="51"/>
  <c r="J608" i="51"/>
  <c r="J607" i="51"/>
  <c r="J606" i="51"/>
  <c r="J605" i="51"/>
  <c r="J604" i="51"/>
  <c r="J603" i="51"/>
  <c r="J602" i="51"/>
  <c r="J601" i="51"/>
  <c r="J600" i="51"/>
  <c r="J599" i="51"/>
  <c r="J598" i="51"/>
  <c r="J597" i="51"/>
  <c r="J596" i="51"/>
  <c r="J595" i="51"/>
  <c r="J594" i="51"/>
  <c r="J593" i="51"/>
  <c r="J592" i="51"/>
  <c r="J591" i="51"/>
  <c r="J590" i="51"/>
  <c r="J589" i="51"/>
  <c r="J588" i="51"/>
  <c r="J587" i="51"/>
  <c r="J586" i="51"/>
  <c r="J585" i="51"/>
  <c r="J584" i="51"/>
  <c r="J583" i="51"/>
  <c r="J582" i="51"/>
  <c r="J581" i="51"/>
  <c r="J580" i="51"/>
  <c r="J579" i="51"/>
  <c r="J578" i="51"/>
  <c r="J577" i="51"/>
  <c r="J576" i="51"/>
  <c r="J575" i="51"/>
  <c r="J574" i="51"/>
  <c r="J573" i="51"/>
  <c r="J572" i="51"/>
  <c r="J571" i="51"/>
  <c r="J570" i="51"/>
  <c r="J569" i="51"/>
  <c r="J568" i="51"/>
  <c r="J567" i="51"/>
  <c r="J566" i="51"/>
  <c r="J565" i="51"/>
  <c r="J564" i="51"/>
  <c r="J560" i="51"/>
  <c r="J559" i="51"/>
  <c r="J558" i="51"/>
  <c r="J557" i="51"/>
  <c r="J556" i="51"/>
  <c r="J555" i="51"/>
  <c r="J554" i="51"/>
  <c r="J553" i="51"/>
  <c r="J552" i="51"/>
  <c r="J551" i="51"/>
  <c r="J550" i="51"/>
  <c r="J549" i="51"/>
  <c r="J548" i="51"/>
  <c r="J547" i="51"/>
  <c r="J546" i="51"/>
  <c r="J545" i="51"/>
  <c r="J544" i="51"/>
  <c r="J543" i="51"/>
  <c r="J542" i="51"/>
  <c r="J541" i="51"/>
  <c r="J540" i="51"/>
  <c r="J539" i="51"/>
  <c r="J538" i="51"/>
  <c r="J537" i="51"/>
  <c r="J536" i="51"/>
  <c r="J535" i="51"/>
  <c r="J531" i="51"/>
  <c r="J530" i="51"/>
  <c r="J529" i="51"/>
  <c r="J528" i="51"/>
  <c r="J527" i="51"/>
  <c r="J526" i="51"/>
  <c r="J525" i="51"/>
  <c r="J524" i="51"/>
  <c r="J523" i="51"/>
  <c r="J522" i="51"/>
  <c r="J521" i="51"/>
  <c r="J520" i="51"/>
  <c r="J519" i="51"/>
  <c r="J518" i="51"/>
  <c r="J517" i="51"/>
  <c r="J516" i="51"/>
  <c r="J515" i="51"/>
  <c r="J514" i="51"/>
  <c r="J513" i="51"/>
  <c r="J512" i="51"/>
  <c r="J511" i="51"/>
  <c r="J510" i="51"/>
  <c r="J507" i="51"/>
  <c r="J506" i="51"/>
  <c r="J505" i="51"/>
  <c r="J504" i="51"/>
  <c r="J503" i="51"/>
  <c r="J502" i="51"/>
  <c r="J501" i="51"/>
  <c r="J500" i="51"/>
  <c r="J499" i="51"/>
  <c r="J498" i="51"/>
  <c r="J497" i="51"/>
  <c r="J496" i="51"/>
  <c r="J495" i="51"/>
  <c r="J494" i="51"/>
  <c r="J493" i="51"/>
  <c r="J492" i="51"/>
  <c r="J491" i="51"/>
  <c r="J490" i="51"/>
  <c r="J489" i="51"/>
  <c r="J488" i="51"/>
  <c r="J487" i="51"/>
  <c r="J486" i="51"/>
  <c r="J485" i="51"/>
  <c r="J484" i="51"/>
  <c r="J483" i="51"/>
  <c r="J482" i="51"/>
  <c r="J481" i="51"/>
  <c r="J480" i="51"/>
  <c r="J479" i="51"/>
  <c r="J478" i="51"/>
  <c r="J477" i="51"/>
  <c r="J476" i="51"/>
  <c r="J475" i="51"/>
  <c r="J474" i="51"/>
  <c r="J473" i="51"/>
  <c r="J472" i="51"/>
  <c r="J471" i="51"/>
  <c r="J470" i="51"/>
  <c r="J469" i="51"/>
  <c r="J468" i="51"/>
  <c r="J467" i="51"/>
  <c r="J464" i="51"/>
  <c r="J463" i="51"/>
  <c r="J462" i="51"/>
  <c r="J461" i="51"/>
  <c r="J460" i="51"/>
  <c r="J459" i="51"/>
  <c r="J458" i="51"/>
  <c r="J457" i="51"/>
  <c r="J456" i="51"/>
  <c r="F294" i="51"/>
  <c r="F130" i="51"/>
  <c r="F24" i="50"/>
  <c r="N18" i="50"/>
  <c r="K18" i="50"/>
  <c r="N17" i="50"/>
  <c r="K17" i="50"/>
  <c r="N16" i="50"/>
  <c r="N15" i="50"/>
  <c r="K15" i="50"/>
  <c r="N14" i="50"/>
  <c r="K14" i="50"/>
  <c r="N13" i="50"/>
  <c r="K13" i="50"/>
  <c r="N12" i="50"/>
  <c r="K12" i="50"/>
  <c r="N11" i="50"/>
  <c r="K11" i="50"/>
  <c r="N10" i="50"/>
  <c r="K10" i="50"/>
  <c r="N9" i="50"/>
  <c r="K9" i="50"/>
  <c r="N8" i="50"/>
  <c r="N7" i="50"/>
  <c r="N6" i="50"/>
  <c r="D107" i="21" l="1"/>
  <c r="F26" i="33" l="1"/>
  <c r="E26" i="33"/>
  <c r="D26" i="33"/>
  <c r="C26" i="33"/>
  <c r="B26" i="33"/>
  <c r="J25" i="33"/>
  <c r="I25" i="33"/>
  <c r="H25" i="33"/>
  <c r="G25" i="33"/>
  <c r="J24" i="33"/>
  <c r="I24" i="33"/>
  <c r="H24" i="33"/>
  <c r="G24" i="33"/>
  <c r="J23" i="33"/>
  <c r="I23" i="33"/>
  <c r="H23" i="33"/>
  <c r="G23" i="33"/>
  <c r="J22" i="33"/>
  <c r="I22" i="33"/>
  <c r="H22" i="33"/>
  <c r="G22" i="33"/>
  <c r="J21" i="33"/>
  <c r="I21" i="33"/>
  <c r="H21" i="33"/>
  <c r="G21" i="33"/>
  <c r="J20" i="33"/>
  <c r="I20" i="33"/>
  <c r="H20" i="33"/>
  <c r="G20" i="33"/>
  <c r="J19" i="33"/>
  <c r="I19" i="33"/>
  <c r="H19" i="33"/>
  <c r="G19" i="33"/>
  <c r="J18" i="33"/>
  <c r="I18" i="33"/>
  <c r="H18" i="33"/>
  <c r="G18" i="33"/>
  <c r="J17" i="33"/>
  <c r="I17" i="33"/>
  <c r="H17" i="33"/>
  <c r="G17" i="33"/>
  <c r="J16" i="33"/>
  <c r="I16" i="33"/>
  <c r="H16" i="33"/>
  <c r="G16" i="33"/>
  <c r="J15" i="33"/>
  <c r="I15" i="33"/>
  <c r="H15" i="33"/>
  <c r="G15" i="33"/>
  <c r="J14" i="33"/>
  <c r="I14" i="33"/>
  <c r="H14" i="33"/>
  <c r="G14" i="33"/>
  <c r="J13" i="33"/>
  <c r="I13" i="33"/>
  <c r="H13" i="33"/>
  <c r="G13" i="33"/>
  <c r="J12" i="33"/>
  <c r="I12" i="33"/>
  <c r="H12" i="33"/>
  <c r="G12" i="33"/>
  <c r="J11" i="33"/>
  <c r="I11" i="33"/>
  <c r="H11" i="33"/>
  <c r="G11" i="33"/>
  <c r="J10" i="33"/>
  <c r="I10" i="33"/>
  <c r="H10" i="33"/>
  <c r="G10" i="33"/>
  <c r="J9" i="33"/>
  <c r="I9" i="33"/>
  <c r="H9" i="33"/>
  <c r="G9" i="33"/>
  <c r="J8" i="33"/>
  <c r="I8" i="33"/>
  <c r="H8" i="33"/>
  <c r="G8" i="33"/>
  <c r="J7" i="33"/>
  <c r="I7" i="33"/>
  <c r="H7" i="33"/>
  <c r="G7" i="33"/>
  <c r="J6" i="33"/>
  <c r="I6" i="33"/>
  <c r="H6" i="33"/>
  <c r="G6" i="33"/>
  <c r="I26" i="33" l="1"/>
  <c r="G26" i="33"/>
  <c r="H26" i="33"/>
  <c r="J26" i="33"/>
  <c r="L101" i="21" l="1"/>
  <c r="E101" i="21"/>
  <c r="E97" i="21"/>
  <c r="F97" i="21"/>
  <c r="L97" i="21"/>
  <c r="D97" i="21"/>
  <c r="E93" i="21"/>
  <c r="F93" i="21"/>
  <c r="L93" i="21"/>
  <c r="D93" i="21"/>
  <c r="E85" i="21"/>
  <c r="F85" i="21"/>
  <c r="H85" i="21"/>
  <c r="L85" i="21"/>
  <c r="D85" i="21"/>
  <c r="E81" i="21"/>
  <c r="F81" i="21"/>
  <c r="L81" i="21"/>
  <c r="D81" i="21"/>
  <c r="L77" i="21"/>
  <c r="F77" i="21"/>
  <c r="L73" i="21"/>
  <c r="F73" i="21"/>
  <c r="F57" i="21"/>
  <c r="D61" i="21"/>
  <c r="D65" i="21"/>
  <c r="D69" i="21"/>
  <c r="F69" i="21"/>
  <c r="L69" i="21"/>
  <c r="E65" i="21"/>
  <c r="F65" i="21"/>
  <c r="H65" i="21"/>
  <c r="L65" i="21"/>
  <c r="F61" i="21"/>
  <c r="L61" i="21"/>
  <c r="E53" i="21"/>
  <c r="F53" i="21"/>
  <c r="L53" i="21"/>
  <c r="D53" i="21"/>
  <c r="E49" i="21"/>
  <c r="F49" i="21"/>
  <c r="L49" i="21"/>
  <c r="D49" i="21"/>
  <c r="E45" i="21"/>
  <c r="F45" i="21"/>
  <c r="H45" i="21"/>
  <c r="L45" i="21"/>
  <c r="D45" i="21"/>
  <c r="E41" i="21"/>
  <c r="F41" i="21"/>
  <c r="H41" i="21"/>
  <c r="L41" i="21"/>
  <c r="D41" i="21"/>
  <c r="F37" i="21"/>
  <c r="L37" i="21"/>
  <c r="D37" i="21"/>
  <c r="D33" i="21"/>
  <c r="E33" i="21"/>
  <c r="F33" i="21"/>
  <c r="H33" i="21"/>
  <c r="L33" i="21"/>
  <c r="L25" i="21"/>
  <c r="F25" i="21"/>
  <c r="E25" i="21"/>
  <c r="E17" i="21"/>
  <c r="G17" i="21"/>
  <c r="D17" i="21"/>
  <c r="F17" i="21"/>
  <c r="H17" i="21"/>
  <c r="L17" i="21"/>
  <c r="O17" i="21"/>
  <c r="N25" i="9"/>
  <c r="L25" i="9"/>
  <c r="K25" i="9"/>
  <c r="J25" i="9"/>
  <c r="I25" i="9"/>
  <c r="G25" i="9"/>
  <c r="F25" i="9"/>
  <c r="E25" i="9"/>
  <c r="D25" i="9"/>
  <c r="C25" i="9"/>
  <c r="B25" i="9"/>
  <c r="O24" i="9"/>
  <c r="M24" i="9"/>
  <c r="H24" i="9"/>
  <c r="O23" i="9"/>
  <c r="M23" i="9"/>
  <c r="H23" i="9"/>
  <c r="O22" i="9"/>
  <c r="M22" i="9"/>
  <c r="H22" i="9"/>
  <c r="O21" i="9"/>
  <c r="M21" i="9"/>
  <c r="H21" i="9"/>
  <c r="P21" i="9" s="1"/>
  <c r="O20" i="9"/>
  <c r="M20" i="9"/>
  <c r="H20" i="9"/>
  <c r="O19" i="9"/>
  <c r="M19" i="9"/>
  <c r="H19" i="9"/>
  <c r="O18" i="9"/>
  <c r="M18" i="9"/>
  <c r="H18" i="9"/>
  <c r="O17" i="9"/>
  <c r="M17" i="9"/>
  <c r="H17" i="9"/>
  <c r="O16" i="9"/>
  <c r="M16" i="9"/>
  <c r="H16" i="9"/>
  <c r="O15" i="9"/>
  <c r="M15" i="9"/>
  <c r="H15" i="9"/>
  <c r="O14" i="9"/>
  <c r="M14" i="9"/>
  <c r="H14" i="9"/>
  <c r="O13" i="9"/>
  <c r="M13" i="9"/>
  <c r="H13" i="9"/>
  <c r="O12" i="9"/>
  <c r="M12" i="9"/>
  <c r="H12" i="9"/>
  <c r="O11" i="9"/>
  <c r="M11" i="9"/>
  <c r="H11" i="9"/>
  <c r="O10" i="9"/>
  <c r="M10" i="9"/>
  <c r="H10" i="9"/>
  <c r="O9" i="9"/>
  <c r="M9" i="9"/>
  <c r="H9" i="9"/>
  <c r="O8" i="9"/>
  <c r="M8" i="9"/>
  <c r="H8" i="9"/>
  <c r="O7" i="9"/>
  <c r="M7" i="9"/>
  <c r="H7" i="9"/>
  <c r="O6" i="9"/>
  <c r="M6" i="9"/>
  <c r="H6" i="9"/>
  <c r="D125" i="76"/>
  <c r="C125" i="76"/>
  <c r="B125" i="76"/>
  <c r="D83" i="76"/>
  <c r="C83" i="76"/>
  <c r="B83" i="76"/>
  <c r="D41" i="76"/>
  <c r="C41" i="76"/>
  <c r="B41" i="76"/>
  <c r="D51" i="70"/>
  <c r="C51" i="70"/>
  <c r="B51" i="70"/>
  <c r="D46" i="70"/>
  <c r="C46" i="70"/>
  <c r="B46" i="70"/>
  <c r="D39" i="70"/>
  <c r="D53" i="70" s="1"/>
  <c r="C39" i="70"/>
  <c r="B39" i="70"/>
  <c r="D34" i="70"/>
  <c r="C34" i="70"/>
  <c r="B34" i="70"/>
  <c r="D29" i="70"/>
  <c r="C29" i="70"/>
  <c r="B29" i="70"/>
  <c r="D22" i="70"/>
  <c r="D36" i="70" s="1"/>
  <c r="C22" i="70"/>
  <c r="B22" i="70"/>
  <c r="D17" i="70"/>
  <c r="C17" i="70"/>
  <c r="B17" i="70"/>
  <c r="D12" i="70"/>
  <c r="C12" i="70"/>
  <c r="B12" i="70"/>
  <c r="D5" i="70"/>
  <c r="D19" i="70" s="1"/>
  <c r="C5" i="70"/>
  <c r="B5" i="70"/>
  <c r="D20" i="73"/>
  <c r="C19" i="73"/>
  <c r="B19" i="73"/>
  <c r="D14" i="73"/>
  <c r="C13" i="73"/>
  <c r="B13" i="73"/>
  <c r="D8" i="73"/>
  <c r="C7" i="73"/>
  <c r="B7" i="73"/>
  <c r="L108" i="21"/>
  <c r="O108" i="21"/>
  <c r="E108" i="21"/>
  <c r="F108" i="21"/>
  <c r="G108" i="21"/>
  <c r="H108" i="21"/>
  <c r="D108" i="21"/>
  <c r="D109" i="21" s="1"/>
  <c r="N99" i="21"/>
  <c r="N100" i="21"/>
  <c r="N98" i="21"/>
  <c r="I100" i="21"/>
  <c r="Q100" i="21" l="1"/>
  <c r="P12" i="9"/>
  <c r="P15" i="9"/>
  <c r="C19" i="70"/>
  <c r="B36" i="70"/>
  <c r="P6" i="9"/>
  <c r="M25" i="9"/>
  <c r="P16" i="9"/>
  <c r="C36" i="70"/>
  <c r="B53" i="70"/>
  <c r="N101" i="21"/>
  <c r="C53" i="70"/>
  <c r="P24" i="9"/>
  <c r="B19" i="70"/>
  <c r="P9" i="9"/>
  <c r="P14" i="9"/>
  <c r="P18" i="9"/>
  <c r="P23" i="9"/>
  <c r="P11" i="9"/>
  <c r="P13" i="9"/>
  <c r="P20" i="9"/>
  <c r="P22" i="9"/>
  <c r="P8" i="9"/>
  <c r="P10" i="9"/>
  <c r="P17" i="9"/>
  <c r="P19" i="9"/>
  <c r="H25" i="9"/>
  <c r="O25" i="9"/>
  <c r="P7" i="9"/>
  <c r="N95" i="21"/>
  <c r="N96" i="21"/>
  <c r="N94" i="21"/>
  <c r="I96" i="21"/>
  <c r="N92" i="21"/>
  <c r="I92" i="21"/>
  <c r="N84" i="21"/>
  <c r="I84" i="21"/>
  <c r="N80" i="21"/>
  <c r="I80" i="21"/>
  <c r="I56" i="21"/>
  <c r="N76" i="21"/>
  <c r="I76" i="21"/>
  <c r="N72" i="21"/>
  <c r="I72" i="21"/>
  <c r="N68" i="21"/>
  <c r="N67" i="21"/>
  <c r="I68" i="21"/>
  <c r="N64" i="21"/>
  <c r="I64" i="21"/>
  <c r="N60" i="21"/>
  <c r="I60" i="21"/>
  <c r="N52" i="21"/>
  <c r="N51" i="21"/>
  <c r="I52" i="21"/>
  <c r="N48" i="21"/>
  <c r="I48" i="21"/>
  <c r="N44" i="21"/>
  <c r="I44" i="21"/>
  <c r="Q44" i="21" s="1"/>
  <c r="N40" i="21"/>
  <c r="I40" i="21"/>
  <c r="N35" i="21"/>
  <c r="N36" i="21"/>
  <c r="N37" i="21" s="1"/>
  <c r="N34" i="21"/>
  <c r="I36" i="21"/>
  <c r="N31" i="21"/>
  <c r="N32" i="21"/>
  <c r="N33" i="21" s="1"/>
  <c r="I32" i="21"/>
  <c r="I24" i="21"/>
  <c r="N23" i="21"/>
  <c r="N24" i="21"/>
  <c r="N25" i="21" s="1"/>
  <c r="P16" i="21"/>
  <c r="N16" i="21"/>
  <c r="I16" i="21"/>
  <c r="I15" i="21"/>
  <c r="E107" i="21"/>
  <c r="E109" i="21" s="1"/>
  <c r="F107" i="21"/>
  <c r="F109" i="21" s="1"/>
  <c r="G107" i="21"/>
  <c r="G109" i="21" s="1"/>
  <c r="H107" i="21"/>
  <c r="H109" i="21" s="1"/>
  <c r="L107" i="21"/>
  <c r="L109" i="21" s="1"/>
  <c r="O107" i="21"/>
  <c r="O109" i="21" s="1"/>
  <c r="E106" i="21"/>
  <c r="F106" i="21"/>
  <c r="G106" i="21"/>
  <c r="H106" i="21"/>
  <c r="D106" i="21"/>
  <c r="L106" i="21"/>
  <c r="I99" i="21"/>
  <c r="I101" i="21" s="1"/>
  <c r="I98" i="21"/>
  <c r="Q98" i="21" s="1"/>
  <c r="I95" i="21"/>
  <c r="I94" i="21"/>
  <c r="N91" i="21"/>
  <c r="I91" i="21"/>
  <c r="N90" i="21"/>
  <c r="I90" i="21"/>
  <c r="N83" i="21"/>
  <c r="I83" i="21"/>
  <c r="N82" i="21"/>
  <c r="I82" i="21"/>
  <c r="N79" i="21"/>
  <c r="I79" i="21"/>
  <c r="N78" i="21"/>
  <c r="I78" i="21"/>
  <c r="N75" i="21"/>
  <c r="I75" i="21"/>
  <c r="N74" i="21"/>
  <c r="I74" i="21"/>
  <c r="N71" i="21"/>
  <c r="I71" i="21"/>
  <c r="N70" i="21"/>
  <c r="I70" i="21"/>
  <c r="I67" i="21"/>
  <c r="N66" i="21"/>
  <c r="I66" i="21"/>
  <c r="N63" i="21"/>
  <c r="I63" i="21"/>
  <c r="N62" i="21"/>
  <c r="I62" i="21"/>
  <c r="N59" i="21"/>
  <c r="I59" i="21"/>
  <c r="N58" i="21"/>
  <c r="I58" i="21"/>
  <c r="I55" i="21"/>
  <c r="I54" i="21"/>
  <c r="Q54" i="21" s="1"/>
  <c r="I51" i="21"/>
  <c r="N50" i="21"/>
  <c r="I50" i="21"/>
  <c r="N47" i="21"/>
  <c r="I47" i="21"/>
  <c r="N46" i="21"/>
  <c r="I46" i="21"/>
  <c r="N43" i="21"/>
  <c r="I43" i="21"/>
  <c r="N42" i="21"/>
  <c r="I42" i="21"/>
  <c r="N39" i="21"/>
  <c r="I39" i="21"/>
  <c r="I41" i="21" s="1"/>
  <c r="N38" i="21"/>
  <c r="I38" i="21"/>
  <c r="I35" i="21"/>
  <c r="I34" i="21"/>
  <c r="I31" i="21"/>
  <c r="N30" i="21"/>
  <c r="I30" i="21"/>
  <c r="I23" i="21"/>
  <c r="N22" i="21"/>
  <c r="I22" i="21"/>
  <c r="P15" i="21"/>
  <c r="N15" i="21"/>
  <c r="N14" i="21"/>
  <c r="I14" i="21"/>
  <c r="Q30" i="21" l="1"/>
  <c r="Q78" i="21"/>
  <c r="N53" i="21"/>
  <c r="P108" i="21"/>
  <c r="P17" i="21"/>
  <c r="I33" i="21"/>
  <c r="N41" i="21"/>
  <c r="I49" i="21"/>
  <c r="N65" i="21"/>
  <c r="I73" i="21"/>
  <c r="Q56" i="21"/>
  <c r="I57" i="21"/>
  <c r="I45" i="21"/>
  <c r="N49" i="21"/>
  <c r="I61" i="21"/>
  <c r="I69" i="21"/>
  <c r="N73" i="21"/>
  <c r="N97" i="21"/>
  <c r="I17" i="21"/>
  <c r="I53" i="21"/>
  <c r="N61" i="21"/>
  <c r="Q67" i="21"/>
  <c r="I77" i="21"/>
  <c r="N93" i="21"/>
  <c r="Q66" i="21"/>
  <c r="N17" i="21"/>
  <c r="Q24" i="21"/>
  <c r="I25" i="21"/>
  <c r="I37" i="21"/>
  <c r="N45" i="21"/>
  <c r="I65" i="21"/>
  <c r="N69" i="21"/>
  <c r="P25" i="9"/>
  <c r="Q10" i="9" s="1"/>
  <c r="Q18" i="9"/>
  <c r="I93" i="21"/>
  <c r="N77" i="21"/>
  <c r="N81" i="21"/>
  <c r="Q84" i="21"/>
  <c r="N85" i="21"/>
  <c r="Q92" i="21"/>
  <c r="Q80" i="21"/>
  <c r="I81" i="21"/>
  <c r="I97" i="21"/>
  <c r="I85" i="21"/>
  <c r="Q90" i="21"/>
  <c r="Q58" i="21"/>
  <c r="Q70" i="21"/>
  <c r="Q82" i="21"/>
  <c r="Q91" i="21"/>
  <c r="P107" i="21"/>
  <c r="Q40" i="21"/>
  <c r="Q64" i="21"/>
  <c r="Q62" i="21"/>
  <c r="Q42" i="21"/>
  <c r="Q16" i="21"/>
  <c r="Q48" i="21"/>
  <c r="Q72" i="21"/>
  <c r="Q38" i="21"/>
  <c r="Q68" i="21"/>
  <c r="Q69" i="21" s="1"/>
  <c r="Q46" i="21"/>
  <c r="Q95" i="21"/>
  <c r="Q96" i="21"/>
  <c r="Q97" i="21" s="1"/>
  <c r="Q99" i="21"/>
  <c r="Q101" i="21" s="1"/>
  <c r="Q76" i="21"/>
  <c r="Q74" i="21"/>
  <c r="Q50" i="21"/>
  <c r="I106" i="21"/>
  <c r="Q55" i="21"/>
  <c r="Q60" i="21"/>
  <c r="I108" i="21"/>
  <c r="Q34" i="21"/>
  <c r="Q36" i="21"/>
  <c r="Q75" i="21"/>
  <c r="Q43" i="21"/>
  <c r="Q45" i="21" s="1"/>
  <c r="Q71" i="21"/>
  <c r="Q83" i="21"/>
  <c r="Q32" i="21"/>
  <c r="Q63" i="21"/>
  <c r="Q39" i="21"/>
  <c r="Q41" i="21" s="1"/>
  <c r="Q59" i="21"/>
  <c r="N106" i="21"/>
  <c r="Q47" i="21"/>
  <c r="N108" i="21"/>
  <c r="Q94" i="21"/>
  <c r="Q79" i="21"/>
  <c r="Q52" i="21"/>
  <c r="Q51" i="21"/>
  <c r="Q35" i="21"/>
  <c r="N107" i="21"/>
  <c r="Q31" i="21"/>
  <c r="I107" i="21"/>
  <c r="I109" i="21" s="1"/>
  <c r="Q23" i="21"/>
  <c r="Q22" i="21"/>
  <c r="Q14" i="21"/>
  <c r="Q15" i="21"/>
  <c r="O26" i="30"/>
  <c r="L26" i="30"/>
  <c r="E26" i="30"/>
  <c r="F26" i="30"/>
  <c r="G26" i="30"/>
  <c r="H26" i="30"/>
  <c r="D26" i="30"/>
  <c r="I16" i="30"/>
  <c r="P7" i="30"/>
  <c r="P8" i="30"/>
  <c r="P9" i="30"/>
  <c r="P10" i="30"/>
  <c r="P11" i="30"/>
  <c r="P12" i="30"/>
  <c r="P13" i="30"/>
  <c r="P14" i="30"/>
  <c r="P15" i="30"/>
  <c r="P16" i="30"/>
  <c r="P17" i="30"/>
  <c r="P18" i="30"/>
  <c r="P19" i="30"/>
  <c r="P20" i="30"/>
  <c r="P21" i="30"/>
  <c r="P22" i="30"/>
  <c r="P23" i="30"/>
  <c r="P24" i="30"/>
  <c r="P25" i="30"/>
  <c r="N7" i="30"/>
  <c r="N8" i="30"/>
  <c r="N9" i="30"/>
  <c r="N10" i="30"/>
  <c r="N11" i="30"/>
  <c r="N12" i="30"/>
  <c r="N13" i="30"/>
  <c r="N14" i="30"/>
  <c r="N15" i="30"/>
  <c r="N16" i="30"/>
  <c r="N17" i="30"/>
  <c r="N18" i="30"/>
  <c r="N19" i="30"/>
  <c r="N20" i="30"/>
  <c r="N21" i="30"/>
  <c r="N22" i="30"/>
  <c r="N23" i="30"/>
  <c r="N24" i="30"/>
  <c r="N25" i="30"/>
  <c r="I7" i="30"/>
  <c r="I8" i="30"/>
  <c r="I9" i="30"/>
  <c r="I10" i="30"/>
  <c r="I11" i="30"/>
  <c r="I12" i="30"/>
  <c r="I13" i="30"/>
  <c r="I14" i="30"/>
  <c r="I15" i="30"/>
  <c r="I17" i="30"/>
  <c r="I18" i="30"/>
  <c r="I19" i="30"/>
  <c r="I20" i="30"/>
  <c r="I21" i="30"/>
  <c r="I22" i="30"/>
  <c r="I23" i="30"/>
  <c r="I24" i="30"/>
  <c r="I25" i="30"/>
  <c r="I6" i="30"/>
  <c r="P6" i="30"/>
  <c r="N6" i="30"/>
  <c r="N26" i="30" l="1"/>
  <c r="Q15" i="30"/>
  <c r="P26" i="30"/>
  <c r="Q6" i="30"/>
  <c r="Q17" i="21"/>
  <c r="Q20" i="9"/>
  <c r="Q23" i="9"/>
  <c r="Q11" i="9"/>
  <c r="Q14" i="9"/>
  <c r="Q57" i="21"/>
  <c r="Q53" i="21"/>
  <c r="Q6" i="9"/>
  <c r="Q17" i="9"/>
  <c r="Q25" i="21"/>
  <c r="Q22" i="9"/>
  <c r="Q8" i="9"/>
  <c r="Q13" i="9"/>
  <c r="N109" i="21"/>
  <c r="Q33" i="21"/>
  <c r="Q61" i="21"/>
  <c r="Q73" i="21"/>
  <c r="Q24" i="9"/>
  <c r="Q7" i="9"/>
  <c r="Q19" i="9"/>
  <c r="Q16" i="9"/>
  <c r="Q37" i="21"/>
  <c r="Q49" i="21"/>
  <c r="Q65" i="21"/>
  <c r="Q25" i="9"/>
  <c r="Q12" i="9"/>
  <c r="Q21" i="9"/>
  <c r="Q15" i="9"/>
  <c r="Q9" i="9"/>
  <c r="P109" i="21"/>
  <c r="Q93" i="21"/>
  <c r="Q81" i="21"/>
  <c r="Q85" i="21"/>
  <c r="Q77" i="21"/>
  <c r="Q107" i="21"/>
  <c r="Q108" i="21"/>
  <c r="R60" i="21" s="1"/>
  <c r="Q106" i="21"/>
  <c r="Q12" i="30"/>
  <c r="I26" i="30"/>
  <c r="Q19" i="30"/>
  <c r="Q18" i="30"/>
  <c r="Q17" i="30"/>
  <c r="Q25" i="30"/>
  <c r="Q24" i="30"/>
  <c r="Q23" i="30"/>
  <c r="Q22" i="30"/>
  <c r="Q21" i="30"/>
  <c r="Q20" i="30"/>
  <c r="Q16" i="30"/>
  <c r="Q14" i="30"/>
  <c r="Q13" i="30"/>
  <c r="Q11" i="30"/>
  <c r="Q10" i="30"/>
  <c r="Q9" i="30"/>
  <c r="Q7" i="30"/>
  <c r="Q8" i="30"/>
  <c r="Q26" i="30" l="1"/>
  <c r="R23" i="30" s="1"/>
  <c r="R19" i="30"/>
  <c r="Q109" i="21"/>
  <c r="R68" i="21"/>
  <c r="R84" i="21"/>
  <c r="R100" i="21"/>
  <c r="R76" i="21"/>
  <c r="R40" i="21"/>
  <c r="R48" i="21"/>
  <c r="R56" i="21"/>
  <c r="R80" i="21"/>
  <c r="R96" i="21"/>
  <c r="R92" i="21"/>
  <c r="R32" i="21"/>
  <c r="R24" i="21"/>
  <c r="R36" i="21"/>
  <c r="R52" i="21"/>
  <c r="R64" i="21"/>
  <c r="R44" i="21"/>
  <c r="R16" i="21"/>
  <c r="R72" i="21"/>
  <c r="R38" i="21"/>
  <c r="R14" i="21"/>
  <c r="R82" i="21"/>
  <c r="R74" i="21"/>
  <c r="R66" i="21"/>
  <c r="R58" i="21"/>
  <c r="R50" i="21"/>
  <c r="R42" i="21"/>
  <c r="R34" i="21"/>
  <c r="R22" i="21"/>
  <c r="R90" i="21"/>
  <c r="R78" i="21"/>
  <c r="R70" i="21"/>
  <c r="R62" i="21"/>
  <c r="R54" i="21"/>
  <c r="R46" i="21"/>
  <c r="R30" i="21"/>
  <c r="R98" i="21"/>
  <c r="R94" i="21"/>
  <c r="R83" i="21"/>
  <c r="R75" i="21"/>
  <c r="R67" i="21"/>
  <c r="R59" i="21"/>
  <c r="R61" i="21" s="1"/>
  <c r="R51" i="21"/>
  <c r="R43" i="21"/>
  <c r="R35" i="21"/>
  <c r="R37" i="21" s="1"/>
  <c r="R23" i="21"/>
  <c r="R91" i="21"/>
  <c r="R79" i="21"/>
  <c r="R71" i="21"/>
  <c r="R63" i="21"/>
  <c r="R55" i="21"/>
  <c r="R47" i="21"/>
  <c r="R39" i="21"/>
  <c r="R31" i="21"/>
  <c r="R33" i="21" s="1"/>
  <c r="R15" i="21"/>
  <c r="R99" i="21"/>
  <c r="R95" i="21"/>
  <c r="R26" i="30" l="1"/>
  <c r="R6" i="30"/>
  <c r="R15" i="30"/>
  <c r="R9" i="30"/>
  <c r="R21" i="30"/>
  <c r="R24" i="30"/>
  <c r="R16" i="30"/>
  <c r="R17" i="30"/>
  <c r="R25" i="30"/>
  <c r="R7" i="30"/>
  <c r="R8" i="30"/>
  <c r="R10" i="30"/>
  <c r="R22" i="30"/>
  <c r="R13" i="30"/>
  <c r="R11" i="30"/>
  <c r="R18" i="30"/>
  <c r="R12" i="30"/>
  <c r="R14" i="30"/>
  <c r="R20" i="30"/>
  <c r="R65" i="21"/>
  <c r="R101" i="21"/>
  <c r="R45" i="21"/>
  <c r="R77" i="21"/>
  <c r="R25" i="21"/>
  <c r="R53" i="21"/>
  <c r="R41" i="21"/>
  <c r="R97" i="21"/>
  <c r="R81" i="21"/>
  <c r="R85" i="21"/>
  <c r="R57" i="21"/>
  <c r="R69" i="21"/>
  <c r="R93" i="21"/>
  <c r="R17" i="21"/>
  <c r="R73" i="21"/>
  <c r="R49" i="21"/>
  <c r="R108" i="21"/>
  <c r="R106" i="21"/>
  <c r="R107" i="21"/>
  <c r="R109" i="21" s="1"/>
  <c r="Z1146" i="45"/>
  <c r="Z1145" i="45"/>
  <c r="Z1211" i="45"/>
  <c r="Z1551" i="45"/>
  <c r="Y1146" i="45"/>
  <c r="Y1145" i="45"/>
  <c r="Y1211" i="45"/>
  <c r="Y1551"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E4" authorId="0" shapeId="0" xr:uid="{69B31243-6740-47B2-AEDF-08C9965FAE1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BEBERLY</author>
  </authors>
  <commentList>
    <comment ref="G649" authorId="0" shapeId="0" xr:uid="{7A7319ED-CFA0-4619-A967-1CEC1D23CA59}">
      <text>
        <r>
          <rPr>
            <b/>
            <sz val="9"/>
            <color indexed="81"/>
            <rFont val="Tahoma"/>
            <family val="2"/>
          </rPr>
          <t>BEBERLY:</t>
        </r>
        <r>
          <rPr>
            <sz val="9"/>
            <color indexed="81"/>
            <rFont val="Tahoma"/>
            <family val="2"/>
          </rPr>
          <t xml:space="preserve">
RENUNCIO CON FECHA 23/01/2020</t>
        </r>
      </text>
    </comment>
    <comment ref="G650" authorId="0" shapeId="0" xr:uid="{8329F0DB-C78B-481C-AEF4-F5D50EDE8206}">
      <text>
        <r>
          <rPr>
            <b/>
            <sz val="9"/>
            <color indexed="81"/>
            <rFont val="Tahoma"/>
            <family val="2"/>
          </rPr>
          <t>BEBERLY:</t>
        </r>
        <r>
          <rPr>
            <sz val="9"/>
            <color indexed="81"/>
            <rFont val="Tahoma"/>
            <family val="2"/>
          </rPr>
          <t xml:space="preserve">
reemplazo de MARBIN AHUITE</t>
        </r>
      </text>
    </comment>
    <comment ref="E652" authorId="0" shapeId="0" xr:uid="{72657BE3-279E-4762-AB6B-316388934AA9}">
      <text>
        <r>
          <rPr>
            <b/>
            <sz val="9"/>
            <color indexed="81"/>
            <rFont val="Tahoma"/>
            <family val="2"/>
          </rPr>
          <t>BEBERLY:</t>
        </r>
        <r>
          <rPr>
            <sz val="9"/>
            <color indexed="81"/>
            <rFont val="Tahoma"/>
            <family val="2"/>
          </rPr>
          <t xml:space="preserve">
2500,00</t>
        </r>
      </text>
    </comment>
    <comment ref="G652" authorId="0" shapeId="0" xr:uid="{52A13D56-9461-47C8-B9A4-FDE45EA6C4AE}">
      <text>
        <r>
          <rPr>
            <b/>
            <sz val="9"/>
            <color indexed="81"/>
            <rFont val="Tahoma"/>
            <family val="2"/>
          </rPr>
          <t>BEBERLY:</t>
        </r>
        <r>
          <rPr>
            <sz val="9"/>
            <color indexed="81"/>
            <rFont val="Tahoma"/>
            <family val="2"/>
          </rPr>
          <t xml:space="preserve">
FALLECIO 19/06/2020</t>
        </r>
      </text>
    </comment>
    <comment ref="E653" authorId="0" shapeId="0" xr:uid="{8F30B0AE-BC05-460B-8A1F-037765A098B1}">
      <text>
        <r>
          <rPr>
            <b/>
            <sz val="9"/>
            <color indexed="81"/>
            <rFont val="Tahoma"/>
            <family val="2"/>
          </rPr>
          <t>BEBERLY:</t>
        </r>
        <r>
          <rPr>
            <sz val="9"/>
            <color indexed="81"/>
            <rFont val="Tahoma"/>
            <family val="2"/>
          </rPr>
          <t xml:space="preserve">
2500,00</t>
        </r>
      </text>
    </comment>
    <comment ref="G653" authorId="0" shapeId="0" xr:uid="{F1A90521-E76D-4D3C-8A3B-EE286C7E1FA8}">
      <text>
        <r>
          <rPr>
            <b/>
            <sz val="9"/>
            <color indexed="81"/>
            <rFont val="Tahoma"/>
            <family val="2"/>
          </rPr>
          <t>BEBERLY:</t>
        </r>
        <r>
          <rPr>
            <sz val="9"/>
            <color indexed="81"/>
            <rFont val="Tahoma"/>
            <family val="2"/>
          </rPr>
          <t xml:space="preserve">
MEMO Nº 0317-2020 24/08/2020SE COMUNICA TERMINO DE CONTRATO</t>
        </r>
      </text>
    </comment>
    <comment ref="G658" authorId="0" shapeId="0" xr:uid="{6AA205EA-A0E6-4B91-B995-AF6111160DDF}">
      <text>
        <r>
          <rPr>
            <b/>
            <sz val="9"/>
            <color indexed="81"/>
            <rFont val="Tahoma"/>
            <family val="2"/>
          </rPr>
          <t>BEBERLY:</t>
        </r>
        <r>
          <rPr>
            <sz val="9"/>
            <color indexed="81"/>
            <rFont val="Tahoma"/>
            <family val="2"/>
          </rPr>
          <t xml:space="preserve">
TRABAJO SOLO HASTA 28/02/2021</t>
        </r>
      </text>
    </comment>
    <comment ref="E660" authorId="0" shapeId="0" xr:uid="{8D9504A9-2E18-4381-B698-5BB073E6B055}">
      <text>
        <r>
          <rPr>
            <b/>
            <sz val="9"/>
            <color indexed="81"/>
            <rFont val="Tahoma"/>
            <family val="2"/>
          </rPr>
          <t>BEBERLY:</t>
        </r>
        <r>
          <rPr>
            <sz val="9"/>
            <color indexed="81"/>
            <rFont val="Tahoma"/>
            <family val="2"/>
          </rPr>
          <t xml:space="preserve">
S/,1,400</t>
        </r>
      </text>
    </comment>
    <comment ref="G660" authorId="0" shapeId="0" xr:uid="{47DEA197-30F1-498C-9C55-4E8DA7D4D43F}">
      <text>
        <r>
          <rPr>
            <b/>
            <sz val="9"/>
            <color indexed="81"/>
            <rFont val="Tahoma"/>
            <family val="2"/>
          </rPr>
          <t>BEBERLY:</t>
        </r>
        <r>
          <rPr>
            <sz val="9"/>
            <color indexed="81"/>
            <rFont val="Tahoma"/>
            <family val="2"/>
          </rPr>
          <t xml:space="preserve">
RENUNCIO 26/10/2020
CON RDR Nº 000698-2020-DRE DE FECHA 05/11/2020 SE DEJA SIN EFECTO CONTRATO CAS Nº 032-2020</t>
        </r>
      </text>
    </comment>
    <comment ref="E664" authorId="0" shapeId="0" xr:uid="{66B969A9-371C-4A58-A16C-5022B91B6006}">
      <text>
        <r>
          <rPr>
            <b/>
            <sz val="9"/>
            <color indexed="81"/>
            <rFont val="Tahoma"/>
            <family val="2"/>
          </rPr>
          <t>BEBERLY:</t>
        </r>
        <r>
          <rPr>
            <sz val="9"/>
            <color indexed="81"/>
            <rFont val="Tahoma"/>
            <family val="2"/>
          </rPr>
          <t xml:space="preserve">
S/,1,400</t>
        </r>
      </text>
    </comment>
    <comment ref="G664" authorId="0" shapeId="0" xr:uid="{49F8C8D4-D6B3-4306-9BE5-7C3C10D87B8D}">
      <text>
        <r>
          <rPr>
            <b/>
            <sz val="9"/>
            <color indexed="81"/>
            <rFont val="Tahoma"/>
            <family val="2"/>
          </rPr>
          <t>BEBERLY:</t>
        </r>
        <r>
          <rPr>
            <sz val="9"/>
            <color indexed="81"/>
            <rFont val="Tahoma"/>
            <family val="2"/>
          </rPr>
          <t xml:space="preserve">
RENUNCIO CON FECHA 24/08/2020,
CON RDR Nº 000564-20220-DREU DE FECHA 14/09/20 SE DEJA SIN EFECTO CONTRATO CAS Nº 065-2019
 SE DEJA SIN EFECTO SU CONTRATO CON MEMO 322-2020-D 27/08/2020</t>
        </r>
      </text>
    </comment>
    <comment ref="E675" authorId="0" shapeId="0" xr:uid="{B90A9138-E487-484F-A2A4-57AFC9036D36}">
      <text>
        <r>
          <rPr>
            <b/>
            <sz val="9"/>
            <color indexed="81"/>
            <rFont val="Tahoma"/>
            <family val="2"/>
          </rPr>
          <t>BEBERLY:</t>
        </r>
        <r>
          <rPr>
            <sz val="9"/>
            <color indexed="81"/>
            <rFont val="Tahoma"/>
            <family val="2"/>
          </rPr>
          <t xml:space="preserve">
S/,1,270</t>
        </r>
      </text>
    </comment>
    <comment ref="G675" authorId="0" shapeId="0" xr:uid="{89241257-F240-4747-849D-1EC6A0FE67DF}">
      <text>
        <r>
          <rPr>
            <b/>
            <sz val="9"/>
            <color indexed="81"/>
            <rFont val="Tahoma"/>
            <family val="2"/>
          </rPr>
          <t>BEBERLY:</t>
        </r>
        <r>
          <rPr>
            <sz val="9"/>
            <color indexed="81"/>
            <rFont val="Tahoma"/>
            <family val="2"/>
          </rPr>
          <t xml:space="preserve">
FALLECIO 20/10/2020
CON RDR Nº 000718-2020-DREU DE FECHA 13/11/2020 SE DEJA SIN EFECTO A PARTIR DEL 20/10/20 EL CONTRATO CAS 035-2019 Y ADENDAS</t>
        </r>
      </text>
    </comment>
    <comment ref="G676" authorId="0" shapeId="0" xr:uid="{AC819E66-A18A-4F02-B70A-A02CE72B1795}">
      <text>
        <r>
          <rPr>
            <b/>
            <sz val="9"/>
            <color indexed="81"/>
            <rFont val="Tahoma"/>
            <family val="2"/>
          </rPr>
          <t>BEBERLY:</t>
        </r>
        <r>
          <rPr>
            <sz val="9"/>
            <color indexed="81"/>
            <rFont val="Tahoma"/>
            <family val="2"/>
          </rPr>
          <t xml:space="preserve">
reemplazo de Rudy Segobia</t>
        </r>
      </text>
    </comment>
    <comment ref="G680" authorId="0" shapeId="0" xr:uid="{796CD5F6-23FD-46E8-8ECB-9E6A61D9E776}">
      <text>
        <r>
          <rPr>
            <b/>
            <sz val="9"/>
            <color indexed="81"/>
            <rFont val="Tahoma"/>
            <family val="2"/>
          </rPr>
          <t>BEBERLY:</t>
        </r>
        <r>
          <rPr>
            <sz val="9"/>
            <color indexed="81"/>
            <rFont val="Tahoma"/>
            <family val="2"/>
          </rPr>
          <t xml:space="preserve">
RENUNCIO CON FECHA 15/02/2021. CON RDR 000176-2021-DREU DE FECHA 17/02/2021 SE DEJA SIN EFECTO CONTRATO 017-2019 Y ADENDAS</t>
        </r>
      </text>
    </comment>
    <comment ref="E685" authorId="0" shapeId="0" xr:uid="{CA47EDCC-8F93-4330-91AE-ED91DFA5F556}">
      <text>
        <r>
          <rPr>
            <b/>
            <sz val="9"/>
            <color indexed="81"/>
            <rFont val="Tahoma"/>
            <family val="2"/>
          </rPr>
          <t>BEBERLY:</t>
        </r>
        <r>
          <rPr>
            <sz val="9"/>
            <color indexed="81"/>
            <rFont val="Tahoma"/>
            <family val="2"/>
          </rPr>
          <t xml:space="preserve">
S/,1,200</t>
        </r>
      </text>
    </comment>
    <comment ref="G685" authorId="0" shapeId="0" xr:uid="{1894A174-3A66-4C49-83F4-92884610C122}">
      <text>
        <r>
          <rPr>
            <b/>
            <sz val="9"/>
            <color indexed="81"/>
            <rFont val="Tahoma"/>
            <family val="2"/>
          </rPr>
          <t>BEBERLY:</t>
        </r>
        <r>
          <rPr>
            <sz val="9"/>
            <color indexed="81"/>
            <rFont val="Tahoma"/>
            <family val="2"/>
          </rPr>
          <t xml:space="preserve">
RENUNCIO CON FECHA 30/10/2020
CON RDR Nº 000717-2020-DREU DE FECHA 13-11-2020 SE DEJA SIN EFECTO A PARTIR DEL 30/10/20 EL CONTRATO CAS Nº 072-2019 Y ADENDAS</t>
        </r>
      </text>
    </comment>
    <comment ref="G686" authorId="0" shapeId="0" xr:uid="{9C33B4AE-CBF6-4E22-A74C-83C224AB8B25}">
      <text>
        <r>
          <rPr>
            <b/>
            <sz val="9"/>
            <color indexed="81"/>
            <rFont val="Tahoma"/>
            <family val="2"/>
          </rPr>
          <t>BEBERLY:</t>
        </r>
        <r>
          <rPr>
            <sz val="9"/>
            <color indexed="81"/>
            <rFont val="Tahoma"/>
            <family val="2"/>
          </rPr>
          <t xml:space="preserve">
TRABAJO SOLO HASTA DICIEMBRE 2020</t>
        </r>
      </text>
    </comment>
    <comment ref="G689" authorId="0" shapeId="0" xr:uid="{0D5DC822-13D4-4A56-AB40-163202F96A74}">
      <text>
        <r>
          <rPr>
            <b/>
            <sz val="9"/>
            <color indexed="81"/>
            <rFont val="Tahoma"/>
            <family val="2"/>
          </rPr>
          <t>BEBERLY:</t>
        </r>
        <r>
          <rPr>
            <sz val="9"/>
            <color indexed="81"/>
            <rFont val="Tahoma"/>
            <family val="2"/>
          </rPr>
          <t xml:space="preserve">
RENUNCIO CON FECHA 04/03/2021, TRABAJARA COMO ESP PROGRAMA 0147, CON RDR Nº 000252-2021-DREU SE DEJA SIN EFECTO CONTRATO N 030-2019º</t>
        </r>
      </text>
    </comment>
    <comment ref="E691" authorId="0" shapeId="0" xr:uid="{4752B578-D38B-46BE-9E02-ECE820BFF2B6}">
      <text>
        <r>
          <rPr>
            <b/>
            <sz val="9"/>
            <color indexed="81"/>
            <rFont val="Tahoma"/>
            <family val="2"/>
          </rPr>
          <t>BEBERLY:</t>
        </r>
        <r>
          <rPr>
            <sz val="9"/>
            <color indexed="81"/>
            <rFont val="Tahoma"/>
            <family val="2"/>
          </rPr>
          <t xml:space="preserve">
S/,1,270</t>
        </r>
      </text>
    </comment>
    <comment ref="G691" authorId="0" shapeId="0" xr:uid="{A84E4A4B-75CB-49B2-8A22-3C4E31018D1B}">
      <text>
        <r>
          <rPr>
            <b/>
            <sz val="9"/>
            <color indexed="81"/>
            <rFont val="Tahoma"/>
            <family val="2"/>
          </rPr>
          <t>BEBERLY:</t>
        </r>
        <r>
          <rPr>
            <sz val="9"/>
            <color indexed="81"/>
            <rFont val="Tahoma"/>
            <family val="2"/>
          </rPr>
          <t xml:space="preserve">
RENUNCIO 29/01/2020</t>
        </r>
      </text>
    </comment>
    <comment ref="D693" authorId="0" shapeId="0" xr:uid="{EDC507CB-45A7-4DA4-AF9B-103E7DAF71E9}">
      <text>
        <r>
          <rPr>
            <b/>
            <sz val="9"/>
            <color indexed="81"/>
            <rFont val="Tahoma"/>
            <family val="2"/>
          </rPr>
          <t>BEBERLY:</t>
        </r>
        <r>
          <rPr>
            <sz val="9"/>
            <color indexed="81"/>
            <rFont val="Tahoma"/>
            <family val="2"/>
          </rPr>
          <t xml:space="preserve">
ingresa como reemplazo de christian joerick de pensiones</t>
        </r>
      </text>
    </comment>
    <comment ref="F719" authorId="0" shapeId="0" xr:uid="{4349F378-C3BD-4A7A-9191-03FE75B56803}">
      <text>
        <r>
          <rPr>
            <b/>
            <sz val="9"/>
            <color indexed="81"/>
            <rFont val="Tahoma"/>
            <family val="2"/>
          </rPr>
          <t>CARNET DE EXTRANJERIA</t>
        </r>
        <r>
          <rPr>
            <sz val="9"/>
            <color indexed="81"/>
            <rFont val="Tahoma"/>
            <family val="2"/>
          </rPr>
          <t xml:space="preserve">
</t>
        </r>
      </text>
    </comment>
    <comment ref="G720" authorId="0" shapeId="0" xr:uid="{CF6DA40A-555C-4008-AB33-8310E9C2A3D8}">
      <text>
        <r>
          <rPr>
            <b/>
            <sz val="9"/>
            <color indexed="81"/>
            <rFont val="Tahoma"/>
            <family val="2"/>
          </rPr>
          <t>BEBERLY:</t>
        </r>
        <r>
          <rPr>
            <sz val="9"/>
            <color indexed="81"/>
            <rFont val="Tahoma"/>
            <family val="2"/>
          </rPr>
          <t xml:space="preserve">
RENUNCIO CON FECHA 03/03/2021, TRABAJARA COMO ESP PROGRAMA 0147</t>
        </r>
      </text>
    </comment>
    <comment ref="G723" authorId="0" shapeId="0" xr:uid="{272D43EB-F41E-460D-8F00-38869BDF347E}">
      <text>
        <r>
          <rPr>
            <b/>
            <sz val="9"/>
            <color indexed="81"/>
            <rFont val="Tahoma"/>
            <family val="2"/>
          </rPr>
          <t>BEBERLY:</t>
        </r>
        <r>
          <rPr>
            <sz val="9"/>
            <color indexed="81"/>
            <rFont val="Tahoma"/>
            <family val="2"/>
          </rPr>
          <t xml:space="preserve">
RENUNCIO A PARTIR DEL 30/11/2020</t>
        </r>
      </text>
    </comment>
    <comment ref="K723" authorId="0" shapeId="0" xr:uid="{261886F6-6C3A-4644-8B63-60CA704D539E}">
      <text>
        <r>
          <rPr>
            <b/>
            <sz val="9"/>
            <color indexed="81"/>
            <rFont val="Tahoma"/>
            <family val="2"/>
          </rPr>
          <t>BEBERLY:</t>
        </r>
        <r>
          <rPr>
            <sz val="9"/>
            <color indexed="81"/>
            <rFont val="Tahoma"/>
            <family val="2"/>
          </rPr>
          <t xml:space="preserve">
RENUNCIO 30/11/2020</t>
        </r>
      </text>
    </comment>
    <comment ref="G725" authorId="0" shapeId="0" xr:uid="{87A6ECA1-F089-47BE-9CB5-CE0EEBCED092}">
      <text>
        <r>
          <rPr>
            <b/>
            <sz val="9"/>
            <color indexed="81"/>
            <rFont val="Tahoma"/>
            <family val="2"/>
          </rPr>
          <t>BEBERLY:</t>
        </r>
        <r>
          <rPr>
            <sz val="9"/>
            <color indexed="81"/>
            <rFont val="Tahoma"/>
            <family val="2"/>
          </rPr>
          <t xml:space="preserve">
REEMPLAZO D REYNALDO TORRES RIVERA</t>
        </r>
      </text>
    </comment>
  </commentList>
</comments>
</file>

<file path=xl/sharedStrings.xml><?xml version="1.0" encoding="utf-8"?>
<sst xmlns="http://schemas.openxmlformats.org/spreadsheetml/2006/main" count="34191" uniqueCount="9118">
  <si>
    <t>ÍNDICE DE FORMATOS</t>
  </si>
  <si>
    <t>INDICADORES INSTITUCIONALES</t>
  </si>
  <si>
    <t>FORMATO Nº 1:</t>
  </si>
  <si>
    <t>INDICADORES DE GESTIÓN SEGÚN OBJETIVOS ESTRATÉGICOS INSTITUCIONALES AL 2022</t>
  </si>
  <si>
    <t>DISTRIBUCIÓN DEL GASTO</t>
  </si>
  <si>
    <t>FORMATO Nº 2:</t>
  </si>
  <si>
    <t>DISTRIBUCIÓN DEL PRESUPUESTO POR CATEGORÍA PRESUPUESTAL 2020, 2021 Y PROYECTO 2022</t>
  </si>
  <si>
    <t>FORMATO Nº 3:</t>
  </si>
  <si>
    <t>DISTRIBUCIÓN DEL PRESUPUESTO POR FUENTE DE FINANCIAMIENTO 2020, 2021 Y PROYECTO 2022</t>
  </si>
  <si>
    <t>FORMATO Nº 4:</t>
  </si>
  <si>
    <t>DISTRIBUCIÓN DEL GASTO POR UNIDADES EJECUTORAS / ENTIDAD PÚBLICA Y FUENTES DE FINANCIAMIENTO - PROYECTO 2022</t>
  </si>
  <si>
    <t>FORMATO Nº 5:</t>
  </si>
  <si>
    <t>DISTRIBUCIÓN DEL PRESUPUESTO POR PROGRAMA PRESUPUESTAL 2020, 2021 Y 2022</t>
  </si>
  <si>
    <t>FORMATO Nº 6:</t>
  </si>
  <si>
    <t>PROGRAMAS SOCIALES PRIORIZADOS SEGÚN EL CICLO DE VIDA POR FUENTE DE FINANCIAMIENTO 2020, 2021 Y PROYECTO 2022</t>
  </si>
  <si>
    <t>FORMATO Nº 7:</t>
  </si>
  <si>
    <t>RESUMEN POR GRUPO GENÉRICO Y FUENTES DE FINANCIAMIENTO PROYECTO 2022</t>
  </si>
  <si>
    <t>FORMATO Nº 8:</t>
  </si>
  <si>
    <t>RESUMEN DE PRESUPUESTO POR FUNCIONES PIA 2020, 2021 Y PROYECTO 2022</t>
  </si>
  <si>
    <t>GASTOS DE PERSONAL</t>
  </si>
  <si>
    <t>FORMATO Nº 9:</t>
  </si>
  <si>
    <t>COMPARATIVO DEL NÚMERO DE PLAZAS EN EL PRESUPUESTO 2020, 2021 Y PROYECTO 2022</t>
  </si>
  <si>
    <t>FORMATO Nº 10:</t>
  </si>
  <si>
    <t>INFORMACIÓN DE REMUNERACIONES Y NÚMERO DE PLAZAS - PRESUPUESTO 2020, 2021 Y PROYECTO 2022</t>
  </si>
  <si>
    <t>FORMATO Nº 11:</t>
  </si>
  <si>
    <t>INGRESOS MENSUALES POR PERIODO DEL PERSONAL ACTIVO -  COMPARATIVO PRESUPUESTO 2020, 2021 Y PROYECTO 2022</t>
  </si>
  <si>
    <t>GASTOS EN BIENES Y SERVICIOS</t>
  </si>
  <si>
    <t>FORMATO Nº 12:</t>
  </si>
  <si>
    <t>ASIGNACIÓN DE BIENES Y SERVICIOS - COMPARATIVO PRESUPUESTO 2020, 2021 Y PROYECTO 2022</t>
  </si>
  <si>
    <t>FORMATO Nº 13:</t>
  </si>
  <si>
    <t>CONTRATOS DE OBRAS SUSCRITOS EN LOS AÑOS 2020 Y 2021</t>
  </si>
  <si>
    <t>FORMATO Nº 14:</t>
  </si>
  <si>
    <t>PRINCIPALES ADQUISICIONES DE BIENES Y SERVICIOS - PRESUPUESTO 2020, 2021 Y PROYECTO 2022</t>
  </si>
  <si>
    <t>FORMATO Nº 15:</t>
  </si>
  <si>
    <t>DETALLE DE CONSULTORIAS PERSONAS JURÍDICAS Y NATURALES - PRESUPUESTO 2020, 2021 Y PROYECTO 2022</t>
  </si>
  <si>
    <t>FORMATO Nº 16:</t>
  </si>
  <si>
    <t>TESORERIA - RESUMEN POR GRUPO GENERICO Y FUENTES DE FINANCIAMIENTO 2020 Y 2021</t>
  </si>
  <si>
    <t>OTROS</t>
  </si>
  <si>
    <t>FORMATO Nº 17:</t>
  </si>
  <si>
    <t>NOMBRES E INGRESOS MENSUALES DEL PERSONAL CONTRATADO FUERA DEL PAP EN LOS AÑOS FISCALES 2020 Y 2021</t>
  </si>
  <si>
    <t>FORMATO Nº 18:</t>
  </si>
  <si>
    <t>ALQUILER DE INMUEBLES EN LOS AÑOS FISCALES 2020 Y 2021</t>
  </si>
  <si>
    <t>FORMATO 01: INDICADORES DE GESTIÓN SEGÚN OBJETIVOS ESTRATÉGICOS INSTITUCIONALES AL 2022</t>
  </si>
  <si>
    <t>PLIEGO: 462 GOBIERNO REGIONAL DEL DEPARTAMENTO DE UCAYALI</t>
  </si>
  <si>
    <t>PLIEGO O ENTIDAD DEL SECTOR</t>
  </si>
  <si>
    <t>Objetivo Estrategico Institucional
(Código)</t>
  </si>
  <si>
    <t>Objetivo Estrategico Institucional
(Código y Enunciado)</t>
  </si>
  <si>
    <t>Nombre del Indicador</t>
  </si>
  <si>
    <t>Linea Base</t>
  </si>
  <si>
    <t>Meta 2021</t>
  </si>
  <si>
    <t>Fuente de Información</t>
  </si>
  <si>
    <t>Responsable</t>
  </si>
  <si>
    <t>Meta: 2021</t>
  </si>
  <si>
    <t>Resultado  (*)</t>
  </si>
  <si>
    <t>Meta 2022</t>
  </si>
  <si>
    <t>Proyectado</t>
  </si>
  <si>
    <t>Meta</t>
  </si>
  <si>
    <t>Valor</t>
  </si>
  <si>
    <t>Año</t>
  </si>
  <si>
    <t>GOBIERNO REGIONAL DE UCAYALI</t>
  </si>
  <si>
    <t>OEI.01</t>
  </si>
  <si>
    <t>OEI.01 - Promover la igualdad de derechos de la población</t>
  </si>
  <si>
    <t>Porcentaje de la población con al menos una necesidad básica insatisfecha</t>
  </si>
  <si>
    <t>45,2%</t>
  </si>
  <si>
    <t>31,45%</t>
  </si>
  <si>
    <t>INEI- ENAHO</t>
  </si>
  <si>
    <t>GOREU-GRDS-DRT y PE</t>
  </si>
  <si>
    <t>28,7%</t>
  </si>
  <si>
    <t>OEI.02</t>
  </si>
  <si>
    <t>OEI.02 - Aumentar el acceso a servicios sociales para la población en situación de vulnerabilidad</t>
  </si>
  <si>
    <t>Número de personas beneficiadas con programas sociales</t>
  </si>
  <si>
    <t>MIDIS</t>
  </si>
  <si>
    <t>GRDS-DREU</t>
  </si>
  <si>
    <t>OEI.03</t>
  </si>
  <si>
    <t>OEI.03 - Mejorar la calidad educativa de la población</t>
  </si>
  <si>
    <t>Porcentaje de adolescentes de segundo año de secundaria de IE, que se encuentran en el nivel previo al inicio en matemática</t>
  </si>
  <si>
    <t>55,2%</t>
  </si>
  <si>
    <t>MINEDU - ECE</t>
  </si>
  <si>
    <t>DGP  DREU</t>
  </si>
  <si>
    <t>Porcentaje de niños y niñas de cuarto grado de primaria de EIB, que se encuentran en el nivel "en inicio" en comprensión de lectura en su lengua originaria</t>
  </si>
  <si>
    <t>81,1%</t>
  </si>
  <si>
    <t>OEI.04</t>
  </si>
  <si>
    <t>OEI.04 - Incrementar el acceso a los servicios de salud de la población</t>
  </si>
  <si>
    <t>Niños (as) de 1 a 4 años que recibieron control en salud (Niños-niñas controlados-as)</t>
  </si>
  <si>
    <t>MINSA - DIGESA</t>
  </si>
  <si>
    <t>DIRESA - GORE Ucayali</t>
  </si>
  <si>
    <t xml:space="preserve">Porcentaje de mujeres que reportan tener problemas en el acceso a los servicios de salud (Tener que tomar transporte) </t>
  </si>
  <si>
    <t>22,90%</t>
  </si>
  <si>
    <t>INEI - ENDES</t>
  </si>
  <si>
    <t>OEI.05</t>
  </si>
  <si>
    <t xml:space="preserve">OEI.05 - Incrementar el acceso a los servicios básicos a la población </t>
  </si>
  <si>
    <t>Porcentaje de la población que vive en hogares con acceso a servicios básicos de infraestructura</t>
  </si>
  <si>
    <t>36,4%</t>
  </si>
  <si>
    <t>INEI - ENAPRES</t>
  </si>
  <si>
    <t>GOREU-GRDE-DRVCS-DREM</t>
  </si>
  <si>
    <t>OEI.06</t>
  </si>
  <si>
    <t xml:space="preserve">OEI.06 - Fortalecer la capacidad institucional </t>
  </si>
  <si>
    <t>Puesto del departamento según índice de competitividad – Pilar Institucional</t>
  </si>
  <si>
    <t>17°</t>
  </si>
  <si>
    <t>IPE - INCORE</t>
  </si>
  <si>
    <t>GRPP-SGPyE</t>
  </si>
  <si>
    <t>16°</t>
  </si>
  <si>
    <t>OEI.07</t>
  </si>
  <si>
    <t>OEI.07 - Fortalecer las cadenas de valor en los sectores productivos</t>
  </si>
  <si>
    <t>Número de empresas agropecuarias, de maderas y papel exportadoras</t>
  </si>
  <si>
    <t>SUNAT</t>
  </si>
  <si>
    <t>GOREU/DRAU</t>
  </si>
  <si>
    <t>OEI.08</t>
  </si>
  <si>
    <t>OEI.08 - Promover la oferta de servicios turísticos en el departamento</t>
  </si>
  <si>
    <t>Número de arribos de ciudadanos nacionales y extranjeros a establecimientos de hospedaje</t>
  </si>
  <si>
    <t>MINCETUR - Encuesta mensual de establecimientos de hospedaje</t>
  </si>
  <si>
    <t>GOREU-DIRCETUR</t>
  </si>
  <si>
    <t>OEI.09</t>
  </si>
  <si>
    <t>OEI.09 - Incrementar la conectividad territorial en el departamento</t>
  </si>
  <si>
    <t>Número de kilómetros de red vial departamental pavimentada</t>
  </si>
  <si>
    <t>5,5</t>
  </si>
  <si>
    <t>MTC - SINAC</t>
  </si>
  <si>
    <t>GOREU/DRTyC</t>
  </si>
  <si>
    <t>Número de kilómetros de red vial departamental no pavimentada</t>
  </si>
  <si>
    <t>1278,9</t>
  </si>
  <si>
    <t>OEI.10</t>
  </si>
  <si>
    <t>OEI.10 - Conservar la diversidad biológica en el departamento</t>
  </si>
  <si>
    <t>Superficie de conservación regional (Hectáreas)</t>
  </si>
  <si>
    <t>135,737,5 ha</t>
  </si>
  <si>
    <t>135737,5 ha</t>
  </si>
  <si>
    <t>MINAM - SERNANP</t>
  </si>
  <si>
    <t>ARA</t>
  </si>
  <si>
    <t>135,737 ha</t>
  </si>
  <si>
    <t>OEI.11</t>
  </si>
  <si>
    <t>OEI.11 - Reducir la vulnerabilidad ante los peligros de origen natural y antrópico en la población</t>
  </si>
  <si>
    <t>Número de viviendas afectadas por ocurrencia de desastres (Viviendas)</t>
  </si>
  <si>
    <t>INDECI – SINPAD</t>
  </si>
  <si>
    <t>GOREU/COER</t>
  </si>
  <si>
    <t>(*) Se muestran los resultados segpun ultimos reportes de entidades oficiales. Al ser estos indicadores de RESULTADO y no de PRODICTO, se miden de manera anual.</t>
  </si>
  <si>
    <t>FORMATO 02: DISTRIBUCIÓN DEL PRESUPUESTO POR CATEGORÍA PRESUPUESTAL 2020, 2021 Y PROYECTO 2022</t>
  </si>
  <si>
    <t>PIA
POR CATEGORIA PRESUPUESTAL</t>
  </si>
  <si>
    <t>1: Acciones Centrales (AC)</t>
  </si>
  <si>
    <t>2: Asignaciones Presupuestarias que No Resultan en Productos (APNP)</t>
  </si>
  <si>
    <t>3: Programas Presupuestales</t>
  </si>
  <si>
    <t>PIA TOTAL S/</t>
  </si>
  <si>
    <t>PIM
POR CATEGORIA PRESUPUESTAL</t>
  </si>
  <si>
    <t>2021 (*)</t>
  </si>
  <si>
    <t>2022 (**)</t>
  </si>
  <si>
    <t>PIM TOTAL S/</t>
  </si>
  <si>
    <t>EJECUCIÓN
POR CATEGORIA PRESUPUESTAL</t>
  </si>
  <si>
    <t>EJECUCIÓN TOTAL S/</t>
  </si>
  <si>
    <t>(*) Proyección al 31/12/2021</t>
  </si>
  <si>
    <t>(**) Proyecto 2022</t>
  </si>
  <si>
    <t>FORMATO 03: DISTRIBUCIÓN DEL PRESUPUESTO POR FUENTE DE FINANCIAMIENTO 2020, 2021 Y PROYECTO 2022</t>
  </si>
  <si>
    <t>PIA 
POR FUENTE DE FINANCIAMIENTO</t>
  </si>
  <si>
    <t>GASTOS CORRIENTES</t>
  </si>
  <si>
    <t>1: Reserva de Contingencia</t>
  </si>
  <si>
    <t>2: Personal y Obligaciones Sociales</t>
  </si>
  <si>
    <t>3: Pensiones y Prestaciones Sociales</t>
  </si>
  <si>
    <t>4: Bienes y Servicios</t>
  </si>
  <si>
    <t>5: Donaciones y Transferencias (corrientes)</t>
  </si>
  <si>
    <t>6: Otros Gastos (corrientes)</t>
  </si>
  <si>
    <t>GASTOS DE CAPITAL</t>
  </si>
  <si>
    <t>7: Donaciones y Transferencias (de capital)</t>
  </si>
  <si>
    <t>8: Otros Gastos (de capital)</t>
  </si>
  <si>
    <t>9: Adquisiciones de Activos No Financieros</t>
  </si>
  <si>
    <t>10: Adquisiciones de Activos Financieros</t>
  </si>
  <si>
    <t>SERVICIO DE DEUDA</t>
  </si>
  <si>
    <t>11: Servicio de la Deuda</t>
  </si>
  <si>
    <t>PIM 
POR FUENTE DE FINANCIAMIENTO</t>
  </si>
  <si>
    <t>EJECUCIÓN 
POR FUENTE DE FINANCIAMIENTO</t>
  </si>
  <si>
    <t>FORMATO 04: DISTRIBUCIÓN DEL GASTO POR UNIDADES EJECUTORAS / ENTIDAD PÚBLICA Y FUENTES DE FINANCIAMIENTO - PROYECTO 2022</t>
  </si>
  <si>
    <t>PLIEGOS DEL SECTOR O GOBIERNO REGIONAL</t>
  </si>
  <si>
    <t>UNIDADES EJECUTORAS O ENTIDADES PÚBLICAS ADSCRITAS AL SECTOR</t>
  </si>
  <si>
    <t>TOTAL</t>
  </si>
  <si>
    <t>5: Donaciones y Transferencias</t>
  </si>
  <si>
    <t>6: Otros Gastos</t>
  </si>
  <si>
    <t>SUB TOTAL GASTOS CORRIENTES</t>
  </si>
  <si>
    <t>7: Donaciones y Transferencias</t>
  </si>
  <si>
    <t>8: Otros Gastos</t>
  </si>
  <si>
    <t>SUB TOTAL GASTOS DE CAPITAL</t>
  </si>
  <si>
    <t>SUB TOTAL SERVICIO DE DEUDA</t>
  </si>
  <si>
    <t>TOTAL GASTOS UNIDAD EJECUTORA / ENTIDAD PÚBLICA</t>
  </si>
  <si>
    <t>PART. %</t>
  </si>
  <si>
    <t>462 GOBIERNO REGIONAL DEL DEPARTAMENTO DE UCAYALI</t>
  </si>
  <si>
    <t>001. SEDE UCAYALI</t>
  </si>
  <si>
    <t>002. PURUS</t>
  </si>
  <si>
    <t>003. RAYMONDI</t>
  </si>
  <si>
    <t>004. AGUAYTIA</t>
  </si>
  <si>
    <t>005. CARRETERA FEDERICO BASADRE</t>
  </si>
  <si>
    <t>006. DIRECCION REGIONAL SECTORIAL DE COMERCIO EXTERIOR Y TURISMO UCAYALI</t>
  </si>
  <si>
    <t>007. DIRECCION REGIONAL SECTORIAL DE LA PRODUCCION</t>
  </si>
  <si>
    <t>100. AGRICULTURA UCAYALI</t>
  </si>
  <si>
    <t>200. TRANSPORTES UCAYALI</t>
  </si>
  <si>
    <t>300. EDUCACION UCAYALI</t>
  </si>
  <si>
    <t>301. EDUCACION PURUS</t>
  </si>
  <si>
    <t>302. EDUCACION ATALAYA</t>
  </si>
  <si>
    <t>303. EDUCACION CORONEL PORTILLO</t>
  </si>
  <si>
    <t>304. EDUCACION PADRE ABAD</t>
  </si>
  <si>
    <t>400. SALUD UCAYALI</t>
  </si>
  <si>
    <t>401. HOSPITAL REGIONAL DE PUCALLPA</t>
  </si>
  <si>
    <t>402. HOSPITAL AMAZONICO</t>
  </si>
  <si>
    <t>403. DIRECCION DE RED DE SALUD Nº 03 ATALAYA</t>
  </si>
  <si>
    <t>404. DIRECCION DE RED DE SALUD Nº 04 AGUAYTIA - SAN ALEJANDRO</t>
  </si>
  <si>
    <t>405. RED DE SALUD Nº 01 CORONEL PORTILLO</t>
  </si>
  <si>
    <t>TOTAL SECTOR</t>
  </si>
  <si>
    <t>FORMATO 05: DISTRIBUCIÓN DEL PRESUPUESTO POR PROGRAMA PRESUPUESTAL 2020, 2021 Y 2022</t>
  </si>
  <si>
    <t>PIA
POR PROGRAMA PRESUPUESTAL</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</si>
  <si>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</si>
  <si>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</si>
  <si>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</si>
  <si>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</si>
  <si>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</si>
  <si>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</si>
  <si>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</si>
  <si>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0046. ACCESO Y USO DE LA ELECTRIFICACION RURAL</t>
  </si>
  <si>
    <t>0051. PREVENCION Y TRATAMIENTO DEL CONSUMO DE DROGAS</t>
  </si>
  <si>
    <t>0057. CONSERVACION DE LA DIVERSIDAD BIOLOGICA Y APROVECHAMIENTO SOSTENIBLE DE LOS RECURSOS NATURALES EN AREA NATURAL PROTEGIDA</t>
  </si>
  <si>
    <t>0068. REDUCCION DE VULNERABILIDAD Y ATENCION DE EMERGENCIAS POR DESASTRES</t>
  </si>
  <si>
    <t>0072 PROGRAMA DE DESARROLLO ALTERNATIVO INTEGRAL Y SOSTENIBLE - PIRDAIS</t>
  </si>
  <si>
    <t>0082 PROGRAMA NACIONAL DE SANEAMIENTO URBANO</t>
  </si>
  <si>
    <t>0083. PROGRAMA NACIONAL DE SANEAMIENTO RURAL</t>
  </si>
  <si>
    <t>0087. INCREMENTO DE LA COMPETIVIDAD DEL SECTOR ARTESANIA</t>
  </si>
  <si>
    <t>0090. LOGROS DE APRENDIZAJE DE ESTUDIANTES DE LA EDUCACION BASICA REGULAR</t>
  </si>
  <si>
    <t>0093. DESARROLLO PRODUCTIVO DE LAS EMPRESAS</t>
  </si>
  <si>
    <t>0095 FORTALECIMIENTO DE LA PESCA ARTESANAL</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</si>
  <si>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</si>
  <si>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</si>
  <si>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</si>
  <si>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</si>
  <si>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0116. MEJORAMIENTO DE LA EMPLEABILIDAD E INSERCION LABORAL-PROEMPLEO</t>
  </si>
  <si>
    <t>0121. MEJORA DE LA ARTICULACION DE PEQUEÑOS PRODUCTORES AL MERCADO</t>
  </si>
  <si>
    <t>0126 FORMALIZACION MINERA DE LA PEQUEÑA MINERIA Y MINERIA ARTESANAL</t>
  </si>
  <si>
    <t>0127. MEJORA DE LA COMPETITIVIDAD DE LOS DESTINOS TURISTICOS</t>
  </si>
  <si>
    <t>0129. PREVENCION Y MANEJO DE CONDICIONES SECUNDARIAS DE SALUD EN PERSONAS CON DISCAPACIDAD</t>
  </si>
  <si>
    <t>0130. COMPETITIVIDAD Y APROVECHAMIENTO SOSTENIBLE DE LOS RECURSOS FORESTALES Y DE LA FAUNA SILVESTRE</t>
  </si>
  <si>
    <t>0131. CONTROL Y PREVENCION EN SALUD MENTAL</t>
  </si>
  <si>
    <t>0138. REDUCCION DEL COSTO, TIEMPO E INSEGURIDAD EN EL SISTEMA DE TRANSPORTE</t>
  </si>
  <si>
    <t>0144 CONSERVACION Y USO SOSTENIBLE DE ECOSISTEMAS PARA LA PROVISION DE SERVICIOS ECOSISTEMICOS</t>
  </si>
  <si>
    <t/>
  </si>
  <si>
    <t>0146. ACCESO DE LAS FAMILIAS A VIVIENDA Y ENTORNO URBANO ADECUADO</t>
  </si>
  <si>
    <t>0147. FORTALECIMIENTO DE LA EDUCACION SUPERIOR TECNOLOGICA</t>
  </si>
  <si>
    <t>0150 INCREMENTO EN EL ACCESO DE LA POBLACION A LOS SERVICIOS EDUCATIVOS PUBLICOS DE LA EDUCACION BASICA</t>
  </si>
  <si>
    <t>1001. PRODUCTOS ESPECIFICOS PARA DESARROLLO INFANTIL TEMPRANO</t>
  </si>
  <si>
    <t>1002. PRODUCTOS ESPECIFICOS PARA REDUCCION DE LA VIOLENCIA CONTRA LA MUJER</t>
  </si>
  <si>
    <t>PIM
POR PROGRAMA PRESUPUESTAL</t>
  </si>
  <si>
    <t>0080 LUCHA CONTRA LA VIOLENCIA FAMILIAR</t>
  </si>
  <si>
    <t>0148 REDUCCION DEL TIEMPO, INSEGURIDAD Y COSTO AMBIENTAL EN EL TRANSPORTE URBANO</t>
  </si>
  <si>
    <t>EJECUCIÓN
POR PROGRAMA PRESUPUESTAL</t>
  </si>
  <si>
    <t>EJECUCION TOTAL S/</t>
  </si>
  <si>
    <t>FORMATO 06: PROGRAMAS SOCIALES PRIORIZADOS SEGÚN EL CICLO DE VIDA POR FUENTE DE FINANCIAMIENTO 2020, 2021 Y PROYECTO 2022</t>
  </si>
  <si>
    <t>PROGRAMAS SOCIALES</t>
  </si>
  <si>
    <t>PRESUPUESTO PIA</t>
  </si>
  <si>
    <t>PRESUPUESTO PIM</t>
  </si>
  <si>
    <t>BENEFICIARIOS</t>
  </si>
  <si>
    <t>DIferencia 
(2020-2021)</t>
  </si>
  <si>
    <t>Proyecto 2022</t>
  </si>
  <si>
    <t>Estimado 2021 (**)</t>
  </si>
  <si>
    <t>DIferencia 
(2021-2022)</t>
  </si>
  <si>
    <t>I.  DE GESTANTES A NIÑOS DE HASTA 14 AÑOS</t>
  </si>
  <si>
    <t>JUNTOS</t>
  </si>
  <si>
    <t>II.  GESTACIÓN</t>
  </si>
  <si>
    <t>SAMU</t>
  </si>
  <si>
    <t>SMN</t>
  </si>
  <si>
    <t>Mortalidad Materna</t>
  </si>
  <si>
    <t>Mortalidad Neonatal</t>
  </si>
  <si>
    <t>III.  De 0 a 2 AÑOS</t>
  </si>
  <si>
    <t>PAN</t>
  </si>
  <si>
    <t>CUNA MAS</t>
  </si>
  <si>
    <t>Desnutrición Cronica</t>
  </si>
  <si>
    <t>Mortalidad Infantil</t>
  </si>
  <si>
    <t>Desarrollo cognitivo, lenguaje, socioemocional y motor</t>
  </si>
  <si>
    <t>IV. DE 3 A 5 AÑOS</t>
  </si>
  <si>
    <t>PELA</t>
  </si>
  <si>
    <t>Logros de aprendizaje</t>
  </si>
  <si>
    <t>Cobertura escolar</t>
  </si>
  <si>
    <t>V. DE 6 A 12 AÑOS</t>
  </si>
  <si>
    <t>PELA Primaria</t>
  </si>
  <si>
    <t>VI. DE 13 A 17 AÑOS</t>
  </si>
  <si>
    <t>PELA Secundaria</t>
  </si>
  <si>
    <t>Logros de aprindizaje</t>
  </si>
  <si>
    <t>Deserción escolar</t>
  </si>
  <si>
    <t>VII. DE 17 A 24 AÑOS</t>
  </si>
  <si>
    <t>Jovenes a la obra</t>
  </si>
  <si>
    <t>Beca 18</t>
  </si>
  <si>
    <t>Acceso a la educación superior de calidad</t>
  </si>
  <si>
    <t>Educacion pertienente para el mercado laboral</t>
  </si>
  <si>
    <t>VIII. DE 65 A MAS</t>
  </si>
  <si>
    <t>Pensión 65</t>
  </si>
  <si>
    <t>Asegurar las condiciones básicas para la subsistencia</t>
  </si>
  <si>
    <t>Est. %</t>
  </si>
  <si>
    <t>(*) Al 30 de junio de 2021</t>
  </si>
  <si>
    <t>(**) Estimado al 31 de diciembre de 2021</t>
  </si>
  <si>
    <t>FORMATO 07: RESUMEN POR GRUPO GENÉRICO Y FUENTES DE FINANCIAMIENTO PROYECTO 2022</t>
  </si>
  <si>
    <t>RECURSOS PUBLICOS</t>
  </si>
  <si>
    <t>GASTO CORRIENTE 2022</t>
  </si>
  <si>
    <t>GASTO CAPITAL 2022</t>
  </si>
  <si>
    <t>SERVICIO DE DEUDA 2022</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</si>
  <si>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</si>
  <si>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</si>
  <si>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</si>
  <si>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</si>
  <si>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</si>
  <si>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</si>
  <si>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</si>
  <si>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</si>
  <si>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</si>
  <si>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</si>
  <si>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</si>
  <si>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</si>
  <si>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</si>
  <si>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S/.</t>
  </si>
  <si>
    <t>EST. %</t>
  </si>
  <si>
    <t>1. RECURSOS ORDINARIOS</t>
  </si>
  <si>
    <t>2. RECURSOS DIRECTAM. RECAUD.</t>
  </si>
  <si>
    <t>3.- RECURSOS OPERACIONES</t>
  </si>
  <si>
    <t xml:space="preserve">       OFICIALES DE CREDITO</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</si>
  <si>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</si>
  <si>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</si>
  <si>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</si>
  <si>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</si>
  <si>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</si>
  <si>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</si>
  <si>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</si>
  <si>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 xml:space="preserve">    - OTROS (ESPECIFICAR)</t>
  </si>
  <si>
    <t>FORMATO 08: RESUMEN DE PRESUPUESTO POR FUNCIONES PIA 2020, 2021 Y PROYECTO 2022</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</si>
  <si>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</si>
  <si>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</si>
  <si>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</si>
  <si>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</si>
  <si>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</si>
  <si>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</si>
  <si>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</si>
  <si>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</si>
  <si>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</si>
  <si>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</si>
  <si>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</si>
  <si>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</si>
  <si>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</si>
  <si>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</si>
  <si>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Var. % (2021-2022)</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</si>
  <si>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</si>
  <si>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</si>
  <si>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</si>
  <si>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</si>
  <si>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</si>
  <si>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</si>
  <si>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</si>
  <si>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</si>
  <si>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</si>
  <si>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</si>
  <si>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</si>
  <si>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</si>
  <si>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</si>
  <si>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</si>
  <si>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</si>
  <si>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</si>
  <si>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</si>
  <si>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</si>
  <si>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</si>
  <si>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</si>
  <si>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</si>
  <si>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</si>
  <si>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</si>
  <si>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</si>
  <si>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</si>
  <si>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FORMATO 09: COMPARATIVO DEL NÚMERO DE PLAZAS EN EL PRESUPUESTO  2021 Y PROYECTO 2022</t>
  </si>
  <si>
    <t>CATEGORIA</t>
  </si>
  <si>
    <t>2021 (JUNIO)</t>
  </si>
  <si>
    <t>PROYECCIÓN 2022 (JUNIO)</t>
  </si>
  <si>
    <t xml:space="preserve"> REMUNERATIVA</t>
  </si>
  <si>
    <t>Decreto Legislativo 276 (Regimen Público)</t>
  </si>
  <si>
    <t>Decreto Legislativo 728 (Regimen Privado)</t>
  </si>
  <si>
    <t>Decreto Legislativo 1057 (Contrato Administrativo de Servicios</t>
  </si>
  <si>
    <t>Ley 30057 
(Ley del Servicio Civil)</t>
  </si>
  <si>
    <t>Decreto Legislativo 1024 (Gerentes Públicos) (**)</t>
  </si>
  <si>
    <t>Ley 25650 (Fondo de Apoyo Generencial) (**)</t>
  </si>
  <si>
    <t>Ley 29806 (Personal Altamente Calificado) (**)</t>
  </si>
  <si>
    <t>Practicantes (***)</t>
  </si>
  <si>
    <t>Otros Servidores (especificar) (**) (***)</t>
  </si>
  <si>
    <t xml:space="preserve">Total </t>
  </si>
  <si>
    <t>S/ Anual (****)</t>
  </si>
  <si>
    <t>S/ (****)</t>
  </si>
  <si>
    <t>DIRECTIVOS/FUNCIONARIOS</t>
  </si>
  <si>
    <t>F-7</t>
  </si>
  <si>
    <t>F-6</t>
  </si>
  <si>
    <t>F-5</t>
  </si>
  <si>
    <t>F-4</t>
  </si>
  <si>
    <t>F-3</t>
  </si>
  <si>
    <t>F-2</t>
  </si>
  <si>
    <t>PROFESIONALES</t>
  </si>
  <si>
    <t>SPA</t>
  </si>
  <si>
    <t>SPB</t>
  </si>
  <si>
    <t>SPC</t>
  </si>
  <si>
    <t>TECNICOS</t>
  </si>
  <si>
    <t>STA</t>
  </si>
  <si>
    <t>STB</t>
  </si>
  <si>
    <t>STC</t>
  </si>
  <si>
    <t>AUXILIARES</t>
  </si>
  <si>
    <t>SAA</t>
  </si>
  <si>
    <t>CONSEJEROS REGIONAL</t>
  </si>
  <si>
    <t>CONSEJEROS</t>
  </si>
  <si>
    <t>CONTRATO ADMINISTRATIVO DE SERVICIOS</t>
  </si>
  <si>
    <t>CAS</t>
  </si>
  <si>
    <t>PRACTICANTES</t>
  </si>
  <si>
    <t>TOTAL (A)</t>
  </si>
  <si>
    <t xml:space="preserve">        DIRECCION DE SANEAMIENTO VIVIENDA Y CONSTRUCCION</t>
  </si>
  <si>
    <t>F-8</t>
  </si>
  <si>
    <t>...</t>
  </si>
  <si>
    <t>F5</t>
  </si>
  <si>
    <t>F3</t>
  </si>
  <si>
    <t>F-1</t>
  </si>
  <si>
    <t>....</t>
  </si>
  <si>
    <t>SPE</t>
  </si>
  <si>
    <t>STE</t>
  </si>
  <si>
    <t>SAE</t>
  </si>
  <si>
    <t>DIRECCION REGIONAL DE ENERGIA Y MINAS</t>
  </si>
  <si>
    <t>DIRECTOR REGIONAL  F-5  (1)</t>
  </si>
  <si>
    <t>SPB  (4)</t>
  </si>
  <si>
    <t>STA  (1)</t>
  </si>
  <si>
    <t>STB  (1)</t>
  </si>
  <si>
    <t>STC  (1)</t>
  </si>
  <si>
    <t>DIRECCION REGIONAL DE TRABAJO</t>
  </si>
  <si>
    <t>GERENCIA TERRITORIAL DE PURUS</t>
  </si>
  <si>
    <t>F-5 (1)</t>
  </si>
  <si>
    <t>F-3 (5)</t>
  </si>
  <si>
    <t>SPA (2)</t>
  </si>
  <si>
    <t>SPB (1)</t>
  </si>
  <si>
    <t>SPB (2)</t>
  </si>
  <si>
    <t>STA (8)</t>
  </si>
  <si>
    <t>STB (4)</t>
  </si>
  <si>
    <t>GERENCIA TERRITORIAL DE PADRE ABAD</t>
  </si>
  <si>
    <t>GERENCIA TERRITORIAL DE ATALAYA</t>
  </si>
  <si>
    <t>DIRECCION REGIONAL DE TRANSPORTE</t>
  </si>
  <si>
    <t>1</t>
  </si>
  <si>
    <t>6</t>
  </si>
  <si>
    <t>20</t>
  </si>
  <si>
    <t>10</t>
  </si>
  <si>
    <t>DIRECCION REGIONAL DE COMERCIO DE COMERCIO EXTERIOR Y TURISMO</t>
  </si>
  <si>
    <t>DIRECCION  REGIONAL DE LA PRODUCION</t>
  </si>
  <si>
    <t>DIRECCION REGIONAL DE AGRICULTURA</t>
  </si>
  <si>
    <t>F4</t>
  </si>
  <si>
    <t>SPD</t>
  </si>
  <si>
    <t>DIRECCION REGIONAL DE EDUCACION UCAYALI</t>
  </si>
  <si>
    <t>STD</t>
  </si>
  <si>
    <t>STF</t>
  </si>
  <si>
    <t>SAB</t>
  </si>
  <si>
    <t>SAC</t>
  </si>
  <si>
    <t>SAD</t>
  </si>
  <si>
    <t>CAS SEDE DREU</t>
  </si>
  <si>
    <t>CAS PROGRAMAS</t>
  </si>
  <si>
    <t>DIRECCION REGIONAL DE SALUD DE UCAYALI</t>
  </si>
  <si>
    <t>DECRETO LEGISLATIVO 1153</t>
  </si>
  <si>
    <t>ASISTENCIALES NO PROFESIONALES DE LA SALUD</t>
  </si>
  <si>
    <t>ASISTENCIALES PROFESIONALES DE LA SALUD</t>
  </si>
  <si>
    <t>SPF</t>
  </si>
  <si>
    <t>SAF</t>
  </si>
  <si>
    <t>CARRERA MEDICA Y PROFESIONALES 
DE LA SALUD</t>
  </si>
  <si>
    <t>CARRERA MEDICO</t>
  </si>
  <si>
    <t>MEDICO CIRUJANO N-5</t>
  </si>
  <si>
    <t>MEDICO CIRUJANO N-4</t>
  </si>
  <si>
    <t>MEDICO CIRUJANO N-3</t>
  </si>
  <si>
    <t>MEDICO CIRUJANO N-2</t>
  </si>
  <si>
    <t>MEDICO CIRUJANO N-1</t>
  </si>
  <si>
    <t>ENFERMEROS</t>
  </si>
  <si>
    <t>ENFERMERA (NIVEL 14)</t>
  </si>
  <si>
    <t>ENFERMERA (NIVEL 13)</t>
  </si>
  <si>
    <t>ENFERMERA (NIVEL 12)</t>
  </si>
  <si>
    <t>ENFERMERA (NIVEL 11)</t>
  </si>
  <si>
    <t>ENFERMERA (NIVEL 10)</t>
  </si>
  <si>
    <t>OBSTETRICES</t>
  </si>
  <si>
    <t>OBSTETRIZ (NIVEL V)</t>
  </si>
  <si>
    <t>OBSTETRIZ (NIVEL IV)</t>
  </si>
  <si>
    <t>OBSTETRIZ (NIVEL III)</t>
  </si>
  <si>
    <t>OBSTETRIZ (NIVEL II)</t>
  </si>
  <si>
    <t>OBSTETRIZ (NIVEL I)</t>
  </si>
  <si>
    <t>CIRUJANO DENTISTA</t>
  </si>
  <si>
    <t>CIRUJANO DENTISTA (NIVEL V)</t>
  </si>
  <si>
    <t>CIRUJANO DENTISTA (NIVEL IV)</t>
  </si>
  <si>
    <t>CIRUJANO DENTISTA (NIVEL III)</t>
  </si>
  <si>
    <t>CIRUJANO DENTISTA (NIVEL II)</t>
  </si>
  <si>
    <t>CIRUJANO DENTISTA (NIVEL I)</t>
  </si>
  <si>
    <t>OTROS PROFESIONALES DE LA SALUD</t>
  </si>
  <si>
    <t>OT.PROF. 28</t>
  </si>
  <si>
    <t>OT.PROF. 27</t>
  </si>
  <si>
    <t>OT.PROF. 26</t>
  </si>
  <si>
    <t>OT.PROF. 25</t>
  </si>
  <si>
    <t>OT.PROF. 24</t>
  </si>
  <si>
    <t>SERUMISTAS</t>
  </si>
  <si>
    <t>MEDICOS</t>
  </si>
  <si>
    <t>ENFERMERAS</t>
  </si>
  <si>
    <t>NUTRICIONISTA</t>
  </si>
  <si>
    <t>PSICOLOGOS</t>
  </si>
  <si>
    <t>TECNOLOGOS MEDICOS</t>
  </si>
  <si>
    <t>TOTAL (B)</t>
  </si>
  <si>
    <t>PERSONAL CAS</t>
  </si>
  <si>
    <t>ADMINISTRATIVOS</t>
  </si>
  <si>
    <t>ASISTENCIALES</t>
  </si>
  <si>
    <t>TOTAL (C)</t>
  </si>
  <si>
    <t>TOTAL (A) + (B) + (C).</t>
  </si>
  <si>
    <t>HOSPITAL REGIONAL DE PUCALLPA</t>
  </si>
  <si>
    <t>PERSONAL ADMINISTRATIVO</t>
  </si>
  <si>
    <t>PROFESIONALES DE LA SALUD</t>
  </si>
  <si>
    <t>V</t>
  </si>
  <si>
    <t>IV</t>
  </si>
  <si>
    <t>III</t>
  </si>
  <si>
    <t>II</t>
  </si>
  <si>
    <t>I</t>
  </si>
  <si>
    <t>OBSTETRICIA</t>
  </si>
  <si>
    <t>ENFERMERA</t>
  </si>
  <si>
    <t>TECNICOS ESPECIALIZADOS</t>
  </si>
  <si>
    <t>TECNICOS Y AUXILIARES NO PROFESIONALES DE LA SALUD</t>
  </si>
  <si>
    <t>AUXILIAR</t>
  </si>
  <si>
    <t>TOTAL (D.L.Nº 276)</t>
  </si>
  <si>
    <t>HOSPITAL  AMAZONICO DE YARINA COCHA</t>
  </si>
  <si>
    <t>2020 (JUNIO)</t>
  </si>
  <si>
    <t>CARRERA MEDICA Y PROFESIONALES  DE LA SALUD</t>
  </si>
  <si>
    <t>N-5</t>
  </si>
  <si>
    <t>N-3</t>
  </si>
  <si>
    <t>N-2</t>
  </si>
  <si>
    <t>N-1</t>
  </si>
  <si>
    <t>OBSTETRIZ</t>
  </si>
  <si>
    <t>ENFERMERA(O)</t>
  </si>
  <si>
    <t>ASISTENCIALES OTROS PROFESIONALES DE LA SALUD</t>
  </si>
  <si>
    <t>VIII</t>
  </si>
  <si>
    <t>VI</t>
  </si>
  <si>
    <t>TM-I</t>
  </si>
  <si>
    <t>TECNICOS DE LA SALUD</t>
  </si>
  <si>
    <t>AUXILIAR DE LA SALUD</t>
  </si>
  <si>
    <t>UGEL DE CORONEL PORTILLO</t>
  </si>
  <si>
    <t>UGEL ATALAYA</t>
  </si>
  <si>
    <t>2020(JUNIO)</t>
  </si>
  <si>
    <t>Decreto Legislativo 1057 (Contrato Administ.de Servicios)</t>
  </si>
  <si>
    <t>Total  (*)</t>
  </si>
  <si>
    <t>Costo Anual (*)</t>
  </si>
  <si>
    <t>UGEL PURUS</t>
  </si>
  <si>
    <t>FUNCIONARIOS</t>
  </si>
  <si>
    <t>REFORMA MAGISTERIAL</t>
  </si>
  <si>
    <t>VI-40</t>
  </si>
  <si>
    <t>V-40</t>
  </si>
  <si>
    <t>IV-40</t>
  </si>
  <si>
    <t>III-40</t>
  </si>
  <si>
    <t>II-40</t>
  </si>
  <si>
    <t>I-40</t>
  </si>
  <si>
    <t>IV-30</t>
  </si>
  <si>
    <t>III-30</t>
  </si>
  <si>
    <t>II-30</t>
  </si>
  <si>
    <t>I-30</t>
  </si>
  <si>
    <t>AUXILIAR DE EDUCACION</t>
  </si>
  <si>
    <t>E-30</t>
  </si>
  <si>
    <t>DOCENTE CONTRATADO</t>
  </si>
  <si>
    <t>G-40</t>
  </si>
  <si>
    <t>G-30</t>
  </si>
  <si>
    <t>BOLSA DE HORAS</t>
  </si>
  <si>
    <t>UGEL PADRE ABAD</t>
  </si>
  <si>
    <t>CONTRATOS ADMINISTRATIVOS DE SERVICIO</t>
  </si>
  <si>
    <t>RED DE SALUD CORONEL PORTILLO</t>
  </si>
  <si>
    <t>RED DE SALUD DE AGUAYTIA</t>
  </si>
  <si>
    <t>MC-5</t>
  </si>
  <si>
    <t>MC-4</t>
  </si>
  <si>
    <t>MC-3</t>
  </si>
  <si>
    <t>MC-1</t>
  </si>
  <si>
    <t>OBS-II</t>
  </si>
  <si>
    <t>OBS-I</t>
  </si>
  <si>
    <t>CD-II</t>
  </si>
  <si>
    <t>CD-I</t>
  </si>
  <si>
    <t>BIOLOGO</t>
  </si>
  <si>
    <t>OPS-IV</t>
  </si>
  <si>
    <t>OPS-V</t>
  </si>
  <si>
    <t>PSICOLOGO</t>
  </si>
  <si>
    <t>PS-IV</t>
  </si>
  <si>
    <t>QUIMICO FARMACEUTICO</t>
  </si>
  <si>
    <t>Q-I</t>
  </si>
  <si>
    <t>TECNOLOGO MEDICO</t>
  </si>
  <si>
    <t>RED DE SALUD DE ATALAYA</t>
  </si>
  <si>
    <t>MC-2</t>
  </si>
  <si>
    <t>OBSTETRIZ I</t>
  </si>
  <si>
    <t>OBSTETRIZ III</t>
  </si>
  <si>
    <t>TECNOLOGO MEDICO 1</t>
  </si>
  <si>
    <t>CD-1</t>
  </si>
  <si>
    <t>CD-3</t>
  </si>
  <si>
    <t>ENFERMERA /O 10</t>
  </si>
  <si>
    <t>ENFERMERA /O 13</t>
  </si>
  <si>
    <t>ADMINISTRATIVO</t>
  </si>
  <si>
    <t>TECNICA EN ENFERMERIA</t>
  </si>
  <si>
    <t>TECNICO EN LABORATORIO</t>
  </si>
  <si>
    <t>TECNICO EN FARMACIA</t>
  </si>
  <si>
    <t>TECNICOS ADMINISTRATIVOS</t>
  </si>
  <si>
    <t>AUXILIAR ADMINISTRATIVO</t>
  </si>
  <si>
    <t>TOTAL GENERAL</t>
  </si>
  <si>
    <t>(**) Incluye el monto pagado por otras entidades al personal que presta servidos en el Sector o Gobierno Regional</t>
  </si>
  <si>
    <t xml:space="preserve">(***) Detallar el marco legal </t>
  </si>
  <si>
    <t>(****) Proyectado</t>
  </si>
  <si>
    <t>FORMATO N° 10: INFORMACION DE REMUNERACIONES Y NUMEROS DE PLAZAS - PRESUPUESTO 2020, 2021 Y PROYECTO 2022</t>
  </si>
  <si>
    <t>SEDEE GOBIERNO REGIONAL DE UCAYALI</t>
  </si>
  <si>
    <t>2020 (PIA)</t>
  </si>
  <si>
    <t>2021 (PIA)</t>
  </si>
  <si>
    <t>2022  (PROYECTO)</t>
  </si>
  <si>
    <t>VARIACION 2020-2021</t>
  </si>
  <si>
    <t>PEA / Beneficiarios</t>
  </si>
  <si>
    <t>COSTO ANUAL</t>
  </si>
  <si>
    <t>COSTO TOTAL EN PLANILLAS (*)</t>
  </si>
  <si>
    <t>BONIFICACIÓN EXTRAORDINARIA (INACEPTACIÓN DE GRATIFICACIONES)</t>
  </si>
  <si>
    <t>BONOS POR FUNCION JURIDICCIONAL Y FISCAL</t>
  </si>
  <si>
    <t>DIETA DE DIRECTORIO</t>
  </si>
  <si>
    <t>DIETAS</t>
  </si>
  <si>
    <t>ESCOLARIDAD, AGUINALDO Y GRATIFICACIONES</t>
  </si>
  <si>
    <t>GASTOS POR ESTACIONAMIENTO DE VEHICULOS</t>
  </si>
  <si>
    <t>GASTOS VARIABLES Y OCASIONALES</t>
  </si>
  <si>
    <t>MOVILIDAD PARA TRASLADO DE TRABAJADORES</t>
  </si>
  <si>
    <t>OBLIGACIONES DEL EMPLEADOR (CARGAS SOCIALES)</t>
  </si>
  <si>
    <t>PRODUCTIVIDAD</t>
  </si>
  <si>
    <t>RETRIBUCIONES EN BIENES</t>
  </si>
  <si>
    <t>SEGUROS (ESPECIFICAR)</t>
  </si>
  <si>
    <t>TRANSFERENCIAS CAFAE</t>
  </si>
  <si>
    <t>VESTUARIO</t>
  </si>
  <si>
    <t>OTROS (ESPECIFICAR) (**)</t>
  </si>
  <si>
    <t>TOTAL    (*)</t>
  </si>
  <si>
    <t>DIRECCION DE ENERGIA Y MINAS</t>
  </si>
  <si>
    <t>COMPENSACION POR TIEMPO DE SERVICIO</t>
  </si>
  <si>
    <t>OTRAS OCASIONALES</t>
  </si>
  <si>
    <t>ASIGANCION POR CUMPLIR 25 O 30 AÑOS</t>
  </si>
  <si>
    <t>OTRAS RETRIBUCIONES EN ESPECIE</t>
  </si>
  <si>
    <t>COMPENSACION VACACIONAL</t>
  </si>
  <si>
    <t>OTROS (ESPECIFICAR) (**) OCACIONALES</t>
  </si>
  <si>
    <t>DIRECCION REGIONAL DE COMERCIO EXTERIOR Y TURISMO</t>
  </si>
  <si>
    <t>OTROS (ESPECIFICAR) (**) OTROS GASTOS DE PERSONAL 2.1.1.9.3.98</t>
  </si>
  <si>
    <t>OTROS (ESPECIFICAR) (**) DIFERENCIAL SENTENCIA JUDICIAL-INCENTIVO</t>
  </si>
  <si>
    <t xml:space="preserve">DIRECCION REGIONAL DE LA PRODUCCION </t>
  </si>
  <si>
    <t>DIRECCION REGIONAL DE EDUCACION</t>
  </si>
  <si>
    <t>SEGUROS (ESPECIFICAR) CONTRIBUCIONES A ESSALUD</t>
  </si>
  <si>
    <t>OTROS (ESPECIFICAR) (**) APORTES A LOS FONDOS DE PENSIONES</t>
  </si>
  <si>
    <t>OTROS (ESPECIFICAR) (**) OTRAS GASTOS DE PERSONAL</t>
  </si>
  <si>
    <t>DIRECCION REGIONAL DE SALUD</t>
  </si>
  <si>
    <t>SEGUROS (ESPECIFICAR) APORTE ESSLAUD</t>
  </si>
  <si>
    <t>HOSPITAL AMAZONICO DE YARINA COCHA</t>
  </si>
  <si>
    <t>OTROS (GUARDIAS,OTRAS RETRIBUCIONES,CTS,25 O 30 AÑOS) (**)</t>
  </si>
  <si>
    <t>410</t>
  </si>
  <si>
    <t>(*) DEBE COINCIDIR CON LOS MONTOS ASIGNADOS EN LA GENERICA 1. PERSONAL Y OBLIGACIONES SOCIALES CONSIDERADAS EN EL PRESUPUESTO</t>
  </si>
  <si>
    <t>VARIACION 2020-2022</t>
  </si>
  <si>
    <t>SEGUROS (ESPECIFICAR) ESSALUD</t>
  </si>
  <si>
    <t>RED DE SALUD ATALAYA</t>
  </si>
  <si>
    <t xml:space="preserve"> BONIFICACIONES O ENTREGAS ECONOMICAS PROFESIONALES DE LA SALUD</t>
  </si>
  <si>
    <t>8</t>
  </si>
  <si>
    <t>9</t>
  </si>
  <si>
    <t xml:space="preserve"> BONIFICACIONES O ENTREGAS ECONOMICAS NO PROFESIONALES DE LA SALUD</t>
  </si>
  <si>
    <t>(**) PNUD, BONOS, etc.</t>
  </si>
  <si>
    <t>FORMATO 11: INGRESOS MENSUALES POR PERIODO DEL PERSONAL ACTIVO -  COMPARATIVO PRESUPUESTO 2020, 2021 Y PROYECTO 2022</t>
  </si>
  <si>
    <t>SEDE CENTRAL</t>
  </si>
  <si>
    <t>NIVELES REMUNERATIVOS</t>
  </si>
  <si>
    <t>INGRESOS PERSONAL PRESUPUESTO 2020</t>
  </si>
  <si>
    <t>INGRESOS PERSONAL PRESUPUESTO 2021</t>
  </si>
  <si>
    <t>DIFERENCIA 
(2020 -2021)</t>
  </si>
  <si>
    <t>PROYECTO 2022</t>
  </si>
  <si>
    <t>PEA</t>
  </si>
  <si>
    <t>REMUNERACION MENSUAL (cada persona)</t>
  </si>
  <si>
    <t>CAFAE MENSUL (cada persona)</t>
  </si>
  <si>
    <t>AETA MENSUAL (cada persona)</t>
  </si>
  <si>
    <t>INCENTIVOS O PRODUCTIVIDAD (cada persona)</t>
  </si>
  <si>
    <t>MOVILIDAD</t>
  </si>
  <si>
    <t>RACIONAMIENTO</t>
  </si>
  <si>
    <t>BONOS</t>
  </si>
  <si>
    <t>OTROS INGRESOS MENSUAL (cada persona)</t>
  </si>
  <si>
    <t>SUB TOTAL INGRESOS MENSUALES (cada persona)</t>
  </si>
  <si>
    <t>AGUINALDOS, GRAFICACIONES Y ESCOLARIDAD (anual cada persona)</t>
  </si>
  <si>
    <t>OTROS INGRESOS NO MENSUALES 
(anual cada personal)</t>
  </si>
  <si>
    <t>SUB TOTAL OTROS BENEFICIOS ... (no, mensuales, monto anual)</t>
  </si>
  <si>
    <t>TOTAL INGRESOS ANUAL POR PERSONA</t>
  </si>
  <si>
    <t>TOTAL INGRESO ANUAL PEA (Proyección al 31 de diciembre de  2019)</t>
  </si>
  <si>
    <t xml:space="preserve">DIFERENCIA INGRESO ANUAL POR PERSONAL </t>
  </si>
  <si>
    <t>DIFERENCIA INGRESO ANUAL PEA</t>
  </si>
  <si>
    <t>TOTAL INGRESO ANUAL PEA (Proyección al 31 de diciembre de 2020)</t>
  </si>
  <si>
    <t>(1)</t>
  </si>
  <si>
    <t>(2)</t>
  </si>
  <si>
    <t>(3)</t>
  </si>
  <si>
    <t>(4)</t>
  </si>
  <si>
    <t>(5)</t>
  </si>
  <si>
    <t>(6)</t>
  </si>
  <si>
    <t>(7)</t>
  </si>
  <si>
    <t>(8)</t>
  </si>
  <si>
    <t>(9)</t>
  </si>
  <si>
    <t>(10)</t>
  </si>
  <si>
    <t>(11)</t>
  </si>
  <si>
    <t>(12)</t>
  </si>
  <si>
    <t>(13)</t>
  </si>
  <si>
    <t>(14)</t>
  </si>
  <si>
    <t>(15)</t>
  </si>
  <si>
    <t>PROYECO DE INVERSION</t>
  </si>
  <si>
    <t>DIRECCION REGIONAL DE VIVIENDA , SANEAMEINTO Y CONSTRUCCION</t>
  </si>
  <si>
    <t>CAFAE MENSUAL (cada persona)</t>
  </si>
  <si>
    <t>TOTAL INGRESO ANUAL PEA</t>
  </si>
  <si>
    <t>TOTAL INGRESO ANUAL PEA (Proyección al 31 de diciembre de  2021)</t>
  </si>
  <si>
    <t>TOTAL INGRESO ANUAL PEA (Proyección al 31 de diciembre de 2022)</t>
  </si>
  <si>
    <t>CARRERA ADMINISTRATIVA</t>
  </si>
  <si>
    <t xml:space="preserve">    SERVICIOS NO PERSONAL </t>
  </si>
  <si>
    <t xml:space="preserve">     ………….</t>
  </si>
  <si>
    <t xml:space="preserve">    PROYECTOS DE INVERSION</t>
  </si>
  <si>
    <t xml:space="preserve">DIRECTOR REGIONAL </t>
  </si>
  <si>
    <t>ARMENGULA DAVILA MARINA</t>
  </si>
  <si>
    <t xml:space="preserve">HERMOGENES DIAZ  GRATELLY </t>
  </si>
  <si>
    <t>LUIS ALBERTO LOPEZ ZEVALLOS</t>
  </si>
  <si>
    <t>RAYNER RAMIREZ RIBEIRO</t>
  </si>
  <si>
    <t>WILLY CAPILLO NUÑEZ</t>
  </si>
  <si>
    <t>LORENA EMILIA PEZO FLORES</t>
  </si>
  <si>
    <t>ARON MORI SAAVEDRA</t>
  </si>
  <si>
    <t>……</t>
  </si>
  <si>
    <t xml:space="preserve">F-5 </t>
  </si>
  <si>
    <t>DIRECTIVOS</t>
  </si>
  <si>
    <t>FUNCIONARIOS F-5</t>
  </si>
  <si>
    <t>FUNCIONARIOS F-3</t>
  </si>
  <si>
    <t>PROFESIONALES SPA</t>
  </si>
  <si>
    <t>PROFESIONALES SPB</t>
  </si>
  <si>
    <t>TECNICOS ADMINISTRATIVO STA</t>
  </si>
  <si>
    <t>TECNICO ADMINISTRATIVO STB</t>
  </si>
  <si>
    <t>FUNCIONARIOS F-7</t>
  </si>
  <si>
    <t>FUNCIONARIOS F-6</t>
  </si>
  <si>
    <t>FUCNIONARIOS  F-5</t>
  </si>
  <si>
    <t>FUCNIONARIOS  F-4</t>
  </si>
  <si>
    <t>FUNCIONARIOS  F-3</t>
  </si>
  <si>
    <t>FUNCIONARIOS  F-2</t>
  </si>
  <si>
    <t>FUNCIONARIOS  F-1</t>
  </si>
  <si>
    <t>PROFESIONALES SPC</t>
  </si>
  <si>
    <t>PROFESIONALES SPD</t>
  </si>
  <si>
    <t>PROFESIONALES SPE</t>
  </si>
  <si>
    <t>PROFESIONALES SPF</t>
  </si>
  <si>
    <t>TECNICOS ADMINISTRATIVOS  STA</t>
  </si>
  <si>
    <t>TECNICOS ADMINISTRATIVOS  STB</t>
  </si>
  <si>
    <t>TECNICOS ADMINISTRATIVOS  STC</t>
  </si>
  <si>
    <t>TECNICOS ADMINISTRATIVOS  STD</t>
  </si>
  <si>
    <t>TECNICOS ADMINISTRATIVOS  STE</t>
  </si>
  <si>
    <t>TECNICOS ADMINISTRATIVOS  STF</t>
  </si>
  <si>
    <t xml:space="preserve">NO NIVELABLES </t>
  </si>
  <si>
    <t>SERVIDORES AUXILIARES  SAA</t>
  </si>
  <si>
    <t>SERVIDORES AUXILIARES  SAB</t>
  </si>
  <si>
    <t>SERVIDORES AUXILIARES  SAC</t>
  </si>
  <si>
    <t>SERVIDORES AUXILIARES  SAD</t>
  </si>
  <si>
    <t>SERVIDORES AUXILIARES  SAE</t>
  </si>
  <si>
    <t>GERENCIA TERRITORIAL  DE ATALAYA</t>
  </si>
  <si>
    <t xml:space="preserve">DIRECCION REGIONAL DE  TRANSPORTE </t>
  </si>
  <si>
    <t>DIRECCCION REGIONAL DE COMERCIO  EXTERIOR  Y TURISMO</t>
  </si>
  <si>
    <t>..</t>
  </si>
  <si>
    <t>DIRECCION REGIONAL DE LA PRODUCCION</t>
  </si>
  <si>
    <t>FUNCIONARIO</t>
  </si>
  <si>
    <t>F8</t>
  </si>
  <si>
    <t>F7</t>
  </si>
  <si>
    <t>F6</t>
  </si>
  <si>
    <t>F2</t>
  </si>
  <si>
    <t>Sub Total Servidores Administrativos (A)</t>
  </si>
  <si>
    <t>LEY Nº 29944 LEY DE LA REF MAGISTERIAL</t>
  </si>
  <si>
    <t>ESCALA  VIII 40 HORAS</t>
  </si>
  <si>
    <t>ESCALA  VIII 30 HORAS</t>
  </si>
  <si>
    <t>ESCALA  VIII 24 HORAS</t>
  </si>
  <si>
    <t>ESCALA VII 40 HORAS</t>
  </si>
  <si>
    <t>ESCALA  VII 30 HORAS</t>
  </si>
  <si>
    <t>ESCALA  VII 24 HORAS</t>
  </si>
  <si>
    <t>ESCALA VI 40 HORAS</t>
  </si>
  <si>
    <t>ESCALA VI 30 HORAS</t>
  </si>
  <si>
    <t>ESCALA VI 24 HORAS</t>
  </si>
  <si>
    <t>ESCALA V 40 HORAS</t>
  </si>
  <si>
    <t>ESCALA V 30 HORAS</t>
  </si>
  <si>
    <t>ESCALA V 24 HORAS</t>
  </si>
  <si>
    <t>ESCALA IV 40 HORAS</t>
  </si>
  <si>
    <t>ESCALA IV 30 HORAS</t>
  </si>
  <si>
    <t>ESCALA IV 24 HORAS</t>
  </si>
  <si>
    <t>ESCALA III 40 HORAS</t>
  </si>
  <si>
    <t>ESCALA III 30 HORAS</t>
  </si>
  <si>
    <t>ESCALA III 24 HORAS</t>
  </si>
  <si>
    <t xml:space="preserve"> LEY 30512 EDUC. SUPERIOR</t>
  </si>
  <si>
    <t>CATEGORIA 1</t>
  </si>
  <si>
    <t xml:space="preserve"> 40 HORAS</t>
  </si>
  <si>
    <t xml:space="preserve"> 30 HORAS</t>
  </si>
  <si>
    <t xml:space="preserve"> 24 HORAS</t>
  </si>
  <si>
    <t>CATEGORIA 2</t>
  </si>
  <si>
    <t>40 HORAS</t>
  </si>
  <si>
    <t>CATEGORIA C3</t>
  </si>
  <si>
    <t>NIVEL XI</t>
  </si>
  <si>
    <t>E 30 HORAS</t>
  </si>
  <si>
    <t>25 HORAS</t>
  </si>
  <si>
    <t>24 HORAS</t>
  </si>
  <si>
    <t>LEY N° 1057 CONTRATOS ADM DE SERV</t>
  </si>
  <si>
    <t>CAS DREU</t>
  </si>
  <si>
    <t>LEY DEL PROFESORADO</t>
  </si>
  <si>
    <t>CARRERA JUDICIAL</t>
  </si>
  <si>
    <t>LEY UNIVERSITARIA</t>
  </si>
  <si>
    <t>LEY DEL SERVICIO DIPLOMATICO</t>
  </si>
  <si>
    <t>PERSONAL MILITAR Y POLICIAL</t>
  </si>
  <si>
    <t xml:space="preserve">OBREROS </t>
  </si>
  <si>
    <t xml:space="preserve">     ANIMADORES</t>
  </si>
  <si>
    <t xml:space="preserve">    INTERNOS DE MEDICINA HUMANA Y ODONTOLOGIA</t>
  </si>
  <si>
    <t>UGEL CORONEL PORTILLO</t>
  </si>
  <si>
    <t>STA SEDE</t>
  </si>
  <si>
    <t>STA II.EE.</t>
  </si>
  <si>
    <t>STE SEDE</t>
  </si>
  <si>
    <t>STE II.EE.</t>
  </si>
  <si>
    <t>SAE SEDE</t>
  </si>
  <si>
    <t>SAE II.EE.</t>
  </si>
  <si>
    <t>ESCALA II 40 HORAS</t>
  </si>
  <si>
    <t>ESCALA II 30 HORAS</t>
  </si>
  <si>
    <t>ESCALA I 40 HORAS</t>
  </si>
  <si>
    <t>ESCALA I 30 HORAS</t>
  </si>
  <si>
    <t xml:space="preserve">LEY Nº 30328 CONTRATO DE SERVICIO DOCENTE </t>
  </si>
  <si>
    <t xml:space="preserve">ESCALA I </t>
  </si>
  <si>
    <t>40 HRAS</t>
  </si>
  <si>
    <t>30 HRAS</t>
  </si>
  <si>
    <t>27 HRAS</t>
  </si>
  <si>
    <t>25 HRAS</t>
  </si>
  <si>
    <t>24 HRAS</t>
  </si>
  <si>
    <t>22 HRAS</t>
  </si>
  <si>
    <t>18 HRAS</t>
  </si>
  <si>
    <t>17 HRAS</t>
  </si>
  <si>
    <t>15HRAS</t>
  </si>
  <si>
    <t>13 HRAS</t>
  </si>
  <si>
    <t>10 HRAS</t>
  </si>
  <si>
    <t>CATEGORIA A</t>
  </si>
  <si>
    <t>28 HRAS</t>
  </si>
  <si>
    <t>26 HRAS</t>
  </si>
  <si>
    <t>19 HRAS</t>
  </si>
  <si>
    <t>15 HRAS</t>
  </si>
  <si>
    <t>14 HRAS</t>
  </si>
  <si>
    <t>CATEGORIA B</t>
  </si>
  <si>
    <t>30 .HRAS</t>
  </si>
  <si>
    <t>6 HRAS</t>
  </si>
  <si>
    <t>CATEGORIA C</t>
  </si>
  <si>
    <t>29 HRAS</t>
  </si>
  <si>
    <t>21 HRAS</t>
  </si>
  <si>
    <t>16 HRAS</t>
  </si>
  <si>
    <t>12 HRAS</t>
  </si>
  <si>
    <t>CATEGORIA D</t>
  </si>
  <si>
    <t>30HRAS</t>
  </si>
  <si>
    <t>20 HRAS</t>
  </si>
  <si>
    <t>09 HRAS</t>
  </si>
  <si>
    <t>CATEGORIA E</t>
  </si>
  <si>
    <t>LEY DE LA REFORMA MAGISTERIAL</t>
  </si>
  <si>
    <t>ESCALA - VI-40</t>
  </si>
  <si>
    <t>ESCALA - IV-40</t>
  </si>
  <si>
    <t>ESCALA - III-40</t>
  </si>
  <si>
    <t>ESCALA - II-40</t>
  </si>
  <si>
    <t>ESPECIALISTAS</t>
  </si>
  <si>
    <t>ESCALA - V-40</t>
  </si>
  <si>
    <t>ESCALA - I-40</t>
  </si>
  <si>
    <t>JERARQUICOS</t>
  </si>
  <si>
    <t>INICIAL - NOMBRADO</t>
  </si>
  <si>
    <t>ESCALA - II-30</t>
  </si>
  <si>
    <t>PRIMARIA - NOMBRADO</t>
  </si>
  <si>
    <t>ESCALA - III-30</t>
  </si>
  <si>
    <t>ESCALA - I-30</t>
  </si>
  <si>
    <t>SECUNDARIA - NOMBRADO</t>
  </si>
  <si>
    <t>ESCALA - IV-30</t>
  </si>
  <si>
    <t>AUXILIAR DE EDUCACION - E-30</t>
  </si>
  <si>
    <t>EBA - AVANZADO - NOMBRADO</t>
  </si>
  <si>
    <t>INICIAL - CONTRATADO</t>
  </si>
  <si>
    <t>NIVEL - G-40</t>
  </si>
  <si>
    <t>NIVEL - G-30</t>
  </si>
  <si>
    <t>PRIMARIA - CONTRATADO</t>
  </si>
  <si>
    <t>SECUNDARIA - CONTRATADO</t>
  </si>
  <si>
    <t>EBA - INTERMEDIO - CONTRATADO</t>
  </si>
  <si>
    <t>EBA - AVANZADO - CONTRATADO</t>
  </si>
  <si>
    <t>CETPRO - CONTRATADO</t>
  </si>
  <si>
    <t>NIVEL - G-19</t>
  </si>
  <si>
    <t>NIVEL - G-21</t>
  </si>
  <si>
    <t>NIVEL - G-24</t>
  </si>
  <si>
    <t>NIVEL - G-25</t>
  </si>
  <si>
    <t>RED  DE SALUD CORONEL PORTILLO</t>
  </si>
  <si>
    <t>Chofer - STA</t>
  </si>
  <si>
    <t>Técnico/a Salud Pública  - STA</t>
  </si>
  <si>
    <t>Técnico/a en Salud Pública I     -  STA</t>
  </si>
  <si>
    <t>Técnico en Enfermería  I   - STA</t>
  </si>
  <si>
    <t>Auxiliar Asistencial   -STA</t>
  </si>
  <si>
    <t>Técnico/A En Estadítica  -   STB</t>
  </si>
  <si>
    <t>Técnico en Enfermería  I    - STB</t>
  </si>
  <si>
    <t>Técnico en Laboratorio I     - STB</t>
  </si>
  <si>
    <t>Técnico/a en Laboratorio      - STB</t>
  </si>
  <si>
    <t>Técnico/a Salud Pública      - STB</t>
  </si>
  <si>
    <t>Técnico/a en Salud Pública I     -  STB</t>
  </si>
  <si>
    <t>Chofer      - STB</t>
  </si>
  <si>
    <t>Auxiliar Asistencial       -   STB</t>
  </si>
  <si>
    <t>Técnico en Laboratorio I     - STC</t>
  </si>
  <si>
    <t>Técnico en Enfermería  I     -     STC</t>
  </si>
  <si>
    <t>Técnico/a Salud Pública   -     STC</t>
  </si>
  <si>
    <t>Técnico/a en Salud Pública I     -  STC</t>
  </si>
  <si>
    <t>Tecnico en Seguridad I     -   STC</t>
  </si>
  <si>
    <t>Técnico/a en Servicios Generales I    -   STC</t>
  </si>
  <si>
    <t>Trabajador/a de Servicios Generales    -   STD</t>
  </si>
  <si>
    <t>Técnico/a en Servicios Generales I    -   STD</t>
  </si>
  <si>
    <t>Técnico en Enfermería  I    -       STF</t>
  </si>
  <si>
    <t>Técnico en Laboratorio I   -     STF</t>
  </si>
  <si>
    <t>Auxiliar Asistencial   -       STF</t>
  </si>
  <si>
    <t>Técnico/a Salud Pública    -    STF</t>
  </si>
  <si>
    <t>Técnico/a en Salud Pública I     -  STF</t>
  </si>
  <si>
    <t>Auxiliar Asistencial   -   SAA</t>
  </si>
  <si>
    <t>Auxiliar Asistencial    -  SAB</t>
  </si>
  <si>
    <t>Auxiliar Asistencial   -  SAC</t>
  </si>
  <si>
    <t>Auxiliar Asistencial    -   SAF</t>
  </si>
  <si>
    <t>Técnico/a en Servicios Generales I    -   SAC</t>
  </si>
  <si>
    <t>Trabajador/a de Servicios Generales    -   SAC</t>
  </si>
  <si>
    <t>Asistete Profesional                -     SPD</t>
  </si>
  <si>
    <t>Asistente Profesional I           -      SPF</t>
  </si>
  <si>
    <t>Enfermero/a Especialista   -  ENF 10</t>
  </si>
  <si>
    <t>Enfermero/a Especialista   -  ENF 11</t>
  </si>
  <si>
    <t>Enfermero/a Especialista   -  ENF 12</t>
  </si>
  <si>
    <t>Enfermero/a Especialista   -  ENF  13</t>
  </si>
  <si>
    <t>Enfermero/a Especialista   - ENF  14</t>
  </si>
  <si>
    <t>Enfermera/o         -    ENF 10</t>
  </si>
  <si>
    <t>Enfermera/o         -    ENF 11</t>
  </si>
  <si>
    <t>Enfermera/o         -    ENF 12</t>
  </si>
  <si>
    <t>Enfermera/o         -    ENF 13</t>
  </si>
  <si>
    <t>Enfermero/a En Salud Publica        -   ENF 10</t>
  </si>
  <si>
    <t>Enfermero/a En Salud Publica        -   ENF 11</t>
  </si>
  <si>
    <t>Enfermero/a En Salud Publica        -   ENF 12</t>
  </si>
  <si>
    <t>Esp acceso y uso de Medicamentos      -    OPS IV</t>
  </si>
  <si>
    <t>Médico          -   MC 1</t>
  </si>
  <si>
    <t>Médico          -   MC 2</t>
  </si>
  <si>
    <t>Médico          -   MC 3</t>
  </si>
  <si>
    <t>Medico Especialista   -     MC 1</t>
  </si>
  <si>
    <t>Medico Especialista   -     MC 2</t>
  </si>
  <si>
    <t>Medico Especialista   -     MC 3</t>
  </si>
  <si>
    <t>Medico Sub Especialista     -    MC 1</t>
  </si>
  <si>
    <t>Medico Sub Especialista     -    MC 4</t>
  </si>
  <si>
    <t>Nutricionista      -     OPS IV</t>
  </si>
  <si>
    <t>Nutricionista Especialista    -      OPS VIII</t>
  </si>
  <si>
    <t>Obstetra    -      OBS I</t>
  </si>
  <si>
    <t>Obstetra    -      OBS II</t>
  </si>
  <si>
    <t>Obstetra    -      OBS III</t>
  </si>
  <si>
    <t>Obstetra    -      OBS V</t>
  </si>
  <si>
    <t>Obstetra en salud Publica        -     OBS I</t>
  </si>
  <si>
    <t>Obstetra en salud Publica        -     OBS II</t>
  </si>
  <si>
    <t>Obstetra en salud Publica        -     OBS III</t>
  </si>
  <si>
    <t>Obstetra en salud Publica        -     OBS IV</t>
  </si>
  <si>
    <t>Obstetra en salud Publica        -     OBS V</t>
  </si>
  <si>
    <t>Odontologo      -    CD I</t>
  </si>
  <si>
    <t>Odontologo      -    CD II</t>
  </si>
  <si>
    <t>Odontologo      -    CD III</t>
  </si>
  <si>
    <t>Odontologo Especialista       -    CD II</t>
  </si>
  <si>
    <t>Odontologo Especialista       -    CD V</t>
  </si>
  <si>
    <t>Psicologo       -     PS IV</t>
  </si>
  <si>
    <t>RED DE SALUD AGUAYTIA</t>
  </si>
  <si>
    <t xml:space="preserve">  MIK99</t>
  </si>
  <si>
    <t>PE</t>
  </si>
  <si>
    <t>ENFERMERO/A 10</t>
  </si>
  <si>
    <t>ENFERMERO/A 13</t>
  </si>
  <si>
    <t>OBTETERIZ</t>
  </si>
  <si>
    <t>TEGNOLOGO MEDICO</t>
  </si>
  <si>
    <t>NOTAS</t>
  </si>
  <si>
    <t xml:space="preserve">(1) PEA: </t>
  </si>
  <si>
    <t>SE CONSIGNARA EL NUMERO TOTAL DE PERSONAL ACTIVO ( NOMBRADO Y CONTRATADO) SEGÚN EL PRESUPUESTO ANILITOCO DE PERSONAL (PAP) APROBADO</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</si>
  <si>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</si>
  <si>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</si>
  <si>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</si>
  <si>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</si>
  <si>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</si>
  <si>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</si>
  <si>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</si>
  <si>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</si>
  <si>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</si>
  <si>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</si>
  <si>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</si>
  <si>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</si>
  <si>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(10) SUB TOTAL</t>
  </si>
  <si>
    <t>SUMATORIA DE LAS COLUMNAS (2), (3), (4), (5), (6), (7), (8), (9)</t>
  </si>
  <si>
    <t>(11) AGUINALDOS, GRAFICACIONES Y ESCOLARIDAD</t>
  </si>
  <si>
    <t>MONTO ANUAL</t>
  </si>
  <si>
    <t>(12) OTROS BENEFICIOS - ASIGNACION ANUAL</t>
  </si>
  <si>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</si>
  <si>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TRIMESTRAL , CUATRIMENSUAL  O SIN PERIODICIDAD)</t>
  </si>
  <si>
    <t>(13) SUB TOTAL OTROS BENEFICIOS</t>
  </si>
  <si>
    <t>SUMATORIA DE LAS COLUMNAS (11) Y (12)</t>
  </si>
  <si>
    <t>(14) TOTAL INGRESOS ANUAL POR PERSONA</t>
  </si>
  <si>
    <t xml:space="preserve">MULTIMPLACIÓN DE LA COLUMNA (10) POR 12 (MESES) Y AL RESULTADO SE SUMA LA COLUMNA (13) </t>
  </si>
  <si>
    <t>(15) TOTAL ANUAL PEA</t>
  </si>
  <si>
    <t>MULTIPLICACIÓN DEL A COMUNTA (1) POR LA COLUMNA (14)</t>
  </si>
  <si>
    <t>FORMATO 12: ASIGNACIÓN DE BIENES Y SERVICIOS - COMPARATIVO PRESUPUESTO 2020, 2021 Y PROYECTO 2022</t>
  </si>
  <si>
    <t>RUBROS</t>
  </si>
  <si>
    <t>PPTO 2020
(PIA)</t>
  </si>
  <si>
    <t>PPTO 2020 
(PIM)</t>
  </si>
  <si>
    <t>PPTO 2021 
(PIA)</t>
  </si>
  <si>
    <t>PPTO 2021
(PIM 30 JUNIO)</t>
  </si>
  <si>
    <t>PPTO 2022 (PROYECTO)</t>
  </si>
  <si>
    <t>Diferencia PIA (2020-2021)</t>
  </si>
  <si>
    <t>Variación % (2020-2021)</t>
  </si>
  <si>
    <t>Diferencia PIA (2021-2022)</t>
  </si>
  <si>
    <t>ALIMENTOS Y BEBIDAS</t>
  </si>
  <si>
    <t>VESTUARIOS Y TEXTILES</t>
  </si>
  <si>
    <t>COMBUSTIBLE, CARBURANTES, LUBRICANTES Y AFINES</t>
  </si>
  <si>
    <t>MATERIALES Y UTILES</t>
  </si>
  <si>
    <t>REPUESTOS Y ACCESORIOS</t>
  </si>
  <si>
    <t>ENSERES</t>
  </si>
  <si>
    <t>SUMINISTROS MEDICOS</t>
  </si>
  <si>
    <t>MATERIALES Y UTILES DE ENSEÑANZA</t>
  </si>
  <si>
    <t>SUMINISTROS PARA USO AGROPECUARIO, FORESTAL Y VETERINARIO</t>
  </si>
  <si>
    <t>SUMINISTROS PARA MANTENIMIENTO Y REPARACION</t>
  </si>
  <si>
    <t>COMPRA DE OTROS BIENES</t>
  </si>
  <si>
    <t>VIAJES</t>
  </si>
  <si>
    <t>SERVICIOS BASICOS, COMUNICACIONES, PUBLICIDAD Y DIFUSION</t>
  </si>
  <si>
    <t>SERVICIOS DE LIMPIEZA, SEGURIDAD Y VIGILANCIA</t>
  </si>
  <si>
    <t>SERVICIO DE MANTENIMIENTO, ACONDICIONAMIENTO Y REPARA</t>
  </si>
  <si>
    <t>ALQUILER DE MUEBLES E INMUEBLES</t>
  </si>
  <si>
    <t>SERVICIOS ADMINISTRATIVOS, FINANCIEROS Y DE SEGUROS</t>
  </si>
  <si>
    <t>SERVICIOS PROFESIONALES Y TECNICOS</t>
  </si>
  <si>
    <t>LOCACION DE SERVICIOS RELACIONADOS AL ROL DE LA ENTIDAD</t>
  </si>
  <si>
    <t>(PIA) = Presupuesto Institucional de Apertura</t>
  </si>
  <si>
    <t>(*) DEBE COINCIDIR CON LOS MONTOS ASIGNADOS EN LA GENERICA 3. BIENES Y SERVICIOS CONSIDERADAS EN EL PRESUPUESTO 2018 - 2019 - 2020</t>
  </si>
  <si>
    <t>(**) Recursos Públicos / Recursos Ordinarios / Recursos Directamente Recaudados / Donaciones  y  Transferencias / Operaciones Oficiales de Crédito/ Recursos Determinados</t>
  </si>
  <si>
    <t>FORMATO 13: CONTRATOS DE OBRAS SUSCRITOS EN LOS AÑOS 2020 Y 2021</t>
  </si>
  <si>
    <t>ADQUISICIONES/CONTRATACIONES/OBRAS</t>
  </si>
  <si>
    <t>PROYECTO</t>
  </si>
  <si>
    <t>CODIGO SNIP</t>
  </si>
  <si>
    <t>TIPO DE PROCESO DE SELECCIÓN</t>
  </si>
  <si>
    <t>MODALIDAD</t>
  </si>
  <si>
    <t>NUMERO DEL PROCESO</t>
  </si>
  <si>
    <t>MONTO PRESUPUESTADO (*)</t>
  </si>
  <si>
    <t>FECHA DE SUSCRIPCION DEL CONTRATO</t>
  </si>
  <si>
    <t>CONTRATISTA (RUC y Denominacion)</t>
  </si>
  <si>
    <t>PLAZO DE EJEUCION DE OBRAS</t>
  </si>
  <si>
    <t>FECHA DE VENCIMIENTO DEL PLAZO</t>
  </si>
  <si>
    <t>AMPLIACION DE PLAZO</t>
  </si>
  <si>
    <t>FECHA DE VENCIMIENTO DE PLAZO</t>
  </si>
  <si>
    <t>FECHA DE ENTREGA</t>
  </si>
  <si>
    <t>FECHA DE CONFORMIDAD DE OBRA</t>
  </si>
  <si>
    <t>AMPLIACION DE LA INFRAESTRUCTURA Y EQUIPAMIENTO DEL CENTRO DE SALUD PURUS CON FINES DE RECATEGORIZACION A NIVEL I-4</t>
  </si>
  <si>
    <t>112618 / 2094506</t>
  </si>
  <si>
    <t>LICITACIÓN PÚBLICA</t>
  </si>
  <si>
    <t>POR CONTRATA</t>
  </si>
  <si>
    <t>LP-SM-10-2017-GRU-GR-CS-1</t>
  </si>
  <si>
    <t>20352374963-CONSORCIO BOLOGNESI</t>
  </si>
  <si>
    <t>CONSTRUCCION DE LA TROCHACARROZABLE DESDE EL KM. 360+700 DE LA CARRETERA FEDERICO BASADRE EN EL CASERIO SHIRINGAL ALTO - CASERIO NUEVO JAEN - CASERIO SANTA ANA, PROVINCIA DE PADRE ABAD - UCAYALI</t>
  </si>
  <si>
    <t>168019 / 2130701</t>
  </si>
  <si>
    <t>LP-SM-20-2018-GRU-GR-CS-1</t>
  </si>
  <si>
    <t>20501522601-CONSORCIO CARRETERO EL SHIRINGAL</t>
  </si>
  <si>
    <t>SALDO DE OBRA: MEJORAMIENTO DEL CAMINO VECINAL EN EL TRAMO KM. 31 C.F.B., ALTO MANANTAY, BAJO RIEGO, SAN MARTIN DE MOJARAL Y SAN CRISTOBAL DE AGUA BLANCA, DISTRITO DE CAMPOVERDE - CORONEL PORTILLO - UCAYALI</t>
  </si>
  <si>
    <t>164210 / 2141928</t>
  </si>
  <si>
    <t>LP-SM-4-2020-GRU-GR-CS-1</t>
  </si>
  <si>
    <t>CONSORCIO AGUA BLANCA</t>
  </si>
  <si>
    <t>SALDO DE OBRA: MEJORAMIENTO DE LA CAPACIDAD RESOLUTIVA DEL ESTABLECIMIENTO DE SALUD DEL AMBITO DE INFLUENCIA DE LA PROVINCIA DE ATALAYA, REGION UCAYALI</t>
  </si>
  <si>
    <t>93078 / 2193841</t>
  </si>
  <si>
    <t>LP-SM-1-2018-GRU-GR-CS-1</t>
  </si>
  <si>
    <t>20478169559-CONSORCIO AMAZONICO ATALAYA</t>
  </si>
  <si>
    <t>MEJORAMIENTO DE VIA DE INTERCONEXION AL C.P. SAN JOSE DESDE PUERTO CALLAO, DISTRITO DE YARINACOCHA - CORONEL PORTILLO - UCAYALI</t>
  </si>
  <si>
    <t>93078 / 2221560</t>
  </si>
  <si>
    <t>LP-SM-13-2018-GRU-GR-CS-1</t>
  </si>
  <si>
    <t>20393252848-CONSORCIO SAN JOSE</t>
  </si>
  <si>
    <t>MEJORAMIENTO DE LA CARRETERA DEPARTAMENTAL CAMPO VERDE - NUEVA REQUENA, DISTRITO DE CAMPO VERDE Y NUEVA REQUENA, PROVINCIA DE CORONEL PORTILLO, DEPARTAMENTO DE UCAYALI</t>
  </si>
  <si>
    <t>157054 / 2235118</t>
  </si>
  <si>
    <t>OBRA POR IMPUESTOS</t>
  </si>
  <si>
    <t>POR CONVENIO</t>
  </si>
  <si>
    <t>EMP. PRIVADA FINANCISTA: 20552504641 - OPTICAL TECHNOLOGIES S.A.C.</t>
  </si>
  <si>
    <t>MEJORAMIENTO DE LA CARRETERA DEPARTAMENTAL NESHUYA - CURIMANA, DISTRITOS DE IRAZOLA Y CURIMANA, PROVINCIA DE PADRE ABAD, DEPARTAMENTO DE UCAYALI</t>
  </si>
  <si>
    <t>158378 / 2235119</t>
  </si>
  <si>
    <t>ADJUDICACIÓN SIMPLIFICADA</t>
  </si>
  <si>
    <t>AS-SM-37-2018-GRU-GR-CS-1</t>
  </si>
  <si>
    <t>20523013603-CONSORCIO VIAL MAY USHIN</t>
  </si>
  <si>
    <t>FORTALECIMIENTO DE LOS SERVICIOS DE SALUD DEL HOSPITAL REGIONAL DE PUCALLPA - REGION UCAYALI</t>
  </si>
  <si>
    <t>155616 / 2260211</t>
  </si>
  <si>
    <t>ADJUDICACIÓN DE MENOR CUANTÍA</t>
  </si>
  <si>
    <t>AMC-CLASICO-1-2016-GRU-GR-CE-1</t>
  </si>
  <si>
    <t>99000019646-CONSORCIO PIZZAROTTI Y ASOCIADOS</t>
  </si>
  <si>
    <t>CREACION DEL SERVICIO EDUCATIVO DE EDUCACION INICIAL ESCOLARIZADA EN LAS I.E.I N 581, N 582, N 586-B, N 587-B, N 590-B, N 591-B, N 592-B, N 593-B, DISTRITOS DE RAYMONDI Y SEPAHUA, PROVINCIA DE ATALAYA - REGION UCAYALI</t>
  </si>
  <si>
    <t>280002 / 2278470</t>
  </si>
  <si>
    <t>LP-SM-8-2018-GRU-GR-CS-1</t>
  </si>
  <si>
    <t>20528924221-CONSORCIO BUENA VENTURA</t>
  </si>
  <si>
    <t>MEJORAMIENTO DE LA GESTION INSTITUCIONAL DE LA SEDE CENTRAL Y DE LAS DIRECCIONES REGIONALES ADSCRITAS EN LA PROVINCIA DE CORONEL PORTILLO DEL GOBIERNO REGIONAL DE UCAYALI, REGION UCAYALI - I ETAPA</t>
  </si>
  <si>
    <t>259304 / 2265062</t>
  </si>
  <si>
    <t xml:space="preserve">LP-SM-19-2018-GRU-GR-CS-1	</t>
  </si>
  <si>
    <t>20352428648-CONSORCIO SEDE PUCALLPA</t>
  </si>
  <si>
    <t>MEJORAMIENTO DE LAS PRINCIPALES VIAS Y VEREDIZACION DEL BARRIO EL DORADO, DISTRITO DE CALLERIA, PROVINCIA DE CORONEL PORTILLO - UCAYALI</t>
  </si>
  <si>
    <t>200854 / 2159645</t>
  </si>
  <si>
    <t>LP-SM-1-2021-GRU-GR-CS-1</t>
  </si>
  <si>
    <t xml:space="preserve">16,807,045.61	</t>
  </si>
  <si>
    <t>CONSORCIO VIAS EL DORADO</t>
  </si>
  <si>
    <t>MEJORAMIENTO DE LOS SERVICIOS DE SALUD DEL CENTRO DE SALUD CAMPO VERDE, DEL DISTRITO DE CAMPO VERDE, PROVINCIA DE CORONEL PORTILLO, DEPARTAMENTO DE UCAYALI</t>
  </si>
  <si>
    <t>378889 / 2340077</t>
  </si>
  <si>
    <t>AS-SM-4-2019-GRU-GR-CS-1</t>
  </si>
  <si>
    <t>20393252848-CONSORCIO RENOVACIÓN</t>
  </si>
  <si>
    <t>MEJORAMIENTO DE LA CAPACIDAD RESOLUTIVA DE LOS SERVICIOS DE SALUD DEL CENTRO DE SALUD BREU - DISTRITO DE YURUA - PROVINCIA DE ATALAYA - REGION UCAYALI</t>
  </si>
  <si>
    <t>380960 / 2342229</t>
  </si>
  <si>
    <t>LP-SM-18-2018-GRU-GR-CS-1</t>
  </si>
  <si>
    <t>20501522601-CONSORCIO CENTRO SALUD DE YURUA</t>
  </si>
  <si>
    <t>MEJORAMIENTO DE LA I.E. INTEGRAL PRIMARIA (64026) - SECUNDARIA (MANANTAY) A.H. MANANTAY, DISTRITO DE MANANTAY - CORONEL PORTILLO - UCAYALI</t>
  </si>
  <si>
    <t>294963 / 2244774</t>
  </si>
  <si>
    <t>LP-SM-03-2021-GRU-GR-CS</t>
  </si>
  <si>
    <t>CREACION DE PUENTE CARROZABLE Y PEATONAL SOBRE LA QUEBRADA EN LA AV. LESTER DIONICIO AMPLIACION nueva requena DEL DISTRITO DE NUEVA REQUENA - PROVINCIA DE CORONEL PORTILLO - DEPARTAMENTO DE UCAYAL</t>
  </si>
  <si>
    <t>2471130 / 2471130</t>
  </si>
  <si>
    <t>MEJORAMIENTO DEL JR. CAHUIDE (DESDE LA AV. SÁENZ PEÑA HASTA LA AV. MARISCAL CASTILLA) DISTRITO DE CALLERIA - PROVINCIA DE CORONEL PORTILLO - DEPARTAMENTO DE UCAYALI</t>
  </si>
  <si>
    <t>2435197 / 2435197</t>
  </si>
  <si>
    <t>LP-SM-02-2021-GRU-GR-CS</t>
  </si>
  <si>
    <t>INSTALACION DE LOS SERVICIOS DE EDUCACION BASICA REGULAR SECUNDARIA EN LOS CASERIOS, SHAMBO, NOLBERTH DEL ALTO URUYA, NUEVA MERIBA, DISTRITO DE PADRE ABAD, IRAZOLA Y CURIMANA-PROVINCIA DE PADRE ABAD- REGION UCAYALI</t>
  </si>
  <si>
    <t>300770 / 2278487</t>
  </si>
  <si>
    <t>MEJORAMIENTO DE LOS SERVICIOS DE EDUCACION BASICA REGULAR DE LA I.E. INTEGRADA N 64055 LA VICTORIA, DISTRITO DE CAMPO VERDE, PROVINCIA DE CORONEL PORTILLO, REGION UCAYALI</t>
  </si>
  <si>
    <t>363985 / 2327547</t>
  </si>
  <si>
    <t>(*) Una línea por cada año fiscal, consignado en monto presupuestado por cada año presupuestal</t>
  </si>
  <si>
    <t>FORMATO 14: PRINCIPALES ADQUISICIONES DE BIENES Y SERVICIOS - PRESUPUESTO 2020, 2021 Y PROYECTO 2022</t>
  </si>
  <si>
    <t>SECTOR O GOB. REGIONAL: 462 GOBIERNO REGIONAL DE UCAYALI</t>
  </si>
  <si>
    <t>FECHA PROG. CONV.</t>
  </si>
  <si>
    <t>ADQUISICIÓN</t>
  </si>
  <si>
    <t>NOMENCLATURA DEL PROCESO DE SELECCIÓN</t>
  </si>
  <si>
    <t>MONTO</t>
  </si>
  <si>
    <t>ESTADO DEL PROCESO</t>
  </si>
  <si>
    <t>OBSERVACIONES</t>
  </si>
  <si>
    <t>UE: RED SALUD CORONEL PORTILLO</t>
  </si>
  <si>
    <t>ADQUISICIÓN DE COMBUSTIBLE GASOLINA DE 90 OCTANOS PARA EL CONSUMO DE LAS ESTRATEGIAS DE LA RED DE SALUD No. 01 CORONEL PORTILLO</t>
  </si>
  <si>
    <t>SUBASTA INVERSA ELECTRONICA</t>
  </si>
  <si>
    <t>SIE-SIE-1-2020-GRU-RSCP-OEC-2</t>
  </si>
  <si>
    <t>BIEN</t>
  </si>
  <si>
    <t>20513639652 - DELTA PUCALLPA S.R.L.</t>
  </si>
  <si>
    <t>EJECUTADO</t>
  </si>
  <si>
    <t>INICIA LA ADQUISICIÓN EL 28/03/2020, HASTA AGOTAR STOCK</t>
  </si>
  <si>
    <t>ADQUISICIÓN DE FORMATOS ÚNICOS DE ATENCIÓN DEL SEGURO INTEGRAL DE SALUD PARA LA UNIDAD DE SEGUROS DE LA RED DE SALUD N° 01 CORONEL PORTILLO</t>
  </si>
  <si>
    <t>COMPARACIÓN DE PRECIOS</t>
  </si>
  <si>
    <t>COMPRE-SM-1-2020-GRU-RSCP-OEC-1</t>
  </si>
  <si>
    <t>20486277069 - IMPRESOS S.R.L.</t>
  </si>
  <si>
    <t>NINGUNA</t>
  </si>
  <si>
    <t>SERVICIO DE ALIMENTACIÓN (REFRIGERIOS Y/O ALMUERZOS) DE CONSUMO HUMANO, PARA LA OFICINA DE SALUD INDIVIDUAL Y COLECTIVA, DE LA RED DE SALUD No. 01 CORONEL PORTILLO</t>
  </si>
  <si>
    <t>AS-SM-1-2020-GRU-RSCP-CS-1</t>
  </si>
  <si>
    <t>SERVICIO</t>
  </si>
  <si>
    <t>10443831822 -CHACON OCHOA JOSE ANTONIO</t>
  </si>
  <si>
    <t>ADQUISICIÓN DE COMBUSTIBLE - GASOLINA DE 90 OCTANOS PARA LAS REFERENCIAS DE EMERGENCIAS DE LOS PACIENTES ASEGURADOS AL SIS EN LA ZONA RURAL DE LA JURISDICCIÓN DE LA RED DE SALUD N° 01 CORONEL PORTILLO</t>
  </si>
  <si>
    <t>SIE-SIE-2-2020-GRU-RSCP-OEC-2</t>
  </si>
  <si>
    <t xml:space="preserve"> 20393722071 - ESTACION DE SERVICIOS MAYTA E.I.R.L.</t>
  </si>
  <si>
    <t>INICIA LA ADQUISICIÓN EL 01/06/2020, HASTA AGOTAR STOCK</t>
  </si>
  <si>
    <t>ADQUISICIÓN DE ALIMENTOS Y BEBIDAS PARA EL CONSUMO HUMANO, DE LAS ESTRATEGIAS DE LA RED DE SALUD N° 01 CORONEL PORTILLO</t>
  </si>
  <si>
    <t>COMPRE-SM-2-2020-GRU-RSCP-OEC-1</t>
  </si>
  <si>
    <t>10201129805 - CONTRERAS ARAUJO MIGUEL JESUS</t>
  </si>
  <si>
    <t>ADQUISICIÓN DE MATERIAL DE ASEO, LIMPIEZA Y TOCADOR PARA LAS ESTRATEGIAS DE LA RED DE SALUD No. 01 CORONEL PORTILLO</t>
  </si>
  <si>
    <t>CONTRATACIÓN DIRECTA</t>
  </si>
  <si>
    <t>DIRECTA-PROC-2-2020-GRU-RSCP-OEC-1</t>
  </si>
  <si>
    <t>20605781978 - JAMH E.I.R.L.</t>
  </si>
  <si>
    <t>ADQUISICIÓN DE EQUIPO DE PROTECCIÓN PERSONAL PARA LA ATENCIÓN AL COVID-19 POR LA ESTRATEGIA DE LA DIRECCIÓN DE SALUD INDIVIDUAL Y COLECTIVA DE LA RED DE SALUD N° 01 CORONEL PORTILLO - MANDIL DESCARTABLE NO ESTÉRIL TALLA L</t>
  </si>
  <si>
    <t>DIRECTA-PROC-5-2020-GRU-RSCP-OEC-1</t>
  </si>
  <si>
    <t xml:space="preserve"> 20568952724 - INVERSIONES EMPRESARIALES ROSA DE GUADALUPE E.I.R.L.</t>
  </si>
  <si>
    <t>ADQUISICIÓN DE COMBUSTIBLE ¿ GASOLINA DE 90 OCTANOS PARA LAS REFERENCIAS DE EMERGENCIAS DE LOS PACIENTES AFILIADOS AL SIS DE LA JURISDICCIÓN DE LA MICRO RED DE IPARIA, MICRO RED MASISEA, MICRO RED DE SAN FERNANDO DE LA RED DE SALUD N° 01 CORONEL PORTILLO</t>
  </si>
  <si>
    <t>SIE-SIE-3-2020-GRU-RSCP-OEC-1</t>
  </si>
  <si>
    <t>20393722071 - ESTACION DE SERVICIOS MAYTA E.I.R.L.</t>
  </si>
  <si>
    <t>INICIA LA ADQUISICIÓN EL 07/07/2020, HASTA AGOTAR STOCK</t>
  </si>
  <si>
    <t>ADQUISICIÓN DE FORMATOS ÚNICOS DE ATENCIÓN (FUAS), PARA LAS ATENCIONES DE LOS PACIENTES AFILIADOS AL SIS DE LA JURISDICCIÓN DE LA RED DE SALUD N° 01 CORONEL PORTILLO</t>
  </si>
  <si>
    <t>COMPRE-SM-3-2020-GRU-RSCP-OEC-1</t>
  </si>
  <si>
    <t>20601306051 - EDITORIAL IMPRENTA DEL VALLE E.I.R.L.</t>
  </si>
  <si>
    <t>ADQUISICIÓN DE ANALIZADOR BIOQUÍMICO SEMIAUTOMATIZADO PARA LOS CENTROS DE SALUD DE LA JURISDICCIÓN DE LA RED DE SALUD N° 01 CORONEL PORTILLO</t>
  </si>
  <si>
    <t>COMPRE-SM-4-2020-GRU-RSCP-OEC-1</t>
  </si>
  <si>
    <t>20393665093 - EFOA TRADING EIRL</t>
  </si>
  <si>
    <t>ADQUISICIÓN DE FORMATOS DE RECETARIO PARA MEDICAMENTOS PARA LAS ATENCIONES DE LOS PACIENTES AFILIADOS AL SIS DE LA JURISDICCIÓN DE LA RED DE SALUD N° 01 CORONEL PORTILLO</t>
  </si>
  <si>
    <t>COMPRE-SM-5-2020-GRU-RSCP-OEC-1</t>
  </si>
  <si>
    <t>ADQUISICIÓN DE INSUMOS DE SEGURIDAD PARA LA IMPLEMENTACIÓN DE LOS EE.SS TRIAJES DIFERENCIADOS DE LA RED DE SALUD CORONEL PORTILLO EN EL MARCO DE LA DECLARATORIA DE EMERGENCIA DU-025-2020, (MANDIL DESCARTABLE NO ESTERIL) PARA PROTECCIÓN Y BIOSEGURIDAD DEL PERSONAL Y USUARIOS POR PANDEMIA (COVID-19) POR MEDIDAS DEL ESTADO DE EMERGENCIA</t>
  </si>
  <si>
    <t>DIRECTA-PROC-6-2020-GRU-RSCP-OEC-1</t>
  </si>
  <si>
    <t>20601826870 - EQUIPOS Y MOBILIARIOS MEDICOS DEL PERU E.I.R.L.</t>
  </si>
  <si>
    <t>SERVICIO DE CARGA LIGERA Y PESADA, PARA EL TRASLADO DE MEDICAMENTOS, INSUMOS MÉDICOS Y OTROS BIENES PARA LOS ESTABLECIMIENTOS DE SALUD DE LA JURISDICCIÓN DE LA RED DE SALUD N°01 CORONEL PORTILLO</t>
  </si>
  <si>
    <t>DIRECTA-PROC-7-2020-GRU-RSCP-OEC-1</t>
  </si>
  <si>
    <t xml:space="preserve"> 20393719444 - G.N.G. COURIER E.I.R.L.</t>
  </si>
  <si>
    <t>INICIA LA ADQUISICIÓN EL 23/07/2020, HASTA AGOTAR MONTO CONTRATADO</t>
  </si>
  <si>
    <t>ADQUISICIÓN DE INSUMOS DE EQUIPO DE PROTECCIÓN PERSONAL PARA LOS ESTABLECIMIENTOS DE SALUD DE LA JURISDICCIÓN DE LA RED DE SALUD N°01 CORONEL PORTILLO (MANDIL DESCARTABLE NO ESTERIL L)</t>
  </si>
  <si>
    <t>DIRECTA-PROC-8-2020-GRU-RSCP-OEC-1</t>
  </si>
  <si>
    <t>20565667247 - UNIFORMES Y MODA MIRATCHI E.I.R.</t>
  </si>
  <si>
    <t>ADQUISICIÓN DE COMBUSTIBLE - GASOLINA DE 90 OCTANOS PARA LA EJECUCIÓN DEL PLAN NACIONAL DE INTERVENCIÓN PARA LAS COMUNIDADES INDÍGENAS Y CENTROS POBLADOS DE LA RED DE SALUD N° 01 CORONEL PORTILLO PARA LAS MICRO REDES DE MASISEA, SAN FERNANDO, 9 DE OCTUBRE E IPARIA, SEGÚN D.S. N° 020-2020-SA Y EL D.U. N°071-2020-MINSA</t>
  </si>
  <si>
    <t>SIE-SIE-4-2020-GRU-RSCP-OEC-1</t>
  </si>
  <si>
    <t>20602771882 - PETROHEXA E.I.R.L.</t>
  </si>
  <si>
    <t>INICIA LA ADQUISICIÓN EL 20/08/2020, HASTA AGOTAR STOCK</t>
  </si>
  <si>
    <t>ADQUISICIÓN DE COMBUSTIBLE - GASOLINA DE 90 OCTANOS PARA LA EJECUCIÓN DEL PLAN NACIONAL DE INTERVENCIÓN PARA LAS COMUNIDADES INDÍGENAS Y CENTROS POBLADOS RURALES DE LA MICRORED DE PURUS DE LA JURISDICCIÓN DE LA RED DE SALUD N° 01 CORONEL PORTILLO, SEGÚN D.S. N° 020-2020-SA Y EL D.U. N°071-2020-MINSA</t>
  </si>
  <si>
    <t>DIRECTA-PROC-11-2020-GRU-RSCP-OEC-1</t>
  </si>
  <si>
    <t xml:space="preserve"> 10001906076 - RIOS DE HOYLE SELVA SOLEDAD</t>
  </si>
  <si>
    <t>INICIA LA ADQUISICIÓN EL 13/08/2020, HASTA AGOTAR STOCK</t>
  </si>
  <si>
    <t>ADQUISICIÓN DE COMBUSTIBLE - GASOLINA DE 90 OCTANOS PARA LA EJECUCIÓN DEL PLAN NACIONAL DE INTERVENCIÓN PARA LAS COMUNIDADES INDÍGENAS Y CENTROS POBLADOS RURALES DE LA AMAZONIA DE LA MICRORED DE YURUA DE LA JURISDICCIÓN DE LA RED DE SALUD N° 01 CORONEL PORTILLO, SEGÚN D.S. N° 020-2020-SA Y EL D.U. N°071-2020-MINSA</t>
  </si>
  <si>
    <t>DIRECTA-PROC-10-2020-GRU-RSCP-OEC-1</t>
  </si>
  <si>
    <t>10001659991 - RENGIFO DIAZ CUSTODIO</t>
  </si>
  <si>
    <t>ADQUISICIÓN DE INSUMOS MÉDICOS PARA LAS ACTIVIDADES DE VIGILANCIA EPIDEMIOLÓGICA E INVESTIGACIÓN DE CASOS Y CONTACTO PARA LAS MEDIDAS DE CONTROL DE INFECCIONES Y BIOSEGURIDAD EN LOS PUESTOS DE SALUD DE LA JURISDICCIÓN DE LA RED DE SALUD N° 01 CORONEL PORTILLOEN EL MARCO DE LA DECLARATORIA DE EMERGENCIA DU-025-2020, (MANDIL DESCARTABLE NO ESTÉRIL)</t>
  </si>
  <si>
    <t>DIRECTA-PROC-9-2020-GRU-RSCP-OEC-1</t>
  </si>
  <si>
    <t>20601219868 - GR MEDICAL E.I.R.L.</t>
  </si>
  <si>
    <t>ADQUISICION DE EQUIPO DE PROTECCIÓN PERSONAL ¿ EPPS, PARA LA IMPLEMENTACIÓN A LOS ESTABLECIMIENTOS DE SALUD DE LA JURISDICCIÓN DE LA RED DE SALUD DE CORONEL PORTILLO EN EL MARCO DE LA DECLARATORIA DE EMERGENCIA DU-025-2020, (MANDIL DESCARTABLE NO ESTERIL)</t>
  </si>
  <si>
    <t>DIRECTA-PROC-12-2020-GRU-RSCP-OEC-1</t>
  </si>
  <si>
    <t>20600135857 - INVERSIONES JULBRY SOCIEDAD COMERCIAL DE RESPONSABILIDAD LIMITADA</t>
  </si>
  <si>
    <t>ADQUISICIÓN DE MOTORES FUERA DE BORDA PARA LA EJECUCIÓN DEL PLAN NACIONAL DE INTERVENCIÓN PARA LAS COMUNIDADES INDÍGENAS Y CENTROS POBLADOS DE LA JURISDICCIÓN DE LA RED DE SALUD N° 01 CORONEL PORTILLO, SEGÚN D.S. N° 020-2020-SA Y EL D.U. N°071-2020-MINSA</t>
  </si>
  <si>
    <t>DIRECTA-PROC-16-2020-GRU-RSCP-OEC-1</t>
  </si>
  <si>
    <t>20600654498 - SCAG IQUITOS S.A.C.</t>
  </si>
  <si>
    <t>ADQUISICIÓN DE BALDE DE PLÁSTICO PARA LA EJECUCIÓN DEL PLAN NACIONAL DE INTERVENCIÓN PARA LAS COMUNIDADES INDÍGENAS Y CENTROS POBLADOS DE LA JURISDICCIÓN DE LA RED DE SALUD N° 01 CORONEL PORTILLO, SEGÚN D.S. N° 020-2020-SA Y EL D.U. N°071-2020-MINSA</t>
  </si>
  <si>
    <t>DIRECTA-PROC-17-2020-GRU-RSCP-OEC-1</t>
  </si>
  <si>
    <t>10446352909 - DAVILA RENGIFO MONICA</t>
  </si>
  <si>
    <t>ADQUISICIÓN DE JABÓN PARA LAVAR ROPA PARA LA EJECUCIÓN DEL PLAN NACIONAL DE INTERVENCIÓN PARA LAS COMUNIDADES INDÍGENAS Y CENTROS POBLADOS DE LA JURISDICCIÓN DE LA RED DE SALUD N° 01 CORONEL PORTILLO, SEGÚN D.S. N° 020-2020-SA Y EL D.U. N°071-2020-MINSA.</t>
  </si>
  <si>
    <t>DIRECTA-PROC-113-2020-GRU-RSCP-OEC-1</t>
  </si>
  <si>
    <t xml:space="preserve"> 10446352909 - DAVILA RENGIFO MONICA</t>
  </si>
  <si>
    <t>ADQUISICIÓN DE ACEITES, LUBRICANTES Y LÍQUIDO PARA FRENO PARA LA EJECUCIÓN DEL PLAN NACIONAL DE INTERVENCIÓN PARA LAS COMUNIDADES INDÍGENAS Y CENTROS POBLADOS DE LA JURISDICCIÓN DE LA RED DE SALUD N° 01 CORONEL PORTILLO, SEGÚN D.S. N° 020-2020-SA Y EL D.U. N°071-2020-MINSA</t>
  </si>
  <si>
    <t>DIRECTA-PROC-15-2020-GRU-RSCP-OEC-1</t>
  </si>
  <si>
    <t xml:space="preserve"> 20393379911 - LEICAR IMPORT EMPRESA INDIVIDUAL DE RESPONSABILIDAD LIMITADA</t>
  </si>
  <si>
    <t>ADQUISICIÓN DE EQUIPO DE PROTECCIÓN PERSONAL - EPPS, PARA LOS ESTABLECIMIENTO DE SALUD DE LA JURISDICCIÓN DE LA RED DE SALUD N° 01 CORONEL PORTILLO ¿ (MASCARILLA DE PROTECCIÓN RESPIRATORIA TIPO FFP2), SEGÚN D.S. N° 020-2020-SA.</t>
  </si>
  <si>
    <t>DIRECTA-PROC-14-2020-GRU-RSCP-OEC-1</t>
  </si>
  <si>
    <t xml:space="preserve"> 20501887286 - DIAGNOSTICA PERUANA S.A.C.</t>
  </si>
  <si>
    <t>ADQUISICIÓN DE BALANZAS DE PIE Y PEDIÁTRICA DIGITAL PARA LA ATENCIÓN A NIÑOS CON CRECIMIENTO Y DESARROLLO ¿ CRED, PARA LA JURISDICCIÓN DE LA RED DE SALUD N°01 CORONEL PORTILLO.</t>
  </si>
  <si>
    <t>COMPRE-SM-6-2020-GRU-RSCP-OEC-1</t>
  </si>
  <si>
    <t>20283381120-N D SERVICE E I R LTDA</t>
  </si>
  <si>
    <t>SERVICIO DE TRANSPORTE Y TRASLADO DE CARGA DE MEDICAMENTOS, INSUMO MÉDICOS Y OTROS BIENES PARA LOS ESTABLECIMIENTOS DE LA JURISDICCIÓN POR VÍA AÉREA, FLUVIAL O TERRESTRE DE LA RED DE SALUD N° 01 CORONEL PORTILLO EN EL MARCO DE LA DECLARATORIA DE EMERGENCIA DS-027-2020, POR MEDIDAS DE ESTADO DE EMERGENCIA</t>
  </si>
  <si>
    <t>DIRECTA-PROC-19-2020-GRU-RSCP-OEC-1</t>
  </si>
  <si>
    <t>20393719444-G.N.G. COURIER E.I.R.L.</t>
  </si>
  <si>
    <t>INICIA LA ADQUISICIÓN EL 8/10/2020, HASTA AGOTAR STOCK</t>
  </si>
  <si>
    <t>SERVICIO DE ADECUACIÓN, ACONDICIONAMIENTO Y REMODELACIÓN DE LA INFRAESTRUCTURA PARA LA IMPLEMENTACIÓN Y OPERATIVIDAD DE LOS SERVICIOS DE SALUD MENTAL COMUNITARIO, HOGAR PROTEGIDO DE LA RED DE SALUD N° 01 CORONEL PORTILLO, SEGÚN DECRETO DE URGENCIA N° 102-2020, EN MÉRITO AL D.S. N° 027-2020-SA</t>
  </si>
  <si>
    <t>DIRECTA-PROC-20-2020-GRU-RSCP-OEC-1</t>
  </si>
  <si>
    <t xml:space="preserve"> 20602837182-ADRIANZEN CONSTRUCTORA Y SERVICIOS GENERALES E.I.R.L.</t>
  </si>
  <si>
    <t>INICIA EL SERVICIO EL DIA 17/11/2020 HASTA 30/12/2020</t>
  </si>
  <si>
    <t>SERVICIO DE TRANSPORTE Y TRASLADO DE CARGA DE MEDICAMENTOS, INSUMO MÉDICOS Y OTROS BIENES PARA LOS ESTABLECIMIENTOS DE LA JURISDICCIÓN POR VÍA AÉREA, FLUVIAL Y TERRESTRE DE LA RED DE SALUD N° 01 CORONEL PORTILLO, EN EL MARCO DE LA DECLARATORIA DE EMERGENCIA DS-031-2020-SA, POR MEDIDAS DE ESTADO DE EMERGENCIA</t>
  </si>
  <si>
    <t>DIRECTA-PROC-21-2020-GRU-RSCP-OEC-1</t>
  </si>
  <si>
    <t>INICIA LA ADQUISICIÓN EL 24/12/2020, HASTA AGOTAR STOCK</t>
  </si>
  <si>
    <t xml:space="preserve"> SERVICIO DE ALIMENTACIÓN (REFRIGERIOS Y O ALMUERZZOS) DE CONSUMO HUMANO, PARA LAS ACTIVIDADES REALIZADAS EN LOS EE.SS DE LA RED DE SALUD Nor. 01 CORONEL PORTILLO</t>
  </si>
  <si>
    <t>AS-SM-1-2021-GRU-RSCP-CS-1</t>
  </si>
  <si>
    <t>10443831822-CHACON OCHOA JOSE ANTONIO</t>
  </si>
  <si>
    <t xml:space="preserve">EL SERVICIO INICIA 16/03/2021 HASTA AGOTAR STOCK </t>
  </si>
  <si>
    <t>SERVICIO DE IMPRESIONES, ECUADERNACIÓN Y EMPASTADO PARA LAS ESTRATEGIAS DE LA RED DE SALUD Nor. 01 CORONEL PORTILL</t>
  </si>
  <si>
    <t>AS-SM-2-2021-GRU-RSCP-CS-1</t>
  </si>
  <si>
    <t>10402237932-GONZALES RENGIFO LUIS HENRRY</t>
  </si>
  <si>
    <t>ADQUISICIÓN DE ALIMENTOS Y BEBIDAS PARA EL CONSUMO HUMANO DE LAS ESTRATEGIAS DE LA RED DE SALUD Nor.01 CORONEL PORTILLO</t>
  </si>
  <si>
    <t xml:space="preserve"> COMPRE-SM-3-2021-GRU-RSCP-OEC-1</t>
  </si>
  <si>
    <t>10460941313-MEDINA SAENZ DE RODRIGUEZ CARMEN ROSA</t>
  </si>
  <si>
    <t>ADQUISICIÓN DE VESTUARIO, ACCESORIOS Y PRENDAS DIVERSAS, PARA LOS EE.SS DE LA RED DE SALUD Nor. 01 CORONEL PORTILLO</t>
  </si>
  <si>
    <t>NO EJECUTADO</t>
  </si>
  <si>
    <t>POR MODIFICACIONES, NO PASO LAS 8 UIT PARA CONVOCAR</t>
  </si>
  <si>
    <t>ADQUISICIÓN DE MATERIAL, INSUMOS, INTRUMENTAL Y ACCESORIOS MEDICOS QUIRURGICOS, ODONTOLOGICOS Y DE LABORATORIO PARA LOS EE.SS DE LA RED DE SALUD Nor. 01 CORONEL PORTILLO POR MEDIDAS DE ESTADO DE EMERGENCIA.</t>
  </si>
  <si>
    <t>DIRECTA-PROC-3-2021-GRU-RSCP-OEC-1</t>
  </si>
  <si>
    <t>10224878805-TREJO LUGO YUDY INES</t>
  </si>
  <si>
    <t>ADQUISICIÓN DE LIBROS, DIARIOS, REVISTAS Y OTROS BIENES IMPRESOS NO VINCULADOS A ENSEÑANZAS PARA LOS EE.SS. DE LA RED DE SALUD Nor.01 CORONEL PORTILLO</t>
  </si>
  <si>
    <t xml:space="preserve"> ADQUISICIÓN DE PAPELERIA EN GENERAL, UTILES Y MATERIALES DE OFICINA PARA LAS ESTRATEGIAS DE LA RED DE SALUD Nor. 01 CORONEL PORTILLO</t>
  </si>
  <si>
    <t>COMPRAS POR CATÁLOGO (CONVENIO MARCO)</t>
  </si>
  <si>
    <t>SE REALIZÓ A TRAVES DE PLA PLATAFORMA PERU COMPRAS</t>
  </si>
  <si>
    <t>ADQUISICIÓN DE MATERIAL DE ASEO, LIMPIEZA Y TOCADOR PARA LOS EE.SS DE LA RED DE SALUD Nor. 01 CORONEL PORTILLO</t>
  </si>
  <si>
    <t>SERVICIO DE AGENCIAMIENTO DE PASAJES AEREOS NACIONALES PARA LAS ESTRATEGIAS DE LA RED DE SALUD Nor. 01 CORONEL PORTILLO</t>
  </si>
  <si>
    <t>SERVICIO DE TRANSPORTE Y TRASLADO DE MEDICAMENTOS, INSUMOS MÉDICOS, DISPOSITIVOS MÉDICOS Y OTROS BIENES PARA LOS ESTABLECIMIENTOS DE LA JURISDICCIÓN POR VÍA AÉREA, FLUVIAL Y TERRESTRE DE LA RED DE SALUD N° 01 CORONEL PORTILLO, POR MEDIDAS DE ESTADO DE EMERGENCIA</t>
  </si>
  <si>
    <t>DIRECTA-PROC-2-2021-GRU-RSCP-OEC-1</t>
  </si>
  <si>
    <t xml:space="preserve">EL SERVICIO INICIA 13/03/2021 HASTA AGOTAR STOCK </t>
  </si>
  <si>
    <t>SERVICIO DE AGENCIAMIENTO DE PASAJES AEREOS REGIONALES, RESERVAS Y SERVICIOS CONEXOS PAR ALA UNIDAD DE SEGUROS DE LA RED DE SALUD N° 01 CORONEL PORTILLO PARA LOS TRASLADOS DE PACIENTES EN CONDICIÓN DE EMERGENCIA</t>
  </si>
  <si>
    <t>AS-SM-3-2021-GRU-RSCP-CS-2</t>
  </si>
  <si>
    <t xml:space="preserve">DECLARADO DESCIERTO </t>
  </si>
  <si>
    <t xml:space="preserve">SE VOLVERA A CONVOCAR </t>
  </si>
  <si>
    <t>SERVICIO DE TRANSPORTE Y TRASLADO DE MEDICAMENTOS, INSUMOS MÉDICOS, DISPOSITIVOS MÉDICOS Y OTROS BIENES PARA LOS ESTABLECIMIENTOS DE LA JURISDICCIÓN POR VÍA AÉREA, FLUVIAL Y TERRESTRE DE LA RED DE SALUD N° 01 CORONEL PORTILLO, POR MEDIDAS DE ESTADO DE EMERGENCIA, COVID-19</t>
  </si>
  <si>
    <t>DIRECTA-PROC-4-2021-GRU-RSCP-OEC-1</t>
  </si>
  <si>
    <t xml:space="preserve">EL SERVICIO INICIA 19/08/2021 HASTA AGOTAR STOCK </t>
  </si>
  <si>
    <t>ADQUISICIÓN DE MATERIAL DE ASEO, LIMPIEZA Y TOCADOR PARA LOS EE.SS DE LA RED DE SALUD N°01 CORONEL PORTILLO</t>
  </si>
  <si>
    <t>COMPRE-SM-1-2021-GRU-RSCP-OEC-1</t>
  </si>
  <si>
    <t>10719107988-TEXEIRA RIPALDA JOAO REGINALDO</t>
  </si>
  <si>
    <t>ADQUISICIÓN DE MATERIAL DE ASEO, LIMPIEZA Y TOCADOR PARA LA DOTACIÓN DE LOS EE.SS PARA LA ATENCIÓN DE PACIENTES ASEGURADOS AL SIS DE LA RED DE SALUD N°01 CORONEL PORTILLO</t>
  </si>
  <si>
    <t>COMPRE-SM-2-2021-GRU-RSCP-OEC-1</t>
  </si>
  <si>
    <t>10446352909-DAVILA RENGIFO MONICA</t>
  </si>
  <si>
    <t>SERVICIO DE ADQUISICIÓN DE FORMATOS UNICOS DE ATENCIÓN (FUAS), PARA LOS PACIENTES ASEGURADOS AL SIS DE LA JURISDICCION DE LA RED DE SALUD N°01 CORONEL PORTILLO</t>
  </si>
  <si>
    <t>COMPRE-SM-4-2021-GRU-RSCP-OEC-1</t>
  </si>
  <si>
    <t>20486277069-IMPRESOS S.R.L.</t>
  </si>
  <si>
    <t>SERVICIO DE IMPRESIONES DE FORMATO ÚNICO DE ATENCIÓN (FUAS) PARA EL REGISTRO DE LAS ATENCIONES A LOS DIFERENTES ESTABLECIMIENTOS DE LA JURISDICCIÓN DE LA RED DE SALUD N° 01 CORONEL PORTILLO</t>
  </si>
  <si>
    <t>COMPRE-SM-5-2021-GRU-RSCP-OEC-2</t>
  </si>
  <si>
    <t>20601306051-EDITORIAL IMPRENTA DEL VALLE E.I.R.L.</t>
  </si>
  <si>
    <t>UE: EDUCACCION ATALAYA</t>
  </si>
  <si>
    <t>MATERIAL DICACTICO ACCESORIOS Y UTILES DE ENSEÑANZA</t>
  </si>
  <si>
    <t>ADJUDICACION SIN PROCESO</t>
  </si>
  <si>
    <t>S/N</t>
  </si>
  <si>
    <t>ALEGRIA ROJAS FREDY RONAL</t>
  </si>
  <si>
    <t>ADJUDICADO</t>
  </si>
  <si>
    <t>06/02/2020</t>
  </si>
  <si>
    <t>ALBERCA RIOS GERONIMO ELISEO</t>
  </si>
  <si>
    <t>CONTRATACION POR CATALOGO ELECTRONICO</t>
  </si>
  <si>
    <t>VILLACORTA MONTOYA JOSE LUIS</t>
  </si>
  <si>
    <t>07/02/2020</t>
  </si>
  <si>
    <t>TRANSPORTE DE CARGA DE BIENES Y MATERIALES</t>
  </si>
  <si>
    <t>PACAYA MIQUEAS CLENY ELIZABETH</t>
  </si>
  <si>
    <t>12/02/2020</t>
  </si>
  <si>
    <t>ADJUDICACION SIMPLIFICADA</t>
  </si>
  <si>
    <t>A.S N°007-2019</t>
  </si>
  <si>
    <t>VIAJANKAS CARGO EIRL</t>
  </si>
  <si>
    <t>13/02/2020</t>
  </si>
  <si>
    <t>VILLENA Y COMPAÑIA INVERSIONES EIRL</t>
  </si>
  <si>
    <t>14/02/2020</t>
  </si>
  <si>
    <t>RIOS VASQUEZ PIERO JUNIOR</t>
  </si>
  <si>
    <t>1402/2020</t>
  </si>
  <si>
    <t>MIRANDA MELENDEZ DUMIA MARGOT</t>
  </si>
  <si>
    <t>GONZALES VELA DANY ELENA</t>
  </si>
  <si>
    <t>AREVALO YSLA MARY ADELA</t>
  </si>
  <si>
    <t>1702/2020</t>
  </si>
  <si>
    <t>MARIN GUERRERO JESSICA</t>
  </si>
  <si>
    <t>26/022020</t>
  </si>
  <si>
    <t>CONSTRUCTORA ASOCIADOS LLAEL SAC</t>
  </si>
  <si>
    <t>26/02/2020</t>
  </si>
  <si>
    <t>LA TORRE CHUNG KONRAD LOMBARDO</t>
  </si>
  <si>
    <t>DAVILA VALDERRAMA CARLOS ANTHONY</t>
  </si>
  <si>
    <t>03/03/2020</t>
  </si>
  <si>
    <t>VERTIZ RATTERI JOSE MANUEL</t>
  </si>
  <si>
    <t>AREVALO ISLA ROSSANA</t>
  </si>
  <si>
    <t>STAPLETON LA TORRE MARTIN PAUL</t>
  </si>
  <si>
    <t>05/03/2020</t>
  </si>
  <si>
    <t>AIRE ACONDICIONADO</t>
  </si>
  <si>
    <t>SAAVEDRA MARINA RAFAEL</t>
  </si>
  <si>
    <t>04/05/2020</t>
  </si>
  <si>
    <t>UTILES Y MATERIALES DE OFICINA</t>
  </si>
  <si>
    <t>MULTISERVICIOS ROSSANITA SAC</t>
  </si>
  <si>
    <t>14/05/2020</t>
  </si>
  <si>
    <t>15/05/2020</t>
  </si>
  <si>
    <t>DIFUSION RADIAL APRENDO EN CASA</t>
  </si>
  <si>
    <t>VELASQUEZ AGUIRRE RAUL VALDOMERO</t>
  </si>
  <si>
    <t>18/06/2020</t>
  </si>
  <si>
    <t>SERVICIO DE INTERNET</t>
  </si>
  <si>
    <t>UCAYALI TELECOMUNICACIONES SAC</t>
  </si>
  <si>
    <t>01/07/2020</t>
  </si>
  <si>
    <t>ADQUISICION DE SCANNER</t>
  </si>
  <si>
    <t>K.B.J. ELECTRONICA &amp; INFORMATICA</t>
  </si>
  <si>
    <t>03/07/2020</t>
  </si>
  <si>
    <t>29/07/2020</t>
  </si>
  <si>
    <t>FAJHORPA INVERSIONES E.I.R.L</t>
  </si>
  <si>
    <t>DIFUSION APRENDO EN CASA</t>
  </si>
  <si>
    <t>06/08/2020</t>
  </si>
  <si>
    <t>18/08/2020</t>
  </si>
  <si>
    <t>20/08/2020</t>
  </si>
  <si>
    <t>GUTIERREZ SANCHEZ JAVIER ARTURO</t>
  </si>
  <si>
    <t>11/09/2020</t>
  </si>
  <si>
    <t>ANDIA IPARRAGUIRRE IVAN RONALD</t>
  </si>
  <si>
    <t>21/10/2020</t>
  </si>
  <si>
    <t>SE REBAJO S/ 933.41</t>
  </si>
  <si>
    <t>29/09/2020</t>
  </si>
  <si>
    <t>DIFUSION EN TV APRENDO EN CASA</t>
  </si>
  <si>
    <t>TV CABLE SELVA MIA S.A.C</t>
  </si>
  <si>
    <t>SE REBAJO S/ 466.59</t>
  </si>
  <si>
    <t>PEZO SEIJAS CRISTHIAN ANDRE</t>
  </si>
  <si>
    <t>SE REBAJO S/ 2,000.00</t>
  </si>
  <si>
    <t>22/10/2020</t>
  </si>
  <si>
    <t>ADQUISICION DE TONER</t>
  </si>
  <si>
    <t>CRISTO MORADO NEGOCIOS</t>
  </si>
  <si>
    <t>RUIZ SANCHEZ DE TAIPE RUTH</t>
  </si>
  <si>
    <t>27/10/2020</t>
  </si>
  <si>
    <t>RIVERA YANAC BENEDICTO</t>
  </si>
  <si>
    <t>MANTENIMIENTO ALMACEN MARISCAL CACERES</t>
  </si>
  <si>
    <t>LOPEZ GODOY DALIS</t>
  </si>
  <si>
    <t>16/11/2020</t>
  </si>
  <si>
    <t>18/11/2020</t>
  </si>
  <si>
    <t>27/11/2020</t>
  </si>
  <si>
    <t>ARTICULOS DE LIMPIEZA PARA II.EE</t>
  </si>
  <si>
    <t>01/12/2020</t>
  </si>
  <si>
    <t>MATERIALES Y ACCESORIOS PARA II.EE Y SEDE UGEL</t>
  </si>
  <si>
    <t>RODRIGUEZ RENGIFO MIGUEL RAMIRO</t>
  </si>
  <si>
    <t>ADQUISICION DE TERMOMETROS INFRA ROJO</t>
  </si>
  <si>
    <t>RIVA NUÑEZ LUIS ALFONSO</t>
  </si>
  <si>
    <t>CCE.°N°06-2020</t>
  </si>
  <si>
    <t>MONTES SALDAÑA BRANKS ISAIAS</t>
  </si>
  <si>
    <t>07/12/2020</t>
  </si>
  <si>
    <t>MANTENIMIENTO INSTALACIONES ELEC TRICAS UGEL ATALAYA</t>
  </si>
  <si>
    <t>03/12/2020</t>
  </si>
  <si>
    <t>MANTENIMIENTO DE EQUIPOS DE AIRE ACONDICIONADO</t>
  </si>
  <si>
    <t>PINEDO VASQUEZ OSWALDO</t>
  </si>
  <si>
    <t>10/12/2020</t>
  </si>
  <si>
    <t>15/12/2020</t>
  </si>
  <si>
    <t>ADQUISICION DE MASCARILLAS</t>
  </si>
  <si>
    <t>16/12/2020</t>
  </si>
  <si>
    <t>MATERIALES DE LIMPIEZA</t>
  </si>
  <si>
    <t>PANDURO DAHUA DE CASTAGNE JHENNIFER</t>
  </si>
  <si>
    <t>CCE.N°13-2020</t>
  </si>
  <si>
    <t>CCE.N°15-2020</t>
  </si>
  <si>
    <t>CCE.N°17-2020</t>
  </si>
  <si>
    <t>GONZALES PADILLA MONER</t>
  </si>
  <si>
    <t>REFACCION TECHO UGEL</t>
  </si>
  <si>
    <t>CONSTRUCTORA ASOCIADOS G&amp;M SAC</t>
  </si>
  <si>
    <t>DISTRIBUCION DE CARPETAS DE RECUPERACION</t>
  </si>
  <si>
    <t>ALGEOR BUSINESS E.I.R.L</t>
  </si>
  <si>
    <t>22/12/2020</t>
  </si>
  <si>
    <t xml:space="preserve">SERVICIO DE CABLEADO DE REDES UGEL </t>
  </si>
  <si>
    <t>CRISTOBAL MEDINA CRISTIAN WALTER</t>
  </si>
  <si>
    <t>SERVICIO DE FOTOCOPIADO DE CARPETAS DE RECUPERACION DE AUTOAPRENDIZAJE</t>
  </si>
  <si>
    <t>23/12/2020</t>
  </si>
  <si>
    <t>ADQUISICION DE TAPETES DESCONTAMINANTE PARA II.EE</t>
  </si>
  <si>
    <t>MATERIALES DE LIMPIEZA PARA II.EE</t>
  </si>
  <si>
    <t>29/12/2020</t>
  </si>
  <si>
    <t>TOTAL 2020</t>
  </si>
  <si>
    <t>TRANSPORTE Y DISTRIBUCION Y ENETREGA DE MATERIAL DIDACTICO</t>
  </si>
  <si>
    <t>22/02/2021</t>
  </si>
  <si>
    <t>AS N°001-2021</t>
  </si>
  <si>
    <t>MURAYARI ETENE CONSUELO</t>
  </si>
  <si>
    <t>04/03/2021</t>
  </si>
  <si>
    <t>ADQUISICION DE UTILES DE OFICINA</t>
  </si>
  <si>
    <t>19/03/2021</t>
  </si>
  <si>
    <t>ADQUISICION DE MATERIALES DE BIOSEGURIDAD</t>
  </si>
  <si>
    <t>CASTILLO VIERA YISELLA</t>
  </si>
  <si>
    <t>07/04/2021</t>
  </si>
  <si>
    <t>09/04/2021</t>
  </si>
  <si>
    <t>ADQUISICION DE PROTECTORES FACIALES</t>
  </si>
  <si>
    <t>21/04/2021</t>
  </si>
  <si>
    <t>10/05/2021</t>
  </si>
  <si>
    <t>01/06/2021</t>
  </si>
  <si>
    <t>ADQUISICION DE MASCARILLAS PARA II.EE</t>
  </si>
  <si>
    <t>CONTRATACION DIRECTA</t>
  </si>
  <si>
    <t>08/07/2021</t>
  </si>
  <si>
    <t>AS N°002-2021</t>
  </si>
  <si>
    <t>13/07/2021</t>
  </si>
  <si>
    <t>21/07/2021</t>
  </si>
  <si>
    <t>TORRE ÑAHUI ANDON MESIAS</t>
  </si>
  <si>
    <t>27/07/2021</t>
  </si>
  <si>
    <t>ADQUISICION DE MATERIALES DE LIMPÍEZA</t>
  </si>
  <si>
    <t>04/08/2021</t>
  </si>
  <si>
    <t>11/08/2021</t>
  </si>
  <si>
    <t>ALQUILER DE LOCAL PARA ALMACEN</t>
  </si>
  <si>
    <t>VALDERRAMA RENGIFO MARCO ANTONIO</t>
  </si>
  <si>
    <t>16/08/2021</t>
  </si>
  <si>
    <t>17/08/2021</t>
  </si>
  <si>
    <t>ADQUISICION DE ANDAMIOS DE METAL</t>
  </si>
  <si>
    <t>20/08/2021</t>
  </si>
  <si>
    <t>UE: HOSPITAL REGIONAL DE PUCALLPA</t>
  </si>
  <si>
    <t>1.  ADQUISICIÓN DE SUMINISTRO DE OXÍGENO MEDICINAL GAS 99.5 % PARA ATENCIÓN A PACIENTES CRÍTICOS DEL HOSPITAL REGIONAL DE PUCALLPA</t>
  </si>
  <si>
    <t>ELECTRONICA (PAGINA DEL SEACE)</t>
  </si>
  <si>
    <t>AS-SM-2-2020-GRU-HRP-OEC-1</t>
  </si>
  <si>
    <t>20128905759 OXIGENO LORETO S.R.L.</t>
  </si>
  <si>
    <t>CULIMINADO</t>
  </si>
  <si>
    <t>15/03/2020                AL                  31/10/2020</t>
  </si>
  <si>
    <t>EL OXIGENO ADJUDICADO SOLO ESTUVO POR OCHO (08) MESES EN EL CONTRATO Y PRSUPUESTO, EL CUAL POR EL TEMA DE LA PANDEMIA COVID-2019,  SOLO ALCANZO CUBRIR CINCO (05) MESES.</t>
  </si>
  <si>
    <t>2.  SERVICIO DE RECOLECCIÓN, TRANSPORTE EXTERNO Y DISPOSICIÓN FINAL DE RESIDUOS SÓLIDOS BIOCONTAMINADOS Y ESPECIALES DEL HOSPITAL REGIONAL DE PUCALLPA.</t>
  </si>
  <si>
    <t>AS-SM-3-2020-GRU-HRP-OEC-1</t>
  </si>
  <si>
    <t>20393953129      QHSE AMAZON SERVICES S.A.C</t>
  </si>
  <si>
    <t>20/03/2020                 AL                     30/06/2021</t>
  </si>
  <si>
    <t>EL SERVICIO SOLO SE EJECUTO POR CUATRO (04) MESES SEGÚN CONTRATO Y PRESUPUESTO.</t>
  </si>
  <si>
    <t>3.  ADQUISICION DE ACCESORIOS MEDICOS PARA PROTECCION Y BIOSEGURIDAD DEL PERSONAL POR PANDEMIA (COVID 19) POR MEDIDAS DE ESTADO DE EMERGENCIA SEGÚN DECRETO DE URGENCIA N° 026-2020-EF.</t>
  </si>
  <si>
    <t>DIRECTA-PROC-1-2020-GRU-HRP-OEC-1</t>
  </si>
  <si>
    <t>10224878805    TREJO LUGO YUDY INES</t>
  </si>
  <si>
    <t>COMPRA POR EL ESTADO DE EMERGENCIA</t>
  </si>
  <si>
    <t>4.  ADQUISICION DE MATERIAL E INSUMOS DE ASEO PARA BIOSEGURIDAD POR PANDEMIA (COVID 19) POR LA DECLARATORIA DE URGENCIA N° 026-2020-EF.</t>
  </si>
  <si>
    <t>DIRECTA-PROC-2-2020-GRU-HRP-OEC-1</t>
  </si>
  <si>
    <t>10451256331        LAO LOBO CLAUDIA KAREN</t>
  </si>
  <si>
    <t>5.  SERVICIO DE ACONDICIONAMIENTO E IMPLEMENTACION DEL AREA DE TRIAJE DIFERENCIADO POR PANDEMIA (COVID 19) POR DECLARATORIA DE URGENCIA N° 026-2020-EF.</t>
  </si>
  <si>
    <t>DIRECTA-PROC-3-2020-GRU-HRP-OEC-1</t>
  </si>
  <si>
    <t>20604777888  CONSTRUCTORA Y CONSULTORA TECSEC E.I.R.L.</t>
  </si>
  <si>
    <t>SERVICIO BRINDADO POR EL ESTADO DE EMERGENCIA.</t>
  </si>
  <si>
    <t>6.  ADQUISICION DE MATERIAL E INSUMOS PARA PROTECCION Y BIOSEGURIDAD DEL PERSONAL POR PANDEMIA (COVID 19) POR LA DECLARATORIA DE URGENCIA N°026-2020-EF /RM139-2020-MINSA.</t>
  </si>
  <si>
    <t>DIRECTA-PROC-4-2020-GRU-HRP-OEC-1</t>
  </si>
  <si>
    <t>20393801965  MEDICAL WORLD S.A.C.</t>
  </si>
  <si>
    <t>7.  SERVICIO DE MANTENIMIENTO PREVENTIVO Y CORRECTIVO DE CINCO (05) VENTILADORES VOLUMETRICOS PARA CONBATIR Y/O CONTROLAR LA PANDEMIA (COVID 19) POR DECLARATORIA DE URGENCIA N° 026-2020-EF</t>
  </si>
  <si>
    <t>DIRECTA-PROC-5-2020-GRU-HRP-OEC-1</t>
  </si>
  <si>
    <t>10456275384  MORENO ROJAS GONZALO ENRIQUE</t>
  </si>
  <si>
    <t>1.  SUMINISTRO DE COMBUSTIBLE (PETROLEO DIESEL B5) PARA LAS UNIDADES DE TRANSPORTE Y CALDEROS DEL AREA DE FUERZA DEL HOSPITAL REGIONAL DE PUCALLPA</t>
  </si>
  <si>
    <t>SIE-SIE-1-2021-GRU-HRP-OEC-1</t>
  </si>
  <si>
    <t>20393554003             L &amp; L                          NEGOCIOS E.I.R.L.</t>
  </si>
  <si>
    <t xml:space="preserve">EN PROCESO </t>
  </si>
  <si>
    <t xml:space="preserve">03/03/2021                  AL                   31/07/2021          </t>
  </si>
  <si>
    <t>EN EL CONTRATO SE EJECUTO SOLO POR CINCO (05) MESES, PERO EN LA ACTULIDAD SE NOS SIGUE ATENDIENDO.</t>
  </si>
  <si>
    <t>2.  INSUMO PARA ASEO (DETERGENTE, LEJIA, JABON Y BOLSAS) PARA EL HOSPITAL REGIONAL DE PUCALLPA</t>
  </si>
  <si>
    <t>DIRECTA-PROC-1-2021-GRU-HRP-OEC-1</t>
  </si>
  <si>
    <t>20600038355   SOLUCIONES LOGISTICA AMIEL E.I.R.L</t>
  </si>
  <si>
    <t>CONTRATACION DE SUMINISTRO DE LIMPIEZA, PARA UMA ATENSION DE SEIS (06) MESES.</t>
  </si>
  <si>
    <t>3.  ADQUISICION PARA EL SUMINISTRO DE ALIMENTOS PARA EL SERVICIO DE NUTRICIÒN DIETETICA Y ATENCION DE PACIENTES DEL HOSPITAL REGIONAL DE PUCALLPA</t>
  </si>
  <si>
    <t>AS-SM-1-2021-GRU-HRP-CS-2</t>
  </si>
  <si>
    <t>10001187479  RAYMUNDO ROJAS MELANIA</t>
  </si>
  <si>
    <t>10/04/2021                 AL                          15/05/2021</t>
  </si>
  <si>
    <t>CONTRATACION DE ALIMENTOS  SOLO POR UN MES, QUEDARIA PENDIENTE LOS 11 MESES FALTANTE.</t>
  </si>
  <si>
    <t>1.  SUMINISTRO DE COMBUSTIBLE (GASOLINA 90 OCTANOS) PARA LAS UNIDADES DE TRANSPORTE DEL HOSPITAL REGIONAL DE PUCALLPA</t>
  </si>
  <si>
    <t>EN ESPERA</t>
  </si>
  <si>
    <t>2.  SUMINISTRO DE COMBUSTIBLE (PETROLEO DIESEL B5) PARA LAS UNIDADES DE TRANSPORTE Y CALDEROS DEL AREA DE FUERZA DEL HOSPITAL REGIONAL DE PUCALLPA</t>
  </si>
  <si>
    <t>3.  SERVICIO DE RECOLECCIÓN, TRANSPORTE EXTERNO Y DISPOSICIÓN FINAL DE RESIDUOS SÓLIDOS BIOCONTAMINADOS Y ESPECIALES DEL HOSPITAL REGIONAL DE PUCALLPA.</t>
  </si>
  <si>
    <t>4.   INSUMO PARA ASEO (DETERGENTE, LEJIA, JABON Y BOLSAS) PARA EL HOSPITAL REGIONAL DE PUCALLPA</t>
  </si>
  <si>
    <t>5.  ADQUISICION PARA EL SUMINISTRO DE ALIMENTOS PARA EL SERVICIO DE NUTRICIÒN DIETETICA Y ATENCION DE PACIENTES DEL HOSPITAL REGIONAL DE PUCALLPA</t>
  </si>
  <si>
    <t xml:space="preserve">6.  CONTRATACION DEL SERVICIO DE PASAJES AEREOS PARA EL TRASLADO ASISTIDO DE REFERENCIA (EMERGENCIA I Y II) Y CONTRAREFERENCIAS (TRASLADO DE RETORNO) PARA PACIENTES AFILIADOS AL SEGURO INTEGRAL DE SALUD (SIS) REFERIDOS POR EMERGENCIA DEL HRP. </t>
  </si>
  <si>
    <t>7.  ADQUISICION DE PAPALERIA EN GENERAL, UTILES, MATERIAL DE OFICINA Y TONER Y TINTAS</t>
  </si>
  <si>
    <t>COMPRAS POR CATALOGO (CONVENIO MARCOS)</t>
  </si>
  <si>
    <t>ELECTRONICA (PAGINA DE PERU COMPRAS)</t>
  </si>
  <si>
    <t>8.  ADQUISICIÓN DE SUMINISTRO DE OXÍGENO MEDICINAL GAS 99.5 % PARA ATENCIÓN A PACIENTES CRÍTICOS DEL HOSPITAL REGIONAL DE PUCALLPA</t>
  </si>
  <si>
    <t>LICITACION PUBLICA</t>
  </si>
  <si>
    <t>9.  SERVICIO DE MANTENIMIENTO PREVENTIVO Y CORRECTIVO DE LAS CAMIONETAS Y AMBULANCIAS DEL DEL HOSPITAL REGIONAL DE PUCALLPA.</t>
  </si>
  <si>
    <t>COMPARACION DE PRECIOS</t>
  </si>
  <si>
    <t>TRANSPORTE</t>
  </si>
  <si>
    <t>CONTRATACIÓN DE BIENES: ADQUISICIÓN DE PETROLEO DIÉSEL B5 PARA EJECUTAR ACTIVIDADES DE MANTENIMIENTO RUTINARIO EN LAS VÍAS DEPARTAMENTALES-DIRECCIÓN REGIONAL DE TRANSPORTES Y COMUNICACIONES, EJERCICIO 2020.</t>
  </si>
  <si>
    <t>SIE-SIE-1-2020-GRU-DRTC-1-2</t>
  </si>
  <si>
    <t>ELECTRONICA</t>
  </si>
  <si>
    <t xml:space="preserve">
59,173.30</t>
  </si>
  <si>
    <t>L &amp; L NEGOCIOS E.I.R.L.
RUC 20393554003</t>
  </si>
  <si>
    <t>CONCLUIDO</t>
  </si>
  <si>
    <t>CONTRATACION DE SERVICIOS PARA LA EJECUCION DEL SERVICIO DE MANTENIMIENTO RUTINARIO DE LA VIA DEPARTAMENTAL; RUTA Nº UC-105, TRAYECTORIA: BOLOGNESI-BREU (BOLOGNESI-PUENTE SHESHEA)</t>
  </si>
  <si>
    <t>RES-PROC-1-2020-GRU-DRTC-CS-1</t>
  </si>
  <si>
    <t>CONSORCIO BOLOGNESI
JP INGENIEROS CONTRATISTAS EIRL RUC Nº 20393336863
N&amp;L CONSTRUCTORAS GENERALES EIRL RUC Nº 20393418321</t>
  </si>
  <si>
    <t>CONTRATACION DE SERVICIO PARA LA EJECUCION DEL SERVICIO DE MANTENIMIENTO RUTINARIO DE LA VIA DEPARTAMENTAL; RUTA Nº UC-101, TRAYECTORIA: EMP. PE-5N (HUIPOCA)-SAN ANTONIO-SANTA ROSA DE AGUAYTIA.</t>
  </si>
  <si>
    <t>RES-PROC-2-2020-GRU-DRTC-CS-1</t>
  </si>
  <si>
    <t>ROISER CONSTRUCTORA Y SERVICIOS GENERALES S.A.C.
RUC Nº 20601280834</t>
  </si>
  <si>
    <t>CONTRATACION DE SERVICIOS PARA LA EJECUCION DEL SERVICIO DE MANTENIMIENTO PERIODICO DE LA VIA DEPARTAMENTAL; RUTA Nº UC-116, TRAYECTORIA: CRUCE PAUTI-CC.NN. OVENTENI</t>
  </si>
  <si>
    <t>RES-PROC-3-2020-GRU-DRTC-CS-1</t>
  </si>
  <si>
    <t xml:space="preserve">CONSORCIO OVENTENI
ASTURIOS SAC RUC Nº 20393518031
CONSTRUCTORA DELICIA EIRL RUC Nº 20393375419 </t>
  </si>
  <si>
    <t>CONTRATACION DE SERVICIOS PARA LA EJECUCION DEL SERVICIO DE MANTENIMIENTO RUTINARIO DE LA VIA DEPARTAMENTAL; RUTA Nº UC-104, TRAYECTORIA: EMP. PE-18C (CAMPO VERDE)-L.D. HUANUCO (HU-104 A TOURNAVISTA)</t>
  </si>
  <si>
    <t>RES-PROC-4-2020-GRU-DRTC-CS-1</t>
  </si>
  <si>
    <t>CONSORCIO CAMPO VERDE
WTV CONTRATISTAS EIRL RUC Nº 20601659418
NAVAR CONTRATISTAS GENERALES EIRL RUC Nº 20604867500</t>
  </si>
  <si>
    <t>CONTRATACION DE SERVICIO PARA LA EJECUCION DEL SERVICIO DE MANTENIMIENTO RUTINARIO DE LA VIA DEPARTAMENTAL RUTA UC-108: TRAYECTORIA: NUEVA PRIMAVERA-DV. TANGARANA-EMP. PE-5N (PAMPA YURAC)</t>
  </si>
  <si>
    <t>RES-PROC-6-2020-GRU-DRTC-CS-1</t>
  </si>
  <si>
    <t>CONSORCIO PAMPA YURAC
CRC INGENIEROS CONTRATISTAS SAC RUC Nº 20601854776
CONSTRUCTORA Y SERVICIOS GENERALES JJT SRL RUC Nº 20393667894</t>
  </si>
  <si>
    <t>SERVICIO PARA LA SUPERVISION DEL MANTENIMIENTO PERIODICO DE LA VIA DEPARTAMENTAL RUTA Nº UC-116, TRAYECTORIA: CRUCE PAUTI-CC.NN. OVENTENI</t>
  </si>
  <si>
    <t>RES-PROC-7-2020-GRU-DRTC-CS-1</t>
  </si>
  <si>
    <t>CONSORCIO SUPERVISOR GUSAAC
10001125953 - SOLSOL RIOS GUSTAVO 
20393967341 - PROYECTOS &amp; INVERSIONES GUSAAC E.I.R.L.</t>
  </si>
  <si>
    <t>CONTRATACION DE SERVICIO PARA LA EJECUCION DEL SERVICIO DE MANTENIMIENTO RUTINARIO COMPLEMENTARIO DE LA RUTA UC-105, TRAYECTORIA: BOLOGNESI-BREU (BOLOGNESI-NUEVA ITALIA)</t>
  </si>
  <si>
    <t>RES-PROC-9-2020-GRU-DRTC-CS-1</t>
  </si>
  <si>
    <t>ASTURIOS S.A.C.
RUC Nº 20393518031</t>
  </si>
  <si>
    <t>CONTRATACION DE SERVICIO PARA LA EJECUCION DEL SERVICIO DE MANTENIMIENTO RUTINARIO COMPLEMENTARIO DE LA RUTA UC-101, TRAYECTORIA EMP. PE-5N (HUIPOCA)-SAN ANTONIO-SANTA ROSA DE AGUAYTIA</t>
  </si>
  <si>
    <t xml:space="preserve">RES-PROC-8-2020-GRU-DRTC-CS-1
</t>
  </si>
  <si>
    <t xml:space="preserve">ROISER CONSTRUCTORA Y SERVICIOS GENERALES S.A.C.RUC 20601280834 </t>
  </si>
  <si>
    <t>CONTRATACION DE SERVICIO PARA LA EJECUCION DEL SERVICIO DE MANTENIMIENTO RUTINARIO DE LA VIA DEPARTAMENTAL; RUTA Nº UC-112, TRAYECTORIA: BOLOGNESI-DV. BETIJAY-DEV-SANTA ISABEL</t>
  </si>
  <si>
    <t>RES-PROC-10-2020-GRU-DRTC-CS-1</t>
  </si>
  <si>
    <t xml:space="preserve">
176000</t>
  </si>
  <si>
    <t>JRT CONSTRUCTORA E.I.R.L.
RUC Nº 20393661853</t>
  </si>
  <si>
    <t>CONTRATACION DE SERVICIO PARA LA EJECUCION DEL SERVICIO DE MANTENIMIENTO RUTINARIO MECANIZADO DE LA VIA DEPARTAMENTAL; RUTA Nº UC-105, TRAMO: NUEVA ITALIA-PUENTE GENEPANSHEA, LONG: 28.00 KM.</t>
  </si>
  <si>
    <t>RES-PROC-11-2020-GRU-DRTC-CS-1</t>
  </si>
  <si>
    <t xml:space="preserve"> ASTURIOS S.A.C.
RUC Nº 20393518031</t>
  </si>
  <si>
    <t>CONTRATACION DEL SERVICIO DE REPARACION A TODO COSTO DE LOS EQUIPOS DE TELECOMUNICACIONES DE LA DIRECCION DE COMUNICACIONES Y TRANSPORTE AEREO DE LA DIRECCION REGIONAL DE TRANSPORTES Y COMUNICACIONES DE UCAYALI</t>
  </si>
  <si>
    <t xml:space="preserve">AS-SM-1-2020-GRU-DRTC-CS-2
</t>
  </si>
  <si>
    <t>MASGOT SERVICIOS S.A.C.
RUC Nº 20393614341</t>
  </si>
  <si>
    <t>ADQUISICION DE BIENES DE TELECOMUNICACIONES PARA EL CUMPLIMIENTO DEL PLAN DE TRABAJO 2021 DE LA DIRECCION DE COMUNICACIONES Y TRANSPORTE AEREO DE LA DIRECCION REGIONAL DE TRANSPORTES Y COMUNICACIONES</t>
  </si>
  <si>
    <t>AS-SM-1-2021-GRU-DRTC-1</t>
  </si>
  <si>
    <t>GOTIKA SERVICIOS GENERALES E.I.R.L.
RUC Nº 20393520281</t>
  </si>
  <si>
    <t>COMERCIALIZADORA YABEH JIREH E.I.R.L.
RUC Nº 20393566869</t>
  </si>
  <si>
    <t>UE: EDUCACION</t>
  </si>
  <si>
    <t>1 UTILES DE ESCRITORIO</t>
  </si>
  <si>
    <t>ACUERDO MARCO</t>
  </si>
  <si>
    <t>SIN MODALIDAD</t>
  </si>
  <si>
    <t>CULMINADO</t>
  </si>
  <si>
    <t>2 PASAJES AEREOS</t>
  </si>
  <si>
    <t xml:space="preserve">3 COMPUTADORAS </t>
  </si>
  <si>
    <t>4 DISPOSITIVOS DE SEGURIDAD (MEGAFONOS)</t>
  </si>
  <si>
    <t>ADS</t>
  </si>
  <si>
    <t>5 DISPOSITIVOS DE SEGURIDAD (SEÑALETICAS)</t>
  </si>
  <si>
    <t>2 TINTAS PARA IMPRESORA</t>
  </si>
  <si>
    <t>3 PASAJES AEREOS</t>
  </si>
  <si>
    <t>EN PROCESO</t>
  </si>
  <si>
    <t>4 MACARILLAS Y PROTECTORES</t>
  </si>
  <si>
    <t>BIENES Y SERVICIOS PROYECTADOS</t>
  </si>
  <si>
    <t>UE: DIREC. RED SALUD ATALAYA</t>
  </si>
  <si>
    <t>MATERIALES DE LIMPIEZA(LEJIA)</t>
  </si>
  <si>
    <t>ADJ-001-2020</t>
  </si>
  <si>
    <t>CONSTRUCTORA MAVIREY S.A.C.</t>
  </si>
  <si>
    <t>NINGUNO</t>
  </si>
  <si>
    <t>COMBUSTIBLE</t>
  </si>
  <si>
    <t>ADJ-002-2020</t>
  </si>
  <si>
    <t>GRIFO FRANZ E.I.R.L.</t>
  </si>
  <si>
    <t xml:space="preserve">ADQUISICION DE LEJIA(4.5% HIPOCLORITO DE SODIO) </t>
  </si>
  <si>
    <t>ADJ-003-2020</t>
  </si>
  <si>
    <t>RIVAS TAIPE JULIAN</t>
  </si>
  <si>
    <t>ADQUISICION DE MATERIALES DE LIMPIEZA (LEJIA H. DE SODIO 4.5%)-</t>
  </si>
  <si>
    <t>ADJ-004-2020</t>
  </si>
  <si>
    <t>ADQUISICION DE LEJIA-PARA EL PLAN DE INTERVENCION DE COMUNIDADES INDIGENAS,CENTROS POBLADOS RURALES DE LOS DISTRITOS DE RAIMONDI,SEPAHUA Y BOLOGNESI FRENTE AL COVID-19. SEGUN CONTRATO Nº 012-2020-GRU-DIRESA-DRSA-OADM.</t>
  </si>
  <si>
    <t>ADJ-006-2020</t>
  </si>
  <si>
    <t>ADQUISICION DE COMBUSTIBLE DE 90 OCTANOS PARA EL PLAN DE INTERVENCION DE COMUNIDADES INDIGENAS AMAZONICOS, CENTROS POBLADOS RURALES DE LOS DISTRITOS DE RAYMONDI, SEPAHUA Y TAHUANIA FRENTE AL COVID-19. SEGUN CONTRATO DE BIENES N°011-2020-GRU-DIRESA-DRSA-OADM- PROCESO SIE-007-2020-GRU-RSA.</t>
  </si>
  <si>
    <t>ADJ-007-2020</t>
  </si>
  <si>
    <t>ESTACION DE SERVICIOS ANITA S.A.C.</t>
  </si>
  <si>
    <t xml:space="preserve"> ADQUISICION DE KIT DE LAVADO DE MANOS-PLAN DE INTERVENCION DE COMUNIDADES INDIGENAS, CENTROS POBLADOS RURALES DE LOS DISTRITOS DE RAYMONDI, SEPAHUA Y BOLOGNESI- SEGUN CONTRATO Nº 014-2020-GRU-DIRESA-OADM (AS Nº001-2020).</t>
  </si>
  <si>
    <t>ADJS-001-2020</t>
  </si>
  <si>
    <t xml:space="preserve">PANDURO DAHUA DE CASTAGNE JHENNIFER  </t>
  </si>
  <si>
    <t xml:space="preserve"> SERVICIO DE INSTALACION DE LAS CASAS DE AISLAMIENTO EN LOS ESTABLECIMIENTOS DE SALUD PRIORIZADOS EN EL PLAN DE INTERVENCION EN LAS COMUNIDADES INDIGENAS DE LA PROVINCIA DE ATALAYA FRENTE A LA EMERGENCIA DEL COVID-19                                                                                                                                                                                                                                                                 </t>
  </si>
  <si>
    <t>CONTRATACIION DIRECTA</t>
  </si>
  <si>
    <t>ADJ-001-2021</t>
  </si>
  <si>
    <t>CEINCON SOCIEDAD COMERCIAL DE RESPONSABILIDAD LIMITADA</t>
  </si>
  <si>
    <t>ADQUISICION DE SULFATO FERROSO EN GOTAS PARA SER UTILIZADOS Y DISTRIBUIDOS A LO ESTABLECIMEINTOS DE SALUD DE LA DIRECCION DE RED SALUD ATALAYA-SEGUN CONTRATACION DIRECTA-CD-002-201-GRU-DIRESA-OEC-1, CONTRATO Nº00-2021-GRU-DIRESA-DRSA-OADM.</t>
  </si>
  <si>
    <t>ADJ-002-2021</t>
  </si>
  <si>
    <t xml:space="preserve">QUEZADA BALLESTEROS DONNA MARIDITD         </t>
  </si>
  <si>
    <t>CULMNADO</t>
  </si>
  <si>
    <t>ADQUISICION DE MATERIALES DE LIMPIEZA PARA SER DISTRIBUIDAS A TODOS LOS ESTABLECIMIENTOS DE SALUD-SEGUN CONTRATACION DIRECTA Nº003-2021-GRU-DIRESA-OEC-1, CONTRATO Nº004-2021-GRU-DIRESA-DRSA-OADM.</t>
  </si>
  <si>
    <t>ADJ-003-2021</t>
  </si>
  <si>
    <t xml:space="preserve">PEREZ GUERRA KARITO MERCEDES  </t>
  </si>
  <si>
    <t>SERVICIO DE MANTENIMIENTO Y REPARACION DE EQUIPO DE CADENA FRIO DE LOS 25 EE.SS DE LA JURIDICCION DE LA RED DE SALUD ATALAYA-SEGUN CONTRATACION DIRECTA Nº 004-2021-GRU-DIRESA-OEC-1, CONTRATO Nº 005-2021-GRU-DIRESA-DRSA-OADM.</t>
  </si>
  <si>
    <t>ADJ-004-2021</t>
  </si>
  <si>
    <t xml:space="preserve">SAN JOAQUIN LARA E.I.R.L.        </t>
  </si>
  <si>
    <t>24/05/2021</t>
  </si>
  <si>
    <t>UE: DIRECCION REGIONAL DE LA PRODUCCION</t>
  </si>
  <si>
    <t>1 CONTRATACION DEL SERVICIO DE CONSULTORIA PARA LA ELABORACION DE ESTUDIO DE PRE INVERSION "MEJOAMIENTO DE LOS SERVICIOS DE CAPACITACION Y DE TRANSFERENCIA TECNOLOGICA DE LA CAENA PRODUCTIVA PISCICOLA MEDIANTE EL CENTRO ACUICOLA DE LA DIRECCION REGIONAL DE LA PRODUCCION - CIP Nº 43866</t>
  </si>
  <si>
    <t>001-2020-GRU-DIREPRO-CS</t>
  </si>
  <si>
    <t>10001233071 - NOE RAMIREZ FLORES</t>
  </si>
  <si>
    <t>DIREPROU</t>
  </si>
  <si>
    <t>2 CONTRATACION DEL SERVICIO DE CONSULTORIA PARA LA ELABORACION DE ESTUDIO DE PRE INVERSION "MEJOAMIENTO DE LOS SERVICIOS DE APOYO A LA ADOPCION DE TECNOLOGIA EN LA PESCA ARTEANAL DE LA REGION UCAYALI - CIP Nº 43906</t>
  </si>
  <si>
    <t>002-2020-GRU-DIREPRO-CS</t>
  </si>
  <si>
    <t>3 ADQUISICION DE ALIMENTOBALANCEADO PARA PECES</t>
  </si>
  <si>
    <t>003-2020-GRU-DIREPRO-CS</t>
  </si>
  <si>
    <t>20602772536 - L. CLAUDETTE DISTRIBUIDORES E.I.R.L.</t>
  </si>
  <si>
    <t>PI: "MEJORAMIENTO DE LA CADENA PRODUCTIVA PISCICOLAEN LA REGION UCAYALI"-CUI Nº 2284153</t>
  </si>
  <si>
    <t>4 ADQUISICION DE 47 BOTES DE MADERA DURA, MODELO PESCADOR</t>
  </si>
  <si>
    <t>004-2020-GRU-DIREPRO-CS</t>
  </si>
  <si>
    <t>10000701101 - VICTORIA BARBARAN RIOS</t>
  </si>
  <si>
    <t>PI: "MEJORAMIENTO DE LOS SERVICIOS DE SEGUIMIENTO, CONTROL Y VIGILANCIA PESQUERA Y ACUCICOLA DE LA DIRECCION REGIONAL DE LA PRODUCCION EN LA REGION UCAYALI" - CUI Nº 2325283</t>
  </si>
  <si>
    <t>5 ADQUISICION DE CAMIONETA 4X4 DOBLE CABINA (TODO TERRENO)</t>
  </si>
  <si>
    <t>006-2020-GRU-DIREPRO-CS</t>
  </si>
  <si>
    <t>20133932730 - AUTOMOTORES MOPAL S.A.</t>
  </si>
  <si>
    <t>6 ADQUISICION DE 02 MOTORES FUERA DE BORDA DE 85 HP</t>
  </si>
  <si>
    <t>007-2020-GRU-DIREPRO (1º CONVOCATORIA)</t>
  </si>
  <si>
    <t>20604141070 - MOTORES SANTA TERESA E.I.R.L.</t>
  </si>
  <si>
    <t>7 ADQUISICION DE 47 MOTORES PEKE PEKE DE 13 HP GASOLIMERO CON TIMON Y COLA</t>
  </si>
  <si>
    <t>008-2020-GRU-DIREPRO (1º CONVOCATORIA)</t>
  </si>
  <si>
    <t>8 ADQUISICION DE COMBUSTIBLE DE 90 OCTANOS</t>
  </si>
  <si>
    <t>001-2020-GRU-DIREPRO-CS (1º CONVOCATORIA)</t>
  </si>
  <si>
    <t>20604081336 - INVERSIONES Y TRASNPORTES HG E.I.R.L.</t>
  </si>
  <si>
    <t>9 ADQUISICION DE INDUMENTARIA DE BIO SEGURIDAD PARA PRODUUCTORES</t>
  </si>
  <si>
    <t>009-2020-GRU-DIREPRO-CS (2º CONVOCATORIA)</t>
  </si>
  <si>
    <t>20393667118 - MELODY E.I.R.L.</t>
  </si>
  <si>
    <t>PI: MEJORAMIENTO DE LOS SERVICIOS DE APOYO A LA CADENA PRODUCTIVA DEL CARBON VEGETAL EN LOS DISTRITOS DE CALLERIA, YARINACOCHA Y MANANTAY DE LA PROVINCIA DE CORONEL PORTILLO DE LA REGION UCAYALI - CUI Nº 2280208</t>
  </si>
  <si>
    <t>10 ADQUISICION DE ALIMENTO BALANCEADO PARA PECES</t>
  </si>
  <si>
    <t xml:space="preserve">001-2021-GRU-DIREPRO-CS </t>
  </si>
  <si>
    <t>10179209883 - RICARDO JULIAN OLIVA PAREDES</t>
  </si>
  <si>
    <t>11 SERVICIO DE ACONDICIONAMIENTO DEL AREA DE PRES SECADO DE LEÑA</t>
  </si>
  <si>
    <t>002-2021-GRU-DIREPRO-CS (1º CONVOCATORIA)</t>
  </si>
  <si>
    <t>20604777888 - CONSTRUCTORA Y CONSULTORA TECSEC E.I.R.L.</t>
  </si>
  <si>
    <t>12 SERVICIO DE CONSTRUCCION, INSTALACION DE MODULO DE PELETIZADO DE CARBONCILLO</t>
  </si>
  <si>
    <t xml:space="preserve">003-2021-GRU-DIREPRO-CS </t>
  </si>
  <si>
    <t>20450357350 - INGENIERIA AGROINDUSTRIAL &amp; CONSULTORES E.I.R.L.</t>
  </si>
  <si>
    <t>R.D.R. Nº 372-2021-GRU-DIREPRO-RESOLVER EN FORMA TOTAL EL CONTRATO DE SERVICIOS Nº 002-2021-GRU-DIRPERO (23/08/2021)</t>
  </si>
  <si>
    <t>13 ADQUISICION DE 02 DESLIZADORES DE ALUMINIO PARA 10 PERSONAS</t>
  </si>
  <si>
    <t xml:space="preserve">004-2021-GRU-DIREPRO-CS </t>
  </si>
  <si>
    <t xml:space="preserve">20606890592 - UCAYALI PARTNER S.A.C. </t>
  </si>
  <si>
    <t>R.D.R. Nº 367-2021-GRU-DIREPRO-AMPLIACION DE EJECUCION CONTRACTUAL - ADENDA N º 1 AL CONTRATO DE BIENES Nº 003-2021-GRU-DIREPRO (23/08/2021)</t>
  </si>
  <si>
    <t>EDUCACION CORONEL PORTILLO</t>
  </si>
  <si>
    <t>1 CONTRATACION DEL SERVICIO DE TRANSPORTE TERRESTRE PARA LA DISTRIBUCION DE MATERIAL EDUCATIVO DOTACION 2021, HACIA LAS II.EE. DE LA UGEL CP, EN LAS RUTAS 01, 04, 05, 07, 08, 10, 11 Y 15, 2021</t>
  </si>
  <si>
    <t>Adjudicación Simplificada</t>
  </si>
  <si>
    <t>Precios Unitarios</t>
  </si>
  <si>
    <t>001-2021</t>
  </si>
  <si>
    <t>ROJAS RUIZ GISSELA RUC 10407118362</t>
  </si>
  <si>
    <t>2 CONTRATACION DEL SERVICIO DE TRANSPORTE FLUVIAL PARA LA DISTRIBUCION DE MATERIAL EDUCATIVO DOTACION 2021, HACIA LAS II.EE. DE LA UGEL CP, EN LAS RUTAS 02, 03, 06, 09, 12, 13, 14, 16, 17, 18 Y 19, 2021.</t>
  </si>
  <si>
    <t>002-2021</t>
  </si>
  <si>
    <t>VIAJANKA'S CARGO E.I.R.L. RUC 20393725924</t>
  </si>
  <si>
    <t>3 CONTRATACION DEL SERVICIO DE FOTOCOPIA DE CUADERNILLOS DE LA CARPETA DE RECUPERACION DEL NIVEL PRIMARIA POLIDOCENTE DE LA UGEL - CORONEL PORTILLO</t>
  </si>
  <si>
    <t>Comparación de Precios</t>
  </si>
  <si>
    <t>Suma Alzada</t>
  </si>
  <si>
    <t>FUCHS GOMEZ DEIDAME ERIKA         RUC 10401127629</t>
  </si>
  <si>
    <t>4 CONTRATACION DEL SERVICIO DE FOTOCOPIAS DEL KIT DE MATERIALES IMPRESOS PARA ESTUDIANTES, DOCENTES, DIRECTORES, COORDINADORAS Y PROMOTORAS DEL PRONOEI DE NIVEL INICIAL PARA LA UGEL DE CORONEL PORTILLO</t>
  </si>
  <si>
    <t>003-2021</t>
  </si>
  <si>
    <t xml:space="preserve">CONSORCIO C S :
C &amp; S COPIAS S.R.L. RUC 20393660296 - 
FUCHS GOMEZ DEIDAME ERIKA RUC 10401127629 - 
</t>
  </si>
  <si>
    <t>5 ADQUISICIÓN DE MASCARILLAS Y ESCUDOS FACIALES EN EL MARCO DEL DECRETO DE URGENCIA N° 021-2021, PARA EL REINICIO PROGRESIVO DEL SERVICIO EDUCATIVO PRESENCIAL Y SEMI PRESENCIAL EN EL AÑO 2021 DIRIGIDO A DOCENTES, PERSONAL ADMINISTRATIVO Y ESTUDIANTES DE EDUCACION BASICA DE LA PROVINCIA DE LA UGEL DE CORONEL PORTILLO</t>
  </si>
  <si>
    <t>Contratación Directa</t>
  </si>
  <si>
    <t>GRUPO AMAZONICO RAS SOCIEDAD COMERCIAL DE RESPONSABILIDAD LIMITADA RUC 20606726741</t>
  </si>
  <si>
    <t>EJECUTADO, EN PROCEDIMIENTO DE PAGO</t>
  </si>
  <si>
    <t>Con penalidad por sobrepasar el periodo de entrega</t>
  </si>
  <si>
    <t>D'VASQUEZ NEGOCIOS E INVERSIONES E.I.R.L. RUC 20604702411</t>
  </si>
  <si>
    <t>Entrega conforme, sin penalidad</t>
  </si>
  <si>
    <t>6 CONTRATACIÓN DEL SERVICIO DE TRANSPORTE FLUVIAL PARA LA DISTRIBUCIÓN DE MASCARILLAS Y ESCUDOS FACIALES ¿ 2021, PARA LAS I.E. DE EDUCACIÓN BÁSICA REGULAR</t>
  </si>
  <si>
    <t>DEL AGUILA ABAD CESAR ANDRE              RUC 10723538641</t>
  </si>
  <si>
    <t>7 CONTRATACION DEL SERVICIO DE TRANSPORTE FLUVIAL PARA LA DISTRIBUCION DE FASCICULOS EDUCATIVOS FOTOCOPIADO DEL NIVEL INICIAL, PRONOEI, PRIMARIA, SECUNDARIA PARA LAS INSTITUCIONES EDUCATIVAS DE LA UGEL DE CORONEL PORTILLO EN LAS RUTAS 02, 03, 06, 09, 12, 13, 14, 16, 17, 18 Y 19 ¿ 2021</t>
  </si>
  <si>
    <t>UE: GERENCIA TERRITORIAL DE PADRE ABAD</t>
  </si>
  <si>
    <t>ADQUISICION DE HIJUELOS DE PLATANO VARIEDAD BELLACO HARTON PARA SER INSTALADAS EN AREAS NUEVAS DE PARCELAS DEMOSTRATIVAS DE LOS BENEFICIARIOS DEL PROYECTO: MEJORAMIENTO DE LOS SERVICIOS DE TRANSFERENCIA DE TECNOLOGIA EN LA CADENA PRODUCTIVA DEL CULTIVO DE PLATANO EN LA PROVINCIA DE PADRE ABAD REGION UCAYALI</t>
  </si>
  <si>
    <t>AS-SM-2-2020-GRU-GTPA-CS-1</t>
  </si>
  <si>
    <t>10420896960 DEL AGUILA GASLA IGMAR BERNARDO</t>
  </si>
  <si>
    <t>ADQUISICION DE MOTOGUADAÑA PARA EL PROYECTO: MEJORAMIENTO DE LOS SERVICIOS DE TRANSFERENCIA DE TECNOLOGIA EN LA CADENA PRODUCTIVA DEL CULTIVO DE PLATANO EN LA PROVINCIA DE PADRE ABAD REGION UCAYALI</t>
  </si>
  <si>
    <t>AS-SM-3-2020-GRU-GTPA-CS-1</t>
  </si>
  <si>
    <t>CONSORCIO MADERERO INTEGRADO POR LAS EMPRESAS (SERVICIOS Y CONSTRUCCIONES FLUVIALES EL MADERERO S.R.L. Y LA CASA DEL MADERERO IMPORT S.R.L.)</t>
  </si>
  <si>
    <t>ADQUISICION DE GASOLINA DE 90 OCTANOS, PARA SER UTILIZADO EN EL PROYECTO MEJORAMIENTO DE LA CADENA PRODUCTIVA CON LA IMPLEMENTACION DE CERTIFICACION EN EL CULTIVO DE CACAO, EN EL VALLE DE PREVISTO, SHAMBILLO, SION Y ANEXOS EN EL DISTRITO DE PADRE ABAD, PROVINCIA DE PADRE ABAD - UCAYALI</t>
  </si>
  <si>
    <t>SIE-SIE-1-2020-GRU-GTPA-CS-1</t>
  </si>
  <si>
    <t>20393559145 SURTIDORES ACOSTA E.I.R.L.</t>
  </si>
  <si>
    <t>ADQUISICIÓN DE MAQUINARIAS PARA EL PROYECTO MEJORAMIENTO DE LA CAPACIDAD RESOLUTIVA DEL POOL DE MAQUINARIAS DE LA MUNICIPALIDAD DISTRITAL DE ALEXANDER VON HUMBOLDT, DISTRITO DE ALEXANDER VON HUMBOLDT, PROVINCIA DE PADRE ABAD - DEPARTAMENTO DE  UCAYALI  CODIGO UNICO No 248528</t>
  </si>
  <si>
    <t>LP-SM-2-2020-GRU-GTPA-CS-1</t>
  </si>
  <si>
    <t>20302241598 KOMATSU-MITSUI MAQUINARIAS PERU SA</t>
  </si>
  <si>
    <t>20103913340  ORVISA SOCIEDAD ANONIMA</t>
  </si>
  <si>
    <t>20600939158  MOTRIZA SOCIEDAD ANONIMA - MOTRIZA SA</t>
  </si>
  <si>
    <t>ADQUISICION DE 62.1 TONELADAS DE GUANO, PARA EL ABONAMIENTO Y MANTENIMIENTO DE LAS AREAS DE LAS PARCELAS DEMOSTRATIVAS DEL PROYECTO MEJORAMIENTO DE LOS SERVICIOS DE TRANSFERENCIA DE TECNOLOGIA EN LA CADENA PRODUCTIVA DEL CULTIVO DEL PLATANO EN LA PROVINCIA DE PADRE ABAD – UCAYALI</t>
  </si>
  <si>
    <t>AS-SM-2-2021-GRU-GTPA-CS-1</t>
  </si>
  <si>
    <t>20481454264 K &amp; J INVERSIONES SAC</t>
  </si>
  <si>
    <t>EN FORMALIZACION DE CONTRATO</t>
  </si>
  <si>
    <t>ADQUISICION DE CAMIONETA 4X4, PARA SER UTILIZADO EN LA OBRA CREACION DE LA CAPACIDAD OPERATIVA DEL POOL DE MAQUINARIAS PESADAS DE LA GERENCIA TERRITORIAL DE PADRE ABAD, DISTRITO DE PADRE ABAD, PROVINCIA DE PADRE ABAD - UCAYALI</t>
  </si>
  <si>
    <t>AS-SM-3-2021-GRU-GTPA-CS-1</t>
  </si>
  <si>
    <t>20133932730 AUTOMOTORES MOPAL S.A.</t>
  </si>
  <si>
    <t>ADQUISICION DE 30 TONELADAS DE GUANO, PARA SER UTILIZADOS EN LAS PARCELAS DEMOSTRATIVAS DEL PROYECTO MEJORAMIENTO DE LA CADENA PRODUCTIVA CON LA IMPLEMENTACION DE CERTIFICACION EN EL CULTIVO DE CACAO, EN EL VALLE DE PREVISTO, SHAMBILLO, SION Y ANEXOS DISTRITO DE PADRE ABAD, PROVINCIA DE PADRE ABAD - UCAYALI</t>
  </si>
  <si>
    <t>COMPRE-SM-1-2021-GRU-GTPA-CS-1</t>
  </si>
  <si>
    <t>10467583501 PONCE GAMARRA SANTIAGO</t>
  </si>
  <si>
    <t>UE: AGRICULTURA</t>
  </si>
  <si>
    <t>1. ADQUISICION DE UTILES DE OFICINA MEDIANTE PERU COMPRAS PARA EL STOCK DE ALMACEN, CON LA FINALIDAD de</t>
  </si>
  <si>
    <t>PERU COMPRAS</t>
  </si>
  <si>
    <t>PROCEDIMIENTO CLASICO</t>
  </si>
  <si>
    <t xml:space="preserve">PANDURO CHANCHARI LILIANA PATRICIA 
RUC: 10001292094
                         </t>
  </si>
  <si>
    <t>4 . ADQUISICION DE UTILES DE ESCRITORIO MEDIANTE PERU COMPRAS PARA SER UTILIZADOS EN LA OFICINA AGRARIA DE PADRE ABAD</t>
  </si>
  <si>
    <t>5. ADQUISICION DE MOTORES PEQUE PEQUE PARA LOS AGRICULTORES DE LAS ASOCIACIACIONES BENEFICIARIAS DEL PY:" MEJORAMIENTO DE LOS SERVICIOS DE APOYO  A LA CADENA PRODUCTIVA CAMU CAMU"</t>
  </si>
  <si>
    <t>AS</t>
  </si>
  <si>
    <t xml:space="preserve">NIPON DYL IMPORT S.A.C., RUC: 20393829894
                                                                             </t>
  </si>
  <si>
    <t xml:space="preserve">6. ADQUISICION DE SEMILLAS </t>
  </si>
  <si>
    <t xml:space="preserve">ESTACION EXPERIMENTAL AGRARIA - PUCALLPA 
RUC: 20173752459
                                                           </t>
  </si>
  <si>
    <t>7. ADQUISICION DE UNIFORMES INSTITUCIONALES PARA EL PERSONAL DE LA DIRECCION REGIONAL AGRICULTURA UCAYALI</t>
  </si>
  <si>
    <t xml:space="preserve">THE FASHION E.I.R.L., RUC: 20393915626
                                                                              </t>
  </si>
  <si>
    <t>21/08/2020</t>
  </si>
  <si>
    <t>8. ADQUISICION DE SEMILLAS PARA CAMPAÑA AGRICOLA 2020-OACP.</t>
  </si>
  <si>
    <t xml:space="preserve">SAND. TRADING &amp; SERVICES E.I.R.L., RUC: 20601760593
                                                               </t>
  </si>
  <si>
    <t>14/10/2020</t>
  </si>
  <si>
    <t>1. ADQUISICION DE UTILES DE OFICINA (PAPEL BOND A4) PARA EL STOCK DE ALMACEN DE LA DIRECCION REGIONAL DE AGRICULTURA</t>
  </si>
  <si>
    <t xml:space="preserve">V &amp; J ESTRATEGIAS COMERCIALES S.A.C.
RUC: 20600900791
                                                                </t>
  </si>
  <si>
    <t>18/06/2021</t>
  </si>
  <si>
    <t>2. ADQUISICION DE 03 LAVADORAS Y PELADORAS DE YUCA, PARA ELABORACION DE ALMIDON</t>
  </si>
  <si>
    <t xml:space="preserve">RIOS SANGAMA JOSE LUIS 
RUC: 10419208910
                                                                           </t>
  </si>
  <si>
    <t>14/07/2021</t>
  </si>
  <si>
    <t>PROGRAMADO</t>
  </si>
  <si>
    <t>UE:  EDUCACION PURUS</t>
  </si>
  <si>
    <t>SOLICITO EQUIPO DE COMPRUTO PARA USO DE LA OFICINA DE CONTABILIDAD.</t>
  </si>
  <si>
    <t>CONTRATACIONES HASTA 8 UIT (LEY 30225)</t>
  </si>
  <si>
    <t>ANULADO</t>
  </si>
  <si>
    <t>SOLICITO EQUIPO DE COMPUTO PARA USO DE LA OFICINA DE CONTABILIDAD.</t>
  </si>
  <si>
    <t>PAGADO</t>
  </si>
  <si>
    <t>ADQUISICION DE 2 UNIDAD CENTRAL DE PROCESO - CPU  PARA EL AREA DE PRESUPUESTO Y NEXUS DE LA UGEL PUR</t>
  </si>
  <si>
    <t>SOLICITO TRANSPORTE AEREO DE UTILES DE ESCRITORIO Y OTROS EN LA RUTA PUCALLPA - PURUS.</t>
  </si>
  <si>
    <t>SERVICIO DE TRANSPORTE DE MATERIAL EDUCATIVO DOTACION 2020</t>
  </si>
  <si>
    <t>10451521981</t>
  </si>
  <si>
    <t>15/06/2020</t>
  </si>
  <si>
    <t>ADQUISICION PARA STOCK DE ALMACEN</t>
  </si>
  <si>
    <t>ADQUISICION DE COMBUSTIBLE DE 90 OCTANOS PARA STOCK DE ALMACEN</t>
  </si>
  <si>
    <t>SERVICIO DE TRANSPORTE DE REDISTRIBUCION DE MATERIAL EDUCATIVO DOTACION 2020</t>
  </si>
  <si>
    <t>ADQUISICION DE 38 PANTALONES Y 38 CAMISAS PARA EL PERSONAL CAP DE LA UGEL PURUS</t>
  </si>
  <si>
    <t>ADQUISICION DE USB DE 32 GB PARA PLAN DE TRABAJO REMOTO</t>
  </si>
  <si>
    <t>SERVICIO DE TRANSPORTE DE CARGA Y DESCARGA</t>
  </si>
  <si>
    <t>SERVICIO DE TRANSPORTE DE MATERIALES Y UTILES DE OFICINA DE PUCALLPA-PURUS</t>
  </si>
  <si>
    <t>ADQUISICION DE RADIOS PARA CERRAR LAS BRECHAS DE CONECTIVIDAD RADIAL EN LA IMPLEMENTACION D LA ESTRATEGIA APRENDO EN CASA.</t>
  </si>
  <si>
    <t>SERVICIO DE TRANSPORTE AEREO DE MOBILIARIOS DE LA RER</t>
  </si>
  <si>
    <t>ADQUISICION DE MATERIALES DE LIMPIEZA PARA STOCK EN ALMACEN</t>
  </si>
  <si>
    <t>POR EL SERVICIO DE TRANSPORTE AEREO DE UTILES DE OFICINA Y ASEO EN LA RUTA PUCALLPA - PURUS.</t>
  </si>
  <si>
    <t>SOLICITO PAGO DEL SERVICIO DE MANTENIMIENTO DE LAS REDES DE INTERNET DE LA OFICINA DE COORDINACION.</t>
  </si>
  <si>
    <t>ADQUISICION DE MATERIALES FUNGIBLES dotacion 2021.</t>
  </si>
  <si>
    <t>ADQUISICION DE COMBUSTIBLE DE 84 OCTANOS PARA STOCK DE ALMACEN</t>
  </si>
  <si>
    <t>POR LA ADQUISCION DE 27 CANASTAS PARA EL PERSONAL CAP DE LA UGEL PURUS</t>
  </si>
  <si>
    <t>ADQUSIICION DE 3 BOTES DE 6.50 METROS DE LONGITUD POR 1.50 METROS DE ANCHO.</t>
  </si>
  <si>
    <t>ADQUISICION DE 3 PROYECTORES.</t>
  </si>
  <si>
    <t>POR LA ATENCON AL PLAN DE VIGILANCIA, PREVENCION Y CONTROL COVID-19 DE LA UGEL PURUS.</t>
  </si>
  <si>
    <t>REUNIONES DEL AREA DE GESTION PEDAGOGICA  EN LA SEDE CENTRAL Y OFICINA DE COORDINACION</t>
  </si>
  <si>
    <t>POR EL SERVICIO DE ALMACENAMIENTO DE UTILES DE OFICINA Y MATERIAL EDUCATIVO.</t>
  </si>
  <si>
    <t>POR EL SERVICIO DE TRANSPORTE AEREO DE CAJAS DE ARCHIVADORES</t>
  </si>
  <si>
    <t>SOLICITO ATENCION AL PLAN DE CAPACITACION PARA LA EJECUCION  DE DOCUMENTOS DE GESTION DE LA UGEL PURUS.</t>
  </si>
  <si>
    <t>SERVICIO DE PUBLICIDAD DE DIFUSION RADIAL PARA EL PROGRAMA EDUCATIVO APRENDO EN CASA</t>
  </si>
  <si>
    <t>POR EL SERVICIO DE TRANSPORTE Y TRASLADO DE MATERIALES EDUCATIVOS DEL PRIMER TRAMO EN LA JURISD</t>
  </si>
  <si>
    <t>POR EL SERVICIO DE REPARACION Y MANTENIMIENTO DEL PORTON DE INGRESO PRINCIPAL Y PUERTAS PEQUEÑA</t>
  </si>
  <si>
    <t>POR EL SERVICIO DE TRANSPORTE AEREO DE MATERIALES FUNGIBLES EN LA RUTA PUCALLPA - PURUS DOTACIO</t>
  </si>
  <si>
    <t>SERVICIO DE PINTADO DE LA SEDE CENTRAL DE LA UGEL PURUS.</t>
  </si>
  <si>
    <t>POR EL SERVICIO DE ASESORAMIENTO EN EL SIGA DEL MODULO LOGISTICO - ALMACEN Y MODULO PATRIMONIAL</t>
  </si>
  <si>
    <t>POR EL SERVICIO DE TRANSPORTE AEREO DE MATERIALES DE OFICINA Y CAJAS VARIAS EN LA RUTA PUCALLPA</t>
  </si>
  <si>
    <t>SERVICIO DE CORREO Y MENSAJERIA DE PUCALLPA  A PURUS Y VICEVERZA</t>
  </si>
  <si>
    <t>SERVICIO DE INSTALACION DE ANTIVIRUS PARA LOS EQUIPOS DE COMPUTO DE LA UGEL PURUS.</t>
  </si>
  <si>
    <t>PLAN DE ELABORACION DE LA DIRECTIVA "DISPOSICIONES DE FORMULACION PARA LA IMPLEMENTACION DEL CO</t>
  </si>
  <si>
    <t>POR EL SERVICIO DE ENERGIA ELECTRICA.</t>
  </si>
  <si>
    <t>POR EL SERVICIO DE INSTALACION DE REDES DE INTERNET A TODAS LAS OFICINAS DE LA UGEL PURUS.</t>
  </si>
  <si>
    <t>ADQUISICION DE MATERIALES DE LIMPIEZA PARA STOCK DE ALMACEN</t>
  </si>
  <si>
    <t>POR LA ADQUISICION DE MATERIALES DE OFICINA PARA STOCK DE ALMACEN DE LA UGEL PURUS.</t>
  </si>
  <si>
    <t>SERVICIO DE DISTRIBUCION Y REDISTRIBUCION DE MATERIALES EDUCATIVOS DOTACION  2021 EN LA JURISDICCION DE PURUS.</t>
  </si>
  <si>
    <t>TRANSPORTE DE MATERIALES DE LIMPIEZA A LA SEDE CENTRAL DE LA UGEL PURUS</t>
  </si>
  <si>
    <t>POR EL SERVICIO DE ASESORIA  EN GESTION DE RESULTADO EN LA UGEL PURUS.</t>
  </si>
  <si>
    <t>POR LA ADQUISICION DE MASCARILLAS Y ALCOHOL  PARA LA OFICINA DE COORDINACION Y SEDE CENTRAL UGE</t>
  </si>
  <si>
    <t>ADQUISICION DE 192 GALONES DE GASOLINA 84 PARA STOCK DE ALMACEN DE LA SEDE CENTRAL UGEL PURUS</t>
  </si>
  <si>
    <t>ADQUISICION DE MATERIALES DE OFICINA PARA STOK DE ALMACEN</t>
  </si>
  <si>
    <t>SERVICIO DE TRANSPORTE DE MATERIALES DE UTILES DE ESCRITORIO A LA SEDE CENTRAL DE LA UGEL PURUS</t>
  </si>
  <si>
    <t>DISTRIBUVION DE MATERIALES FUNGIBLES 2021.</t>
  </si>
  <si>
    <t>ADQUISICION DE MASCARILLAS Y PROTECCION FACIAL PARA LAS INSTITUCIONES EDUCATIVAS DE LA UGEL DE</t>
  </si>
  <si>
    <t>ADQUISICION DE 32 PANTALONES Y 32 CAMISAS PARA EL PERSONAL CAP DE LA UGEL PURUS .</t>
  </si>
  <si>
    <t>ADQUISICION DE FALDA Y BLUSA PARA EL PERSONAL CAP DE LA UGEL PURUS</t>
  </si>
  <si>
    <t>ADQUISICIION DE 23 CANASTAS PARA EL PERSONAL CAP DE LA UGEL PURUS</t>
  </si>
  <si>
    <t>SERVICIO DE ELABORACION DE DIRECTIVA PARA EL AREA DE ABASTECIMIENTO UGEL PURUS</t>
  </si>
  <si>
    <t>SOLICITO SERVICIOS PROFESIONALES PARA EL REGISTRO DE LA PROGRAMACION MULTIANUAL 2022-2024.</t>
  </si>
  <si>
    <t>SERVICIO DE TRANSPORTE</t>
  </si>
  <si>
    <t>SERVICIO DE TRANSPORTE DE FOTOCOPIAS ANILALDOS Y CAJAS VARIOS RUTA PUCALLPA - PURUS Y MATERIALE</t>
  </si>
  <si>
    <t>SERVICIO DE IMPRESION Y ANILLADOS</t>
  </si>
  <si>
    <t>SERVICIO DE TRANSPORTE RUTA PUCALLPA -PURUS</t>
  </si>
  <si>
    <t>SERVICIO DE TRANSPORTE DE DE UTILES DE ESCRITORIO .</t>
  </si>
  <si>
    <t>SERVICIO DE INSTALACION DE PANELES</t>
  </si>
  <si>
    <t>UE: PROYECTO CARRETERA FEDERICO BASADRE</t>
  </si>
  <si>
    <t>ADQ. DE 01 EQUIPO BIOMETRICO DIGITAL PARA EL USO DE LA ENTIDAD</t>
  </si>
  <si>
    <t>_----</t>
  </si>
  <si>
    <t>ADQ. DE 1060.70 GALONES DE PETROLEO PARA LA ACTIVIDAD DE MANTENIMIENTO DEL AV. RADAR</t>
  </si>
  <si>
    <t>20600761413</t>
  </si>
  <si>
    <t>SERV. DE TRANSPORTE DE MATERIAL LIGANTE PARA EL MANT. DE AV. RADAR</t>
  </si>
  <si>
    <t>ADQ. DE LUBRICANTES PARA RELLENAR LOS SISTEMAS POR FUGAS</t>
  </si>
  <si>
    <t>ADQ. DE 5333 GALONES DE COMBUSTIBLE PETROLEO DB-5 , PARA LA OBRA DE LA META 006</t>
  </si>
  <si>
    <t>0001</t>
  </si>
  <si>
    <t>ADQ. DE 500 GALONES DE GASOLINA DE 90 OCT. PARA LA OBRA DE LA META 006</t>
  </si>
  <si>
    <t>ADQ. DE 780 M3 DE HORMIGON PARA SER UTILIZADO EN LA OBRA DE LA META 006</t>
  </si>
  <si>
    <t>ADQ. DE 02 TANQUES REFORZADO CON ALUMINIO DE 1000 LTS PARA LA OBRA DE LA META 006</t>
  </si>
  <si>
    <t>ADQ. DE MATERIALES DIVERSOS (TUBOS DE CONCRETO DE 20", 24", 36" PARA LA OBRA DE LA META 006</t>
  </si>
  <si>
    <t>ADQ. DE MATERIALES DE CONSTRUCCION PARA LA OBRA DE LA META 006</t>
  </si>
  <si>
    <t>ADQ. DE 06 LLANTAS Y 02 BATERIAS PARA EL CAMION VOLQ. HINO REG. 702, PARA LA OBRA DE LA META 006</t>
  </si>
  <si>
    <t>ADQ. DE 04 LLANTAS PARA EL CAMION VOLQ. REG. 2417, PARA LA OBRA DE LA META 006</t>
  </si>
  <si>
    <t>ADQ. DE 04 LLANTAS PARA LA MOTONIVELADORA REG. 202, PARA LA OBRA DE LA META 006</t>
  </si>
  <si>
    <t>ADQ. DE 02 LLANTAS PARA EL CAMION CISTERNA REG. 801, PARA LA OBRA DE LA META 006</t>
  </si>
  <si>
    <t>ADQUISICION DE MATERIALES DE DESINFECCION Y EQUIPOS DE PROTECCION PARA PERSONAL DEL PRIM.</t>
  </si>
  <si>
    <t>ADQUISICION DE 700 BUYONES DE AGUA DE MESA DE 20 LITROS, PERIODICAMENTE DESDE FEBRERO A DICIEMBRE DEL 2021, PARA EL CONSUMO DEL PERSONAL DE LAS DIFERENTES OFICINAS DEL PRIM.</t>
  </si>
  <si>
    <t>ADQUISICION DE FILTROS Y LUBRICANTES PARA MANTENIMIENTO DEL CAMION VOLQUETE VOLVO REG.2374.</t>
  </si>
  <si>
    <t>ADQUISICION DE FILTROS Y LUBRICANTES PARA EL CAMION VOLQUETE MACK REG.705.</t>
  </si>
  <si>
    <t>ADQUISICION DE MATERIAL DE PROTECCION PERSONAL PARA LOS TRABAJADORES DEL PRIM.</t>
  </si>
  <si>
    <t>ADQUISICION DE REPUESTOS PARA REPARACION ELECTRICA DEL CARGADOR FRONTAL JCB REG. 102.</t>
  </si>
  <si>
    <t>ADQUISICION DE REPUESTOS PARA REPARACION GENERAL DEL CARGADOR FRONTAL CATERPILLAR REG. 101.</t>
  </si>
  <si>
    <t>ADQUISICION DE REPUESTOS PARA REPARACION GENERAL DEL CARGADOR FRONTAL CATERPILLAR REG. 101</t>
  </si>
  <si>
    <t>PARA PAGO DE CONSUMO DE COMBUSTIBLE PETROLEO DIESEL B-5 PARA EL PROYECTO DE INVERSION "MEJORAMIENTO DE VIAS A NIVEL DE AFIRMADO DEL JR. CAPIRONA". DISTRITO DE YARINACOCHA-PROVINCIA DE CORONEL PORTILLO-DEPARTAMENTO DE UCAYALI.</t>
  </si>
  <si>
    <t>ADQUISICION DE 500 GALONES DE COMBUSTIBLE (GASOLINA DE 90 OCT.) PARA EL VEHICULO ASIGNADO A LA GERENCIA EJECUTIVA DEL PRIM.</t>
  </si>
  <si>
    <t>ADQUISICION DE 250 GALONES DE COMBUSTIBLE (GASOLINA DE 90 OCT.).</t>
  </si>
  <si>
    <t>ADQUISICION DE 200 GALONES DE COMBUSTIBLE DIESEL B-5.</t>
  </si>
  <si>
    <t>ADQ. DE ACEITES Y GRASAS PARA RELLENAR LOS SISTEMAS POR FUGAS EN MAQUINARIAS Y VEHICULOS</t>
  </si>
  <si>
    <t>ADQUISICION DE MATERIALES Y HERRAMIENTAS.</t>
  </si>
  <si>
    <t>ADQUISICION DE BIENES.</t>
  </si>
  <si>
    <t>ADQ. DE ACEITE Y FILTRO HIDRAULICO PARA LA MOTONIVELADORA NEW HOLLAND REG. 203</t>
  </si>
  <si>
    <t>ADQ. DE FILTROS Y LUBRICANTES PARA MANT. DEL CAMION VOLQ.  REG. 702</t>
  </si>
  <si>
    <t>ADQ. DE FILTROS Y LUBRICANTES PARA MANT. DEL CARGADOR FRONTAL REG. 102</t>
  </si>
  <si>
    <t>ADQ. DE BIENES (UTILES DE OFICINA)</t>
  </si>
  <si>
    <t>ADQ. DE 282.91 GALONES DE PETROLEO DIESEL B5</t>
  </si>
  <si>
    <t>ADQ. DE (420) COMBUSTIBLE - PETROLEO DIESEL B5 PARA LA ACTIV. META 010</t>
  </si>
  <si>
    <t>SERVICIOS</t>
  </si>
  <si>
    <t>REPARACION DE CAMION VOLQUETE MAC N°705</t>
  </si>
  <si>
    <t>SERVICIO EXTERNO PARA REPARACION DEL SISTEMA DE EMBRAGUE PARA EL CAMION VOLQ. HINO REG. 703</t>
  </si>
  <si>
    <t>SERVICIO EXTERNO PARA REPARACION GENERAL DEL MOTOR DEL CAMION VOLQ. REG. 703</t>
  </si>
  <si>
    <t>SERV.EXT. PARA REPARACION DEL SISTEMA DE FRENOS DEL CARGADOR FRONTAL REG. 102</t>
  </si>
  <si>
    <t>SERVICIO EXTERNO PARA REPARACION DE MOTOR PARA EL CARGADOR FRONTAL REG. 102</t>
  </si>
  <si>
    <t>SERVICIO EXTERNO EN REPARACION GENERAL DEL MOTOR PARA EL CAMION VOLQUETE REG. 702</t>
  </si>
  <si>
    <t>SERVICIO EXTERNO EN REPARACION DE BOMBA DE INYECTORES DE LA MOTONIVELADORA KOMATSU REG. 202</t>
  </si>
  <si>
    <t>SERVICIO EXTERNO EN REPARACION DEL SISTEMA DE TRANSMISION PARA EL CAMION VOLQ. REG. 705</t>
  </si>
  <si>
    <t>SERVICIO EXTERNO EN REPARACION DEL SISTEMA DE INYECCION DEL CAMION VOLQ. REG. 702</t>
  </si>
  <si>
    <t>SERVICIO EXTERNO EN REPARACION DEL SISTEMA DE INYECCION DEL CAMION VOLQ. REG. 703</t>
  </si>
  <si>
    <t>SERVICIO EXT. DE REPARACION DEL SISTEMA HIDRAULICO PARA EL RODILLO LISO REG. 015</t>
  </si>
  <si>
    <t>SERV. EXT. DE REPARACION GENERAL DEL MOTOR DEL CAMION VOLQ. HINO REG. 702</t>
  </si>
  <si>
    <t>IMPLEMENTACION DE SEGUROS DE VIDA LEY EN LA ENTIDAD A PARTIR DEL MES DE MARZO A DICIEMBRE DEL 2021.</t>
  </si>
  <si>
    <t>SERV. EXT. EN REPARACION DE BUGUIS DEL CAMION VOLQ. HINO REG. 702</t>
  </si>
  <si>
    <t>SERV. DE PLANCHADO Y PINTURA EN GENERAL A LA CAMIONETA TOYOTA HILLUX 4X4</t>
  </si>
  <si>
    <t>SERVICIO EXTERNO PARA REPARACION GENERAL DE LA BOMBA DE INYECCION DE LA MOTONIVELADORA KOMATSU REG. 201.</t>
  </si>
  <si>
    <t>SERVICIO EXTERNO EN REPARACION PARA LA BOMBA DE INYECCION PARA EL CARGADOR FRONTAL JCB REG. 102.</t>
  </si>
  <si>
    <t>SERVICIO EXTERNO PARA REPARACION DEL BALANCIN DEL SISTEMA DE TRANSMISION PARA EL TRACTOR ORUGA NEW HOLLAND REG. 301.</t>
  </si>
  <si>
    <t>SERVICIO EXTERNO PARA RECONSTRUIR CON FRESADORA DIENTES INFERIORES DE LA BASE DE DESLIZAMIENTO DE DISCO PARA CARGADOR FRONTAL JCB REG. 102.</t>
  </si>
  <si>
    <t>SERVICIO EXTERNO PARA RECONSTRUIR BASE DE MANDOS FINALES PARA CARGADOR FRONTAL JCB REG. 102.</t>
  </si>
  <si>
    <t>SERV. DE REPARACION DEL SISTEMA DE SUSPENSION PARA EL CAMION VOLQ. REG. 2374</t>
  </si>
  <si>
    <t>PARA REEMBOLSO DE FONDO FIJO PARA GASTOS EN EFECTIVO.</t>
  </si>
  <si>
    <t>REPARACION DE CINTURA DE DIRECCION, BOMBA HIDRAULICA Y CILINDROS HIDRAULICOS PARA EL CARGADOR FRONTAL JCB REG. 702.</t>
  </si>
  <si>
    <t>SERV. DE REPARACION DEL TREN DELANTERO PARA LA MOTONIVELADORA NEW HOLLAND REG. 203</t>
  </si>
  <si>
    <t>SERV. EXTERNO DE RECONSTRUCCION DE PISTONES DE FRENO PARA LA MOTONIVELADORA NEW HOLLAND REG. 203</t>
  </si>
  <si>
    <t>SERV. EXT. DE REPARACION DEL SISTEMA DE FRENOS DE 02 RUEDAS POSTERIORES DEL CARGADOR FRONTAL REG. 102</t>
  </si>
  <si>
    <t>SERV. DE TRANSPORTE DE MATERIAL AGREGADO</t>
  </si>
  <si>
    <t>SERV. DE TRANSPORTE DE MATERIAL PARA AFIRMADO ( MATERIAL DE CERRO) PARA LA ACTIV. DE LA META 10</t>
  </si>
  <si>
    <t>SERV. DE TRANSPORTE DE MATERIAL PARA RELLENO (GREDA) PARA LA ACTIV. META 10</t>
  </si>
  <si>
    <t>UE DIRECCION REGIONAL DE SALUD</t>
  </si>
  <si>
    <t>SERVICIO DE ENERGIA ELECTRICA</t>
  </si>
  <si>
    <t>62 - Contrataciones hasta 8 UIT (LEY 30225)</t>
  </si>
  <si>
    <t>20232236273</t>
  </si>
  <si>
    <t>FINALIZADO</t>
  </si>
  <si>
    <t>29/01/2020</t>
  </si>
  <si>
    <t>Sin observaciones</t>
  </si>
  <si>
    <t>ADQUISICION DE MEDICAMENTOS</t>
  </si>
  <si>
    <t>10 - Deviene de Procesos de Selección</t>
  </si>
  <si>
    <t>LP N° 021-2018-CENARES/MIN</t>
  </si>
  <si>
    <t>20100018625</t>
  </si>
  <si>
    <t>03/02/2020</t>
  </si>
  <si>
    <t>ADQUISICIÓN DE MEDICAMENTOS</t>
  </si>
  <si>
    <t>20255361695</t>
  </si>
  <si>
    <t>ADQUISICION DE MATERIAL DE ESCRITORIO</t>
  </si>
  <si>
    <t>70 - Otras contrataciones sin proceso de selección previo</t>
  </si>
  <si>
    <t>10075053997</t>
  </si>
  <si>
    <t>10/02/2020</t>
  </si>
  <si>
    <t>ADQUISICION DE COMBUSTIBLE</t>
  </si>
  <si>
    <t>20393725843</t>
  </si>
  <si>
    <t>ADQUISICION DE INSUMOS PARA LABORATORIO</t>
  </si>
  <si>
    <t>20517745589</t>
  </si>
  <si>
    <t>ADQUISICION DE INSUMOS DE LABORATORIO</t>
  </si>
  <si>
    <t>ADQUISICION DE ACCESORIOS DE SEGURIDAD</t>
  </si>
  <si>
    <t>20602572162</t>
  </si>
  <si>
    <t>ADQUISICION DE TEXTILES</t>
  </si>
  <si>
    <t>20600308522</t>
  </si>
  <si>
    <t>ADQUISICION DE INSUMOS MEDICOS</t>
  </si>
  <si>
    <t>20393665093</t>
  </si>
  <si>
    <t>20/02/2020</t>
  </si>
  <si>
    <t>20100204330</t>
  </si>
  <si>
    <t>24/02/2020</t>
  </si>
  <si>
    <t>28/02/2020</t>
  </si>
  <si>
    <t>ADQUISICIÓN DE INSUMO MÉDICO</t>
  </si>
  <si>
    <t>ADQUISICION DE ACCESORIOS DE VEHICULOS</t>
  </si>
  <si>
    <t>02/03/2020</t>
  </si>
  <si>
    <t>ADQUISICIÓN DE FUAS PARA LOS EE.SS.</t>
  </si>
  <si>
    <t>10402237932</t>
  </si>
  <si>
    <t>12/03/2020</t>
  </si>
  <si>
    <t>CP N° 001-2020-DRSU</t>
  </si>
  <si>
    <t>CP N° 002-2020-DRSU</t>
  </si>
  <si>
    <t>13/03/2020</t>
  </si>
  <si>
    <t>16/03/2020</t>
  </si>
  <si>
    <t>ADQUISICION DE RECETAARIOS</t>
  </si>
  <si>
    <t>10053409224</t>
  </si>
  <si>
    <t>18/03/2020</t>
  </si>
  <si>
    <t>ADQUISICIÓN DE IMPLEMENTACIÓN DE EQUIPOS, PARA DISTRIBUIRLO EN LOS EE.SS, EN MIRA DEL CUMPLIMIENTO DE LOS INDICADORES DEL SIS</t>
  </si>
  <si>
    <t>ADQUISICION DE OXIGENO MEDICINAL</t>
  </si>
  <si>
    <t>20128905759</t>
  </si>
  <si>
    <t>20/03/2020</t>
  </si>
  <si>
    <t>ADQUISICIÓN DE EQUIPOS HEMOGLOBINOMETROS, QUE SERAN DISTRIBUIDOS A LOS DIFERENTES ESTABLECIMIENTOS DE SALUD.</t>
  </si>
  <si>
    <t>20501887286</t>
  </si>
  <si>
    <t>ADQUISICION DE PAPELERIA</t>
  </si>
  <si>
    <t>23/03/2020</t>
  </si>
  <si>
    <t>ADQUISICION DE UNIFORMES DE FAENA DAMA - PERSONAL ASISTENCIAL NOMBRADO PERIFERIE, DESTACADO</t>
  </si>
  <si>
    <t>10224878805</t>
  </si>
  <si>
    <t>ADQUISICION DE UNIFORMES CAS ADMINISTRATIVOS DAMA</t>
  </si>
  <si>
    <t>10427063149</t>
  </si>
  <si>
    <t>24/03/2020</t>
  </si>
  <si>
    <t>ADQUISICIÓN DE UNIFORMES PARA EL PERSONAL CAS ADMINISTRATIVO, ASISTENCIAL NOMBRADO LAB. ADM - MASCULINO</t>
  </si>
  <si>
    <t>20393915626</t>
  </si>
  <si>
    <t>ADQUISICION DE UNIFORMES DE FAENA CABALLERO - PERSONAL ASISTENCIAL NOMBRADO PERIFERIE</t>
  </si>
  <si>
    <t>CP N° 005-2020-DRSU</t>
  </si>
  <si>
    <t>25/03/2020</t>
  </si>
  <si>
    <t>ADQUISICION DE INSUMOS</t>
  </si>
  <si>
    <t>CP N° 004-2020-DRSU</t>
  </si>
  <si>
    <t>ADQUISICION DE MATERIAL DE LIMPIEZA - CONTROL PREV. CANCER</t>
  </si>
  <si>
    <t>26/03/2020</t>
  </si>
  <si>
    <t>10424641290</t>
  </si>
  <si>
    <t>ADQUISICION DE MOBILIARIO</t>
  </si>
  <si>
    <t>10710200438</t>
  </si>
  <si>
    <t>27/03/2020</t>
  </si>
  <si>
    <t>ADQUISICION DE MATERIALES DE LIMPIEZA</t>
  </si>
  <si>
    <t>10636922213</t>
  </si>
  <si>
    <t>20605781978</t>
  </si>
  <si>
    <t>ADQUISICION DE INSUMOS MEDICOS PARA AFRONTAR LA EMERGENCIA SANITARIA DEL COVID-19</t>
  </si>
  <si>
    <t>28/03/2020</t>
  </si>
  <si>
    <t>PEDIDO QUE SERA UTILIZADO PARA LAS DIVERSAS ACTIVIDADES DEL COVID-19-EMERGENCIA SANITARIA</t>
  </si>
  <si>
    <t>10730278999</t>
  </si>
  <si>
    <t>ADQUISICIÓN PARA SER UTILIZADO EN LAS DIFERENTES ACTIVIDADES DE EMERGENCIA SANITARIA, PARA FRONTAR EL COVID-19</t>
  </si>
  <si>
    <t>30/03/2020</t>
  </si>
  <si>
    <t>ADQUISICION QUÉ SERÁ UTILIZADO PARA LAS DIVERSAS ACTIVIDADES PARA EMERGENCIA SANITARIA DEL COVID-19.</t>
  </si>
  <si>
    <t>20393722071</t>
  </si>
  <si>
    <t>ADQUISICIÓN PARA  ACTIVIDADES COVID -19 EMERGENCIA SANITARIA</t>
  </si>
  <si>
    <t>ADQUISICION PARA AFRONTAR EL COVID-19. EMERGENCIA SANITARIA.</t>
  </si>
  <si>
    <t>20 - Deviene de Exoneraciones / Contratación Directa</t>
  </si>
  <si>
    <t>CD N° 04-2020-GRU</t>
  </si>
  <si>
    <t xml:space="preserve"> DISTRIBUIDO EN LOS EE.SS. DE LA RED FEDERIO BASADRE. PARA  AFRONTAR EL COVID -19/ MARCO DEL D.S.N° 008-2020-SA, EMERGENCIA SANITARIA COVID-19</t>
  </si>
  <si>
    <t>31/03/2020</t>
  </si>
  <si>
    <t>ADQUISICION PARA AFRONTAR LA EMERGENCIA SANITARIA DEL COVID-19</t>
  </si>
  <si>
    <t>CD N° 07-2020-GRU</t>
  </si>
  <si>
    <t>ADQUISICION DE APARATOS MEDICOS</t>
  </si>
  <si>
    <t>ADQUISICION DE MATERIAL DE LIMPIEZA PARA AFRONTAR LA EMERGENCIA SANITARIA DEL COVID-19</t>
  </si>
  <si>
    <t>SERVICIO DEL ALQUILER DE CAMION</t>
  </si>
  <si>
    <t>20394073025</t>
  </si>
  <si>
    <t>SERVICIO DE DIFUSION DE SPOST PUBLICITARIOS</t>
  </si>
  <si>
    <t>20351913569</t>
  </si>
  <si>
    <t>SERVICIO DE MANTENIMIENTO</t>
  </si>
  <si>
    <t>20601908566</t>
  </si>
  <si>
    <t>ALQUILER DE TRANSPORTE</t>
  </si>
  <si>
    <t>CP N° 003-2020-GRU-DRSU-OEC</t>
  </si>
  <si>
    <t>20393667118</t>
  </si>
  <si>
    <t>SERVICIO DE IMPRESION EN GENERAL PARA ACTIVIDADES DEL COVID-19</t>
  </si>
  <si>
    <t>20393564572</t>
  </si>
  <si>
    <t>MANTENIMEINTO DE CORRECTIVO DE VEHICULO</t>
  </si>
  <si>
    <t>10459513944</t>
  </si>
  <si>
    <t>EQUIPOS PARA REPARTIR A LOS ESTABLECIMIENTOS DE SALUD EN EL MARCO DEL DS N° 044-2020-PCM (COVID</t>
  </si>
  <si>
    <t>EQUIPOS PARA REPARTIR A LOS ESTABLECIMIENTOS DE SALUD EN EL MARCO DEL D S N° 044-2020-PCM, EMERGENCIA  COVID-19.</t>
  </si>
  <si>
    <t>ADQUISICION DE PRODUCTOS FARMACEUTICOS</t>
  </si>
  <si>
    <t>CD N° 15-2020-GRU</t>
  </si>
  <si>
    <t>20509882101</t>
  </si>
  <si>
    <t>ADQUISICION DE MEDICAMENTOS PARA LOS PACIENTES ASEGURADOS DEL SIS Y DISTRIBUCION A LOS EE.SS.</t>
  </si>
  <si>
    <t>20536598708</t>
  </si>
  <si>
    <t>20381450377</t>
  </si>
  <si>
    <t>20478223863</t>
  </si>
  <si>
    <t>ADQUISICION DE ALIMENTOS</t>
  </si>
  <si>
    <t>AS N° 001-2020-DRSU</t>
  </si>
  <si>
    <t>10001187479</t>
  </si>
  <si>
    <t>AS N° 002-2020-DRSU</t>
  </si>
  <si>
    <t>20393798727</t>
  </si>
  <si>
    <t>CD N° 13-2020-GRU</t>
  </si>
  <si>
    <t>CD N° 12-2020-GRU</t>
  </si>
  <si>
    <t>20565831900</t>
  </si>
  <si>
    <t>ADQUISICION DE COMPUTO</t>
  </si>
  <si>
    <t>20393968231</t>
  </si>
  <si>
    <t>ADQUISICION DE CARPAS PARA  ASISTENCIA FRENTE A EMERGENCIAS Y DESASTRES</t>
  </si>
  <si>
    <t>10001229007</t>
  </si>
  <si>
    <t>ADQUISICION REGIONAL DE INSUMOS MEDICOS, EN EL MARCO DEL D.S. N°008-2020-SA. DE LA EMERGENCIAS</t>
  </si>
  <si>
    <t>CD N° 11-2020-GRU</t>
  </si>
  <si>
    <t>ADQUISICION DE MEDICAMENTOS, EN EL MARCO DEL D.S.N° 008-2020-SA. DE LA  EMERFGENCIA SANITARIA,</t>
  </si>
  <si>
    <t>CD N° 22-2020-GRU</t>
  </si>
  <si>
    <t>ADQUISICIÓN DE SERVICO DE ALIMENTACION AL PERSONAL DE SALUD COVID-19, EQUIPOS DE RESPUESTA RAPIDA, LEVANTAMIENTO DE CADÁVERES,ETC, EMRGENCIA COVID-19.</t>
  </si>
  <si>
    <t>10443831822</t>
  </si>
  <si>
    <t>REALIZAR EL MANTENIMIENTO CORRECTIVO DE LA AMBULANCIA DEL C.S. MONTE ALEGRE QUE ATIENDEN A LOS ASEGURADOS DEL SIS.</t>
  </si>
  <si>
    <t>SERVICIO DIVERSOS</t>
  </si>
  <si>
    <t>CD N° 19-2020-GRU</t>
  </si>
  <si>
    <t>20394070191</t>
  </si>
  <si>
    <t>SERVICIO DE MANTENIMIENTO DE INFRAESTRUCTURA</t>
  </si>
  <si>
    <t>20603147759</t>
  </si>
  <si>
    <t>20603958587</t>
  </si>
  <si>
    <t>07/05/2020</t>
  </si>
  <si>
    <t>08/05/2020</t>
  </si>
  <si>
    <t>18/05/2020</t>
  </si>
  <si>
    <t>19/05/2020</t>
  </si>
  <si>
    <t>20/05/2020</t>
  </si>
  <si>
    <t>21/05/2020</t>
  </si>
  <si>
    <t>22/05/2020</t>
  </si>
  <si>
    <t>SIE N° 021-2018-CENARES/MIN</t>
  </si>
  <si>
    <t>20482137319</t>
  </si>
  <si>
    <t>27/05/2020</t>
  </si>
  <si>
    <t>CD N° 16-2020-GRU</t>
  </si>
  <si>
    <t>ADQUISICION REGIONAL  DE INSUMOS DE EPP - COVID-19</t>
  </si>
  <si>
    <t>CD N° 17-2020-GRU</t>
  </si>
  <si>
    <t>28/05/2020</t>
  </si>
  <si>
    <t>ADQUISICION REGIONAL DE INSUMOS MEDICOS, EN EL MARCO AL D.S. N°008-2020-SA. EMERGENCIA SANITARIA.</t>
  </si>
  <si>
    <t>ADQUISICION DE BALONES DE OXIGNENO, PARA SER DESTINADOS PARA USO DE LOS PACIENTES COVID</t>
  </si>
  <si>
    <t>CD N° 23-2020-GRU</t>
  </si>
  <si>
    <t>SERVICIO DE ALIMENTACION DE PERSONAS</t>
  </si>
  <si>
    <t>SERVICIO MANTENIMIENTO CORRECTIVO</t>
  </si>
  <si>
    <t>20393999544</t>
  </si>
  <si>
    <t>02/06/2020</t>
  </si>
  <si>
    <t>03/06/2020</t>
  </si>
  <si>
    <t>ADQUISICION DE RECETAS UNICA ESTANDARIZADA PARA LOS ESTABLECIMIENTOS DE SALUD DE DIRESA UCAYALI.</t>
  </si>
  <si>
    <t>04/06/2020</t>
  </si>
  <si>
    <t>ADQUISICION DE UNIFORMES DE FAENA  ASISTENCIALES PERIFERIE, DESTACADOS</t>
  </si>
  <si>
    <t>10763688815</t>
  </si>
  <si>
    <t>05/06/2020</t>
  </si>
  <si>
    <t>ADQUISICIÓN DE UNIFORMES ASISTENCIALES - PERIFERIE / CABALLEROS</t>
  </si>
  <si>
    <t>20536390201</t>
  </si>
  <si>
    <t>08/06/2020</t>
  </si>
  <si>
    <t>LP N° 017-2017-CENARES/MIN</t>
  </si>
  <si>
    <t>20471476898</t>
  </si>
  <si>
    <t>ADQUISICION DE INSUMO MEDICOS</t>
  </si>
  <si>
    <t>SIE N° 012-2018-CENARES/MIN</t>
  </si>
  <si>
    <t>CD N° 25-2020-GRU</t>
  </si>
  <si>
    <t>20550531543</t>
  </si>
  <si>
    <t>10/06/2020</t>
  </si>
  <si>
    <t>ADQUISICION DE BIEN DE CAPITAL</t>
  </si>
  <si>
    <t>61 - Derivado de contratación por catálogo electrónico</t>
  </si>
  <si>
    <t>12/06/2020</t>
  </si>
  <si>
    <t>ADQUISICIÓN PARA SER DISTRIBUDO EN LOS EE.SS DE LA RED FEDERICO BASADRE PARA LA ATENCION DE LOS ASEGURADOS</t>
  </si>
  <si>
    <t>20602332293</t>
  </si>
  <si>
    <t>ADQUISICION DE INSUMOS DE BIOSEGURIDAD PARA EL EQUIPO DE RESPUESTA RAPIDA DEL COVID-19.</t>
  </si>
  <si>
    <t>20524839645</t>
  </si>
  <si>
    <t>23/06/2020</t>
  </si>
  <si>
    <t>30/06/2020</t>
  </si>
  <si>
    <t>ADQUISCION DE MEDICAMENTOS</t>
  </si>
  <si>
    <t>SERVICIO DE MANTENIMIENTO CORRECTIVO AMBULANCIA CS. NUEVA REQUENA PLACA EUC 923.</t>
  </si>
  <si>
    <t>01/06/2020</t>
  </si>
  <si>
    <t>SERVICIO DE CONTRATACION DE PERSONA JURIDICA, PARA EL TRASLADO DEL PERSONAL DEL EQUIPO DE RESPUESTA RAPIDA EN EL MARCO DE ATENCION AL DECRETO DE EMERGENCIA SANITARIA COVID-19</t>
  </si>
  <si>
    <t>20601590230</t>
  </si>
  <si>
    <t>SERVICIO DE ADECUACION DE AMBIENTES DE LABORATORIO REFERENCIAL</t>
  </si>
  <si>
    <t>20604777888</t>
  </si>
  <si>
    <t>PEDIDO QUE SERA UTILIZADO PARA EL SERVICIO DE MANTENIMIENTO DEL PUESTO DE SALUD "EL MILAGRO" KM 83.</t>
  </si>
  <si>
    <t>10702331761</t>
  </si>
  <si>
    <t>ADQUISICIÓN DE SERVICIO QUE SERA UTILIZADO PARA LA  ATENCION DE ALIMENTOS EN LA COBERTURA COVID-19.</t>
  </si>
  <si>
    <t>02/07/2020</t>
  </si>
  <si>
    <t>ADQUISICION  DE OXIGENO MEDICINAL PARA LA DISTRIBUCION A LOS ESTABLECIMIENTOS DE SALUD DE LA DIRESA UCAYALI.</t>
  </si>
  <si>
    <t>20338570041</t>
  </si>
  <si>
    <t>06/07/2020</t>
  </si>
  <si>
    <t>15/07/2020</t>
  </si>
  <si>
    <t>LP N° 014-2019-CENARES/MIN</t>
  </si>
  <si>
    <t>20136961528</t>
  </si>
  <si>
    <t>21/07/2020</t>
  </si>
  <si>
    <t>ADQUISICION DE UNIFORMES PARA EL PERSONAL DE CAS ADMINISTRATIVOS</t>
  </si>
  <si>
    <t>10405176021</t>
  </si>
  <si>
    <t>24/07/2020</t>
  </si>
  <si>
    <t>27/07/2020</t>
  </si>
  <si>
    <t>ADQUISICION REGIONAL DE MANDILES DESCARTABLES NO ESTÉRILES(ASÉPTICOS) EN EL D.S. N°008-2020-SA,A FIN DE GARANTIZAR EL ABAST. EN LOS ESTABLECIMIENTOS DE SALUD DE LA DIRECCIÓN REGIONAL DE SALUD DE UCAY.</t>
  </si>
  <si>
    <t>CD N° 24-2020-GRU</t>
  </si>
  <si>
    <t>ALOJAMIEINTO DE PERSONAL QUE REALIZARÁ INTERVENCIONES DE SALUD  A TRAVES DE PIAS AEREOS</t>
  </si>
  <si>
    <t>20351693003</t>
  </si>
  <si>
    <t>SERVICIO DE PUBLICIDAD POR DIFUSION MASIVA  DE MENSAJES EDUCATIVOS, INFORMATIVOS Y DE SENSIBILIDAD SOBRE LA PREVENCION DEL COVID-19.</t>
  </si>
  <si>
    <t>CD N° 26-2020-GRU</t>
  </si>
  <si>
    <t>20309676158</t>
  </si>
  <si>
    <t>22/07/2020</t>
  </si>
  <si>
    <t>SERVICIO PARA LA  ATENCIÓN DE ALIMENTOS EN LA COBERTURA DE LA EMERGENCIA SANITARIA COVID-19.</t>
  </si>
  <si>
    <t>ADQUISICION DE CONBUSTIBLE PARA LAS ACTIVIDADES DE LA COORDINACION DE PUEBLOS INDIGENAS AMAZONICOS.</t>
  </si>
  <si>
    <t>10000873301</t>
  </si>
  <si>
    <t>ADQUISICION DE ALIMENTOS Y BEBIDAS</t>
  </si>
  <si>
    <t>10707946224</t>
  </si>
  <si>
    <t>10/08/2020</t>
  </si>
  <si>
    <t>11/08/2020</t>
  </si>
  <si>
    <t>ADQUISICIÓN DE PRODUCTOS QUE SERÁN DISTRIBUIDOS PARA LA ATENCIÓN EN COMUNIDADES INDÍGENAS, EMERGENCIA COVID-19.</t>
  </si>
  <si>
    <t>10462363104</t>
  </si>
  <si>
    <t>12/08/2020</t>
  </si>
  <si>
    <t>ADQUISICION DE REPUESTOS INFORMATICOS - SALUD SEXUAL REPRODUCTIVA</t>
  </si>
  <si>
    <t>10415769739</t>
  </si>
  <si>
    <t>19/08/2020</t>
  </si>
  <si>
    <t>27/08/2020</t>
  </si>
  <si>
    <t>SERVICO DE ALTAS MEDICAS</t>
  </si>
  <si>
    <t>20603132859</t>
  </si>
  <si>
    <t>07/08/2020</t>
  </si>
  <si>
    <t>ADQUISICION DE EQUIPOS E INSTRUMENTOS DE MEDICION</t>
  </si>
  <si>
    <t>10403529350</t>
  </si>
  <si>
    <t>02/09/2020</t>
  </si>
  <si>
    <t>10200110361</t>
  </si>
  <si>
    <t>03/09/2020</t>
  </si>
  <si>
    <t>ADQUISICION DE MATERIALES DE LIMPIEZA Y ASEO</t>
  </si>
  <si>
    <t>20602350135</t>
  </si>
  <si>
    <t>04/09/2020</t>
  </si>
  <si>
    <t>ADQUISICION DE MOBILIARIOS</t>
  </si>
  <si>
    <t>10000196610</t>
  </si>
  <si>
    <t>ADQUISICION REGIONAL DE INSUMOS DE LABORATORIO</t>
  </si>
  <si>
    <t>07/09/2020</t>
  </si>
  <si>
    <t>ADQUISICION DE RECETA UNICA ESTANDARIZADA</t>
  </si>
  <si>
    <t>ADQUISICION DE MATERIAL DE ASEO Y LIMPIEZA</t>
  </si>
  <si>
    <t>08/09/2020</t>
  </si>
  <si>
    <t>ADQUISICION DE ACESORIOS</t>
  </si>
  <si>
    <t>ADQUISICION DE MOBILIARIO HOSPITALARIO</t>
  </si>
  <si>
    <t>ADQUISICION DE BIEN</t>
  </si>
  <si>
    <t>10414268353</t>
  </si>
  <si>
    <t>10/09/2020</t>
  </si>
  <si>
    <t>ADQUISICION DE VEHICULO DE TRANSPORTE TERRESTRE</t>
  </si>
  <si>
    <t>20393528002</t>
  </si>
  <si>
    <t>16/09/2020</t>
  </si>
  <si>
    <t>ADQUISICIÓN REGIONAL DE INSUMO PARA EL LABORATORIO REFERENCIAL PARA EL BROTE DEL DENGUE</t>
  </si>
  <si>
    <t>18/09/2020</t>
  </si>
  <si>
    <t>ADQUISICION DE VEHICULO DE TRASPORTE TERRESTRE</t>
  </si>
  <si>
    <t>22/09/2020</t>
  </si>
  <si>
    <t>CD N° 28-2020-GRU</t>
  </si>
  <si>
    <t>28/09/2020</t>
  </si>
  <si>
    <t>ADQUISICION DE ACIDO DESINFECTANTE</t>
  </si>
  <si>
    <t>CD N° 27-2020-GRU</t>
  </si>
  <si>
    <t>ADQUISICIONDE PRODUCTOS DE ASEO Y LIMPIEZA</t>
  </si>
  <si>
    <t>CD N° 33-2020-GRU</t>
  </si>
  <si>
    <t>10722055701</t>
  </si>
  <si>
    <t>30/09/2020</t>
  </si>
  <si>
    <t>ADQUISICION DE MATERIAL DE LIMPIEZA</t>
  </si>
  <si>
    <t>ADQUISICION DE PRODUCTOS SANITARIOS</t>
  </si>
  <si>
    <t>CD N° 29-2020-GRU</t>
  </si>
  <si>
    <t>SERVICIO DE ACONDICIONAMIENTO DE LA FARMACIA ESPECIALIZADA SOLIDARIA DIREMID-MPCP- DIRESA</t>
  </si>
  <si>
    <t>MANTENIMIENTO CORRECTIVO DE AMBULANCIA</t>
  </si>
  <si>
    <t>ALQUILER DE VEHICULO PARA EL TRASLADO DE ATAUDES ( CADAVERES), EN EL ,MANEJO DE CADAVERES COVID-19 EN LOS MESES JUNIO Y JULIO DEL 2020.</t>
  </si>
  <si>
    <t>10715871489</t>
  </si>
  <si>
    <t xml:space="preserve"> SERVICIO DE ENERGIA ELECTRICA</t>
  </si>
  <si>
    <t>SERVICIO DE ALOJAMIENTO Y ALIMENTACION</t>
  </si>
  <si>
    <t>20393463202</t>
  </si>
  <si>
    <t>"ADQUISICIÓN DE REQUERIMIENTO DE PRODUCTOS PERECIBLES Y NO PERECIBLES PARA EL CAN N°18"</t>
  </si>
  <si>
    <t>20393782481</t>
  </si>
  <si>
    <t>01/10/2020</t>
  </si>
  <si>
    <t>SIE N° 002-2020-DRSU</t>
  </si>
  <si>
    <t>20351664674</t>
  </si>
  <si>
    <t>SIE N° 013-2019-CENARES/MIN</t>
  </si>
  <si>
    <t>ADQUISICIION DE MEDICAMENTOS</t>
  </si>
  <si>
    <t>CD N° 31-2020-GRU</t>
  </si>
  <si>
    <t>20393693208</t>
  </si>
  <si>
    <t>02/10/2020</t>
  </si>
  <si>
    <t>ADQUISICION DE VESTUARIO</t>
  </si>
  <si>
    <t>20601577756</t>
  </si>
  <si>
    <t>05/10/2020</t>
  </si>
  <si>
    <t>06/10/2020</t>
  </si>
  <si>
    <t>ADQUISICIÓN  QUE SERÁ UTILIZADO PARA LA PREPARACIÓN DE ALIMENTOS DEL CAN N° 18</t>
  </si>
  <si>
    <t>20604383740</t>
  </si>
  <si>
    <t>07/10/2020</t>
  </si>
  <si>
    <t>ADQUISICION DE PARIHUELAS PARA LOS ESTABLECIMIENTOS DE SALUD Y ALMACEN ESPECIALIZADO DE MEDICAM</t>
  </si>
  <si>
    <t>08/10/2020</t>
  </si>
  <si>
    <t>SIE N° 001-2020-DRSU</t>
  </si>
  <si>
    <t>ADQUISICION DE DISPOSITIVOS MEDICOS</t>
  </si>
  <si>
    <t>CD N° 35-2020-GRU</t>
  </si>
  <si>
    <t>09/10/2020</t>
  </si>
  <si>
    <t>CD N° 36-2020-GRU</t>
  </si>
  <si>
    <t>15/10/2020</t>
  </si>
  <si>
    <t>CD N° 34-2020-GRU</t>
  </si>
  <si>
    <t>10435768071</t>
  </si>
  <si>
    <t>CD N° 37-2020-GRU</t>
  </si>
  <si>
    <t>ADQUISCION DE ALIMENTOS</t>
  </si>
  <si>
    <t>16/10/2020</t>
  </si>
  <si>
    <t>19/10/2020</t>
  </si>
  <si>
    <t>ADQUISIICION DE MEDICAMENTOS</t>
  </si>
  <si>
    <t>ADQUISICIÓN PARA LA IMPLEMENTACIÓN DEL CSMC, APROBADO CON D.U. Nº102-2020</t>
  </si>
  <si>
    <t>29/10/2020</t>
  </si>
  <si>
    <t>SERVICIO DE ENERGIA ELECTRICA DE LOS ESTABLECIMIENTOS DE SALUD</t>
  </si>
  <si>
    <t>SERVICIO DE ENERGIA ELECTRICA DE LAS OFICINAS ADMINISTRATIVAS</t>
  </si>
  <si>
    <t>SERVICIO DE ENERGIA ELECTRICA DEL  CAN N° 18, DIRESA ALMACENES Y LABORATORIO REF</t>
  </si>
  <si>
    <t>23/10/2020</t>
  </si>
  <si>
    <t>SERVICIO DE ENERGIA ELECTRICA DE LAS OFICINAS ADMINISTRATIVAS (DESA, SEDE CENTRA</t>
  </si>
  <si>
    <t>SIE N° 021-2019-CENARES/MIN</t>
  </si>
  <si>
    <t>ADQUISICION DE INSECTICIDAD</t>
  </si>
  <si>
    <t>CD N° 39-2020-GRU</t>
  </si>
  <si>
    <t>10448067306</t>
  </si>
  <si>
    <t>17/11/2020</t>
  </si>
  <si>
    <t>CD N° 40-2020-GRU</t>
  </si>
  <si>
    <t>CD N° 42-2020-GRU</t>
  </si>
  <si>
    <t>CD N° 38-2020-GRU</t>
  </si>
  <si>
    <t>ADQUISICION REGIONAL DE INSUMO MEDICO - EQUIPO DE PROTECCION PERSONAL DE LA ESTARTEGIA SANITARIA</t>
  </si>
  <si>
    <t>20605321799</t>
  </si>
  <si>
    <t>23/11/2020</t>
  </si>
  <si>
    <t>CD N° 44-2020-GRU</t>
  </si>
  <si>
    <t>20602361161</t>
  </si>
  <si>
    <t>30/11/2020</t>
  </si>
  <si>
    <t>SERVICIO DE MANTENIMIENTO CORRECTIVO DE LA CAMIONEATA MARCA: TOYOTA HILUX, COLOR: AZUL,PLACA:PIF 669</t>
  </si>
  <si>
    <t>14/11/2020</t>
  </si>
  <si>
    <t>SERVICIO DE ACONDICIONAMIENTO PARA EL LABORATORIO DE PREPARADOS DE FORMULAS MAG</t>
  </si>
  <si>
    <t>10000637250</t>
  </si>
  <si>
    <t>25/11/2020</t>
  </si>
  <si>
    <t>10412758248</t>
  </si>
  <si>
    <t>04/12/2020</t>
  </si>
  <si>
    <t>CD N° 43-2020-GRU</t>
  </si>
  <si>
    <t>20601650216</t>
  </si>
  <si>
    <t>11/12/2020</t>
  </si>
  <si>
    <t>CD N° 45-2020-GRU</t>
  </si>
  <si>
    <t>21/12/2020</t>
  </si>
  <si>
    <t>ADQUISICIÓN REGIONAL DE INSUMOS DE EQUIPO DE PROTECCIÓN PERSONAL DE LA ESTRATEGIA SANITARIA ETA</t>
  </si>
  <si>
    <t>20604245983</t>
  </si>
  <si>
    <t>26/12/2020</t>
  </si>
  <si>
    <t>ADQUISICIÓN DE REFRIGERADORA CONSERVADORA DE REACTIVOS DE 500L PARA LA ATENCIÓN DE LOS ASEGURADOS DEL SIS</t>
  </si>
  <si>
    <t>ADQUISICIÓN REGIONAL DE INSUMOS DE LABORTAORIO PARA EL DIAGNOSTICO DE DENGUE DE LABORATORIO DE</t>
  </si>
  <si>
    <t>ADQUISICION DE INSUMOS ODONTOLOGICOS</t>
  </si>
  <si>
    <t>CD N° 46-2020-GRU</t>
  </si>
  <si>
    <t>20600654293</t>
  </si>
  <si>
    <t>28/12/2020</t>
  </si>
  <si>
    <t>CD N° 48-2020-GRU</t>
  </si>
  <si>
    <t>30/12/2020</t>
  </si>
  <si>
    <t>CP N° 007-2020-GRU-DRSU-OEC</t>
  </si>
  <si>
    <t>CP N° 006-2020-GRU-DRSU-OEC</t>
  </si>
  <si>
    <t>ADQUISICION DE MEDIAMENTOS</t>
  </si>
  <si>
    <t>10425339961</t>
  </si>
  <si>
    <t>31/12/2020</t>
  </si>
  <si>
    <t>ALQUILER DE VEHICULOS</t>
  </si>
  <si>
    <t>CD N° 41-2020-GRU</t>
  </si>
  <si>
    <t>20393999625</t>
  </si>
  <si>
    <t>19/12/2020</t>
  </si>
  <si>
    <t>SERVICIO DE INFRAESTRUCTURA</t>
  </si>
  <si>
    <t>CD N° 47-2020-GRU</t>
  </si>
  <si>
    <t>SERVICIO DE TELEFONIA FIJA 61-577619</t>
  </si>
  <si>
    <t>20100017491</t>
  </si>
  <si>
    <t>22/01/2021</t>
  </si>
  <si>
    <t>23/02/2021</t>
  </si>
  <si>
    <t>ALIMENTONS PARA EL CENTRO DE ALIMENTACION Y NUTRICION N° 18 PARA EL PERIODO ENERO - FEBRERO 202</t>
  </si>
  <si>
    <t>02/03/2021</t>
  </si>
  <si>
    <t>ADQUSICION DE MATERIAL DE LIMPIEZA</t>
  </si>
  <si>
    <t>10461622246</t>
  </si>
  <si>
    <t>12/03/2021</t>
  </si>
  <si>
    <t>10469872268</t>
  </si>
  <si>
    <t>ADQUSICION DE MATERIAL</t>
  </si>
  <si>
    <t>10707571581</t>
  </si>
  <si>
    <t>ADQUISICION DE ACCESORIOS DE COMPUTO</t>
  </si>
  <si>
    <t>26/03/2021</t>
  </si>
  <si>
    <t>CD N° 02-2021-GRU</t>
  </si>
  <si>
    <t>30/03/2021</t>
  </si>
  <si>
    <t>10001292094</t>
  </si>
  <si>
    <t>31/03/2021</t>
  </si>
  <si>
    <t>SERVICIO DE IMPRESIÓN</t>
  </si>
  <si>
    <t>SERVICIO DE FOTOCOPIADO</t>
  </si>
  <si>
    <t>20393660296</t>
  </si>
  <si>
    <t>22/03/2021</t>
  </si>
  <si>
    <t>05/04/2021</t>
  </si>
  <si>
    <t>ADQUISICION DE MECAMENTOS</t>
  </si>
  <si>
    <t>20440180044</t>
  </si>
  <si>
    <t>06/04/2021</t>
  </si>
  <si>
    <t>ADQUISICION DE EQUIPIOS</t>
  </si>
  <si>
    <t>ADQUISICION DE EQUIPOS</t>
  </si>
  <si>
    <t>ADQUISICION DE ENSERES</t>
  </si>
  <si>
    <t>20603246749</t>
  </si>
  <si>
    <t>LP N° 015-2019-CENARES/MIN</t>
  </si>
  <si>
    <t>12/04/2021</t>
  </si>
  <si>
    <t>20420035901</t>
  </si>
  <si>
    <t>13/04/2021</t>
  </si>
  <si>
    <t>S/ 35,000.00.MATERIALES PARA DISTRIBUIR A LOS DIFERENTES PUESTOS DE SALUD DE LA RED FEDERICO B</t>
  </si>
  <si>
    <t>PARA REALIZAR ATENCIONES EN LOS CENTROS DE SALUD MENTAL COMUNITARIO Y SERVICIOS DE SALUD MENTAL</t>
  </si>
  <si>
    <t>15/04/2021</t>
  </si>
  <si>
    <t>ADQUISICION DE BIENES DE CAPITAL</t>
  </si>
  <si>
    <t>10705748492</t>
  </si>
  <si>
    <t>ADQUSICION DE  EQUIPOS DE MEDICION PARA LOS SERVICIOS DE FARMACIA DE LOS ESTABLECIMIENTOS DE SA</t>
  </si>
  <si>
    <t>20602141676</t>
  </si>
  <si>
    <t>26/04/2021</t>
  </si>
  <si>
    <t>MATERIALES PARA DISTRIBUIR A LOS ESTABLECIMIENTOS DE SALUD DE LA RED FEDERICO BASADRE</t>
  </si>
  <si>
    <t>ADQUISICIÓN QUE VAN A SER DISTRIBUIDOS A LOS ESTABLECIMIENTOS DE SALUD RED FEDERICO BASADRE</t>
  </si>
  <si>
    <t>10000128665</t>
  </si>
  <si>
    <t>ADQUISICION DE VESTUARIOS</t>
  </si>
  <si>
    <t>29/04/2021</t>
  </si>
  <si>
    <t>SERVICIO DE DIFUSION</t>
  </si>
  <si>
    <t>SERVICIO DE ENERGIA ELECTRICA DE LOS ESTABLECIMIENTOS DE SALUD DE LA RED FEDERIC</t>
  </si>
  <si>
    <t>14/04/2021</t>
  </si>
  <si>
    <t>SERVICIO DE PUBLICIDAD</t>
  </si>
  <si>
    <t>VEHICULO (CAMIONETA) PARA EL TRABAJO DE RECOJO DE CADAVERES COVID - 19, DURANTE LOS MESES DE FE</t>
  </si>
  <si>
    <t>10435710889</t>
  </si>
  <si>
    <t>MARTHA MARIA</t>
  </si>
  <si>
    <t>10420335976</t>
  </si>
  <si>
    <t>30/04/2021</t>
  </si>
  <si>
    <t>ADQUISICION DE GUANTES QUIRURGICOS DESCARTABLES</t>
  </si>
  <si>
    <t>CD N° 04-2021-GRU</t>
  </si>
  <si>
    <t>03/05/2021</t>
  </si>
  <si>
    <t>BOLSA PARA EL LEVANTAMIENTO DE CADAVERES COVID-19 OFICIO N° 098-2021-GRU/DIRESAU/DG/DESA</t>
  </si>
  <si>
    <t>10412875813</t>
  </si>
  <si>
    <t>05/05/2021</t>
  </si>
  <si>
    <t>PRODUCTOS QUE SERAN DISTRIBUIDOS ALOS ESTABLECIMIENTOS DE SALUD RED FEDERICO BASA</t>
  </si>
  <si>
    <t>10446352909</t>
  </si>
  <si>
    <t>BIENES QUE SERAN DISTRIBUIDOS ALOS ESTABLECIMIENTOS DE SALUD RED FEDERICO BASADRE</t>
  </si>
  <si>
    <t>12/05/2021</t>
  </si>
  <si>
    <t>PRODUCTOS ADQUIRIDOS PARA SER DISTRIBUIDOS A LOS ESTABLECIMIENTOS DE SALUD AREA N</t>
  </si>
  <si>
    <t>10000764219</t>
  </si>
  <si>
    <t>INSUMOS MEDICOS</t>
  </si>
  <si>
    <t>INSUMO MEDICO</t>
  </si>
  <si>
    <t>LA COMPRA DE UN MODULO ARMABLE /PLEGABLE BIEN IMPLEMENTADO PARA EL USO EN ATENCION DE OBSERVACI</t>
  </si>
  <si>
    <t>20605048987</t>
  </si>
  <si>
    <t>19/05/2021</t>
  </si>
  <si>
    <t>INSECTICIDAD PARA LA CAMPAÑA  DE FUMIGACION</t>
  </si>
  <si>
    <t>20601553717</t>
  </si>
  <si>
    <t>20/05/2021</t>
  </si>
  <si>
    <t>25/05/2021</t>
  </si>
  <si>
    <t>26/05/2021</t>
  </si>
  <si>
    <t>LP N° 013-20219-CENARES/MIN</t>
  </si>
  <si>
    <t>MATERIAL DE LIMPIEZA</t>
  </si>
  <si>
    <t>20352438520</t>
  </si>
  <si>
    <t>27/05/2021</t>
  </si>
  <si>
    <t>ADQUISCION DE MOBILIARIO</t>
  </si>
  <si>
    <t>20555589574</t>
  </si>
  <si>
    <t>MANTENIMIENTO CORRECTIVO DE AMBULANCIA, MARCA TOYOTA HILUX COLOR BLANCO, PLACA N° EUF - 125, PA</t>
  </si>
  <si>
    <t>10200641821</t>
  </si>
  <si>
    <t>MANTENIMIENTO DE TERMONEBULIZADORAS DE LA DESA  PARA LA CAMPAÑA DE FUMIGACION</t>
  </si>
  <si>
    <t>SERVICIO DE IMPRESIONES QUE SERA DISTRIBUIDOS A LOS ESTABLECIMIENTOS DE SALUD RED</t>
  </si>
  <si>
    <t>20393259346</t>
  </si>
  <si>
    <t>SERVICIO DE ALOJAMIENTO</t>
  </si>
  <si>
    <t>20393846128</t>
  </si>
  <si>
    <t>SERVICIO DE TAMIZAJE</t>
  </si>
  <si>
    <t>10099396798</t>
  </si>
  <si>
    <t>SERVICIO DE IMPRESIONES</t>
  </si>
  <si>
    <t>31/05/2021</t>
  </si>
  <si>
    <t>ADQUISICON DE INSUMOS</t>
  </si>
  <si>
    <t>02/06/2021</t>
  </si>
  <si>
    <t>ADQUISICION ODONTOLOGICO</t>
  </si>
  <si>
    <t>03/06/2021</t>
  </si>
  <si>
    <t>20347268683</t>
  </si>
  <si>
    <t>ADQUISICION DE EQUIPOS DE COMUNICACIONES</t>
  </si>
  <si>
    <t>20393704099</t>
  </si>
  <si>
    <t>07/06/2021</t>
  </si>
  <si>
    <t>ADQUSICION DE TEXTILES</t>
  </si>
  <si>
    <t>10404731292</t>
  </si>
  <si>
    <t>08/06/2021</t>
  </si>
  <si>
    <t>ADQUISICION DE EPP</t>
  </si>
  <si>
    <t>10/06/2021</t>
  </si>
  <si>
    <t>ADQUSICION DE MEDICAMENTOS</t>
  </si>
  <si>
    <t>S/ 15,360.00.IMPLEMENTACION DEL PERSONAL DE LOS PUESTOS DE SALUD</t>
  </si>
  <si>
    <t>ADQUISICION DE ABARROTES</t>
  </si>
  <si>
    <t>11/06/2021</t>
  </si>
  <si>
    <t>ADQUISICION DE DISPOSITVO MEDICAO</t>
  </si>
  <si>
    <t>ADQUISICIÓN DE DISPOSITIVOS MEDICOS PARA LA DISTRIBUCIÓN A LOS ESTABLECIMIENTOS DE SALUD - UCAY</t>
  </si>
  <si>
    <t>ADQUISICIÓN DE PRODUCTOS FARMACEUTICOS PARA LA DISTRIBUCIÓN A LOS ESTABLECIMIENTOS DE SALUD - U</t>
  </si>
  <si>
    <t>20603136013</t>
  </si>
  <si>
    <t>14/06/2021</t>
  </si>
  <si>
    <t>CP N° 001-2021-GRU-DRSU-OEC</t>
  </si>
  <si>
    <t>15/06/2021</t>
  </si>
  <si>
    <t>CP N° 002-2021-GRU-DRSU-OEC</t>
  </si>
  <si>
    <t>25/06/2021</t>
  </si>
  <si>
    <t>SERVICIO DE HOSTING</t>
  </si>
  <si>
    <t>20604548277</t>
  </si>
  <si>
    <t>20605629394</t>
  </si>
  <si>
    <t>04/06/2021</t>
  </si>
  <si>
    <t>SERVICIOS DE IMPRESIONES</t>
  </si>
  <si>
    <t>01/07/2021</t>
  </si>
  <si>
    <t>ADQUISICION DE INSUMOS DE LABORATORIOS</t>
  </si>
  <si>
    <t>09/07/2021</t>
  </si>
  <si>
    <t>12/07/2021</t>
  </si>
  <si>
    <t>ADQUISICION DE EQUIPOS DE MEDICION</t>
  </si>
  <si>
    <t>ADQUISICIÓN DE ALCOHOL ETILICO</t>
  </si>
  <si>
    <t>16/07/2021</t>
  </si>
  <si>
    <t>ADQUISICION DE GAS PROPANO</t>
  </si>
  <si>
    <t>10000518781</t>
  </si>
  <si>
    <t>ADQUISICION DE OXIGENO</t>
  </si>
  <si>
    <t>CD N° 07-2021-GRU</t>
  </si>
  <si>
    <t>CD N° 08-2021-GRU</t>
  </si>
  <si>
    <t>22/07/2021</t>
  </si>
  <si>
    <t>23/07/2021</t>
  </si>
  <si>
    <t>AS N° 002-2021-DRSU</t>
  </si>
  <si>
    <t>20506744874</t>
  </si>
  <si>
    <t>26/07/2021</t>
  </si>
  <si>
    <t>20501543277</t>
  </si>
  <si>
    <t>30/07/2021</t>
  </si>
  <si>
    <t>10329000244</t>
  </si>
  <si>
    <t>05/07/2021</t>
  </si>
  <si>
    <t>SEGURO DE VIDA Y ACCIDENTES PERSONALES</t>
  </si>
  <si>
    <t>20601978572</t>
  </si>
  <si>
    <t>PRESTACIONES ECONOMICAS</t>
  </si>
  <si>
    <t>20454073143</t>
  </si>
  <si>
    <t>SERVICIO DE COURIER</t>
  </si>
  <si>
    <t>20393719444</t>
  </si>
  <si>
    <t>SERVICIO DE FLETE</t>
  </si>
  <si>
    <t>CD N° 06-2021-GRU</t>
  </si>
  <si>
    <t>02/08/2021</t>
  </si>
  <si>
    <t>03/08/2021</t>
  </si>
  <si>
    <t>05/08/2021</t>
  </si>
  <si>
    <t>06/08/2021</t>
  </si>
  <si>
    <t>ADQUISICIÓN DE INSUMOS PARA EL PROCESAMIENTO DE MUESTRAS DE ALIMENTOS, DEL LABORATORIO AMBIENTA</t>
  </si>
  <si>
    <t>20603940092</t>
  </si>
  <si>
    <t>12/08/2021</t>
  </si>
  <si>
    <t>13/08/2021</t>
  </si>
  <si>
    <t>ADQUISICION DE TRIPTICOS Y AFICHES</t>
  </si>
  <si>
    <t>18/08/2021</t>
  </si>
  <si>
    <t>ADQUISICION INSTITUCIONAL DE INSUMOS PARA LA ESTARATEGIA SALUD MENTAL PARA SER DISTRIBUIDOS A L</t>
  </si>
  <si>
    <t>19/08/2021</t>
  </si>
  <si>
    <t>23/08/2021</t>
  </si>
  <si>
    <t>SIE N° 003-2021-GRU-DRSU-OEC</t>
  </si>
  <si>
    <t>20501584623</t>
  </si>
  <si>
    <t>25/08/2021</t>
  </si>
  <si>
    <t>ADQUISICION DE PARIHUELAS DE PLASTICO</t>
  </si>
  <si>
    <t>26/08/2021</t>
  </si>
  <si>
    <t>ADQQUISICION DE MATERIALES IMPRESOS</t>
  </si>
  <si>
    <t>CD N° 11-2021-GRU</t>
  </si>
  <si>
    <t>27/08/2021</t>
  </si>
  <si>
    <t>SERVICIO DE IMPRESIONES EN GENERAL</t>
  </si>
  <si>
    <t>10067702242</t>
  </si>
  <si>
    <t>SERVICIO FLETE</t>
  </si>
  <si>
    <t>SERVICIO DE ALIMENTACIÓN DE PERSONA</t>
  </si>
  <si>
    <t>SERVICIO DE MANTENIMIENTO DE VEHICULO</t>
  </si>
  <si>
    <t>SERVICIO DE REFACCION</t>
  </si>
  <si>
    <t>20606017872</t>
  </si>
  <si>
    <t>24/08/2021</t>
  </si>
  <si>
    <t>31/08/2021</t>
  </si>
  <si>
    <t>SERVICIO DE ENERGIA ELECTRICA DE LAS OFICINAS ADMINISTRATIVAS (SEDE CENTRAL, DIR</t>
  </si>
  <si>
    <t>UE : HOSPTAL AMAZONICO</t>
  </si>
  <si>
    <t>ADQUISICION DE COMBUSTIBLE Y LUBRICANTES</t>
  </si>
  <si>
    <t>ADJUDICACION SIN PROCEDIMIENTO</t>
  </si>
  <si>
    <t>-------</t>
  </si>
  <si>
    <t>2 GAS DOMESTICO</t>
  </si>
  <si>
    <t>MACAVAL SERVISE SAC / 20462279991</t>
  </si>
  <si>
    <t>GAS DOMESTICO</t>
  </si>
  <si>
    <t>3 UTILES DE OFICINA</t>
  </si>
  <si>
    <t>VARIOS</t>
  </si>
  <si>
    <t xml:space="preserve">4 FOTOCOPIA </t>
  </si>
  <si>
    <t>5 IMPRRESIONES</t>
  </si>
  <si>
    <t>6 TONER</t>
  </si>
  <si>
    <t>7 TINTA</t>
  </si>
  <si>
    <t>8 PASAJES AEREOS</t>
  </si>
  <si>
    <t>ALFA VIAJES Y SERVICIOS GENERALES SAC / 20201382468</t>
  </si>
  <si>
    <t>COMPRA DE PASAJES AEREOS</t>
  </si>
  <si>
    <t>9 RESIDUOS SOLIDOS</t>
  </si>
  <si>
    <t>DIRECTA-PROC-5-2021-GRU-HAYA-OEC-1</t>
  </si>
  <si>
    <t xml:space="preserve">QHSE AMAZON SERVICES S.A.C / 20393953129
</t>
  </si>
  <si>
    <t>CONSENTIDO</t>
  </si>
  <si>
    <t>SERVICIO DE TRASLADO DE RESIDUOS SOLIDOS</t>
  </si>
  <si>
    <t>10 CURRIER</t>
  </si>
  <si>
    <t>G.N.G COURIER / 20393719444</t>
  </si>
  <si>
    <t>SERVICIO DE MENSAJERIA</t>
  </si>
  <si>
    <t>11 ALIMENTOS</t>
  </si>
  <si>
    <t>DIRECTA-PROC-3-2021-GRU-HAYA-OEC-1-1</t>
  </si>
  <si>
    <t>NUEVA ITALIA S.A.C. / 20393659522</t>
  </si>
  <si>
    <t>ADQUISICION DE FRUTAS</t>
  </si>
  <si>
    <t>ADQUISICION DE CARNES</t>
  </si>
  <si>
    <t>ASOC.DE LA AMAZONIA AGROP.SERRAN</t>
  </si>
  <si>
    <t>Y OTROS PORDUCTOS DE PRIMERA NECESIDAD</t>
  </si>
  <si>
    <t>COMERCIALIZADORA LA PAREJA SAC</t>
  </si>
  <si>
    <t>12 PLASTIQUERIA</t>
  </si>
  <si>
    <t>VELA ANGULO CRISTIAN JUNIOR / 10472456577</t>
  </si>
  <si>
    <t>COMPRA DE DESCARTABLES</t>
  </si>
  <si>
    <t>13 AGUA</t>
  </si>
  <si>
    <t>17, 406.50</t>
  </si>
  <si>
    <t xml:space="preserve">FONS VITAE/ 20603872208 </t>
  </si>
  <si>
    <t>COMPRA DE BIDONES DE AGUA</t>
  </si>
  <si>
    <t>14 OXIGENO MEDICINAL</t>
  </si>
  <si>
    <t>DIRECTA-PROC-6-2021-GRU-HAYA-OEC-1</t>
  </si>
  <si>
    <t>OXIGENO LORETO S.R.L. / 20128905759</t>
  </si>
  <si>
    <t xml:space="preserve">15/04/2021
</t>
  </si>
  <si>
    <t>12 OXIGENO MEDICINAL</t>
  </si>
  <si>
    <t>DIRECTA-PROC-1-2021-GRU-HAYA-OEC-2</t>
  </si>
  <si>
    <t xml:space="preserve"> 
04/03/2021</t>
  </si>
  <si>
    <t>UE:; GERENCIA TERRITORIAL PURUS</t>
  </si>
  <si>
    <t>SERVICIO DE TRANSPORTE AEREO DE CARGA PUCALLPA-PUERTO ESPERANZA-PURUS EN EJECUCION DEL PROYECTO/MCNDDI</t>
  </si>
  <si>
    <t>ASP</t>
  </si>
  <si>
    <t>CA</t>
  </si>
  <si>
    <t>O/S N° 028-2021</t>
  </si>
  <si>
    <t>S/. 11,800.00</t>
  </si>
  <si>
    <t>20602251871 TRANS SERVICE CARGO PAX S.A.C.</t>
  </si>
  <si>
    <t>APROBADO</t>
  </si>
  <si>
    <t>SIN OBSERVACIONES</t>
  </si>
  <si>
    <t>O/S N° 029-2021</t>
  </si>
  <si>
    <t>S/. 17,700.00</t>
  </si>
  <si>
    <t>SERVICIO DE CONSTRUCCION EMBARCACION DE FIERRO LISO CON MEDIDA DE 1.70 METROS DE ANCHO X 50 DE PUNTA X 12 METROS EN EJECUCION DEL PROYECTO/MCNDDI</t>
  </si>
  <si>
    <t>O/S N° 033-2021</t>
  </si>
  <si>
    <t>S/. 13,500.00</t>
  </si>
  <si>
    <t>10001912815 JAVIER RODRIGUEZ OLORTEGUI</t>
  </si>
  <si>
    <t>SERVICIO DE TRANSPORTE AEREO DE CARGA PUCALLPA-PUERTO ESPERANZA-PURUS</t>
  </si>
  <si>
    <t>O/S N° 046-2021</t>
  </si>
  <si>
    <t>S/. 14,750.00</t>
  </si>
  <si>
    <t>O/S N° 047-2021</t>
  </si>
  <si>
    <t>S/. 23,600.00</t>
  </si>
  <si>
    <t>SIE</t>
  </si>
  <si>
    <t>O/S N° 060-2021</t>
  </si>
  <si>
    <t>S/. 33,150.00</t>
  </si>
  <si>
    <t>SERVICIO DE CONTRATACION DE PERSONAL POR LOCACION EN EJECUCION DEL PROYECTO/MCNDDI</t>
  </si>
  <si>
    <t>O/S N° 063-2021</t>
  </si>
  <si>
    <t>S/. 5,000.00</t>
  </si>
  <si>
    <t>10716054352 ROY RENZO TUANAMA TANGOA</t>
  </si>
  <si>
    <t>O/S N° 064-2021</t>
  </si>
  <si>
    <t>10470062105 MUÑOZ NARCIZO MANUELA VIOLETA</t>
  </si>
  <si>
    <t>O/S N° 065-2021</t>
  </si>
  <si>
    <t>10466208308 JENA JIMENEZ SALINAS</t>
  </si>
  <si>
    <t>O/S N° 066-2021</t>
  </si>
  <si>
    <t>S/. 13,000.00</t>
  </si>
  <si>
    <t>SERVICIO DE ALQUILER DE VEHICULO MENOR MOTO FURGON CON CAPACIDAD DE CARGA 462 KG</t>
  </si>
  <si>
    <t>O/S N° 129-2021</t>
  </si>
  <si>
    <t>S/. 5,166.00</t>
  </si>
  <si>
    <t>10709475229 JUNIOR VELA FLORES</t>
  </si>
  <si>
    <t>O/S N° 130-2021</t>
  </si>
  <si>
    <t>S/. 13,246.09</t>
  </si>
  <si>
    <t>SERVICIOS PRESTADOS COMO NUTRICIONISTA PARA DESEMPEÑAR LABORES EN CAPACITACIONE Y SESIONES DEMOSTRATIVAS EN EL PROYECTO MEJORAMIENTO DE LAS CAPACIDADES NUTRICIONALES PARA DISMINUIR LA DESNUTRICION INFANTIL EN NIÑOS Y NIÑAS MENORES DE 5 AÑOS DE LAS CC.NN DE LA PROVINCIA DE PURUS EN LA GERENCIA TERRITORIAL DE PURUS CORRESPONDIENTE AL MES DE MAYO DEL 2021</t>
  </si>
  <si>
    <t>O/S N° 170-2021</t>
  </si>
  <si>
    <t>SERVICIOS PRESTADOS COMO JEFE (A) EN EL PROYECTO MEJORAMIENTO DE LAS CAPACIDADES NUTRICIONALES PARA DISMINUIR LA DESNUTRICION INFANTIL EN NIÑOS Y NIÑAS MENORES DE 5 AÑOS DE
LAS CC.NN DE LA PROVINCIA DE PURUS EN LA GERENCIA TERRITORIAL DE PURUS CORRESPONDIENTE AL MES DE MAYO DEL 2021</t>
  </si>
  <si>
    <t>O/S N° 180-2021</t>
  </si>
  <si>
    <t>SERVICIOS PRESTADOS COMO SUPERVISORA DEL PROYECTO MEJORAMIENTO DE LAS CAPACIDADES NUTRICIONALES PARA DISMINUIR LA DESNUTRICION INFANTIL EN NIÑOS Y NIÑAS MENORES DE 5 AÑOS DE LAS CC. NN DE LA PROVINCIA DE PURUS, REGION UCAYALI, CORRESPONDIENTE AL MES DE MAYO DEL 2021.</t>
  </si>
  <si>
    <t>O/S N° 181-2021</t>
  </si>
  <si>
    <t xml:space="preserve"> SERVICIO DE TRANSPORTE AEREO DE CARGA EN LA RUTA DE PUCALLPA - PUERTO ESPERANZA - PURUS, EQUIPOS, HERRAMIENTAS, MATERIALES ÚTILES DE OFICINA Y OTROS BIENES.</t>
  </si>
  <si>
    <t>O/S N°190-2021</t>
  </si>
  <si>
    <t>S/. 35,000.00</t>
  </si>
  <si>
    <t>10043148155 CESAR LUIS MARQUINA SOSA</t>
  </si>
  <si>
    <t>SERVICIOS PRESTADOS COMO JEFE (A) EN EL PROYECTO MEJORAMIENTO DE LAS CAPACIDADES NUTRICIONALES PARA DISMINUIR LA DESNUTRICION INFANTIL EN NIÑOS Y NIÑAS MENORES DE 5 AÑOS DE
LAS CC.NN DE LA PROVINCIA DE PURUS EN LA GERENCIA TERRITORIAL DE PURUS CORRESPONDIENTE AL MES DE JUNIO DEL 2021</t>
  </si>
  <si>
    <t>O/S 191</t>
  </si>
  <si>
    <t xml:space="preserve"> SERVICIOS PRESTADOS COMO SUPERVISORA DEL PROYECTO MEJORAMIENTO DE LAS CAPACIDADES NUTRICIONALES PARA DISMINUIR LA DESNUTRICION INFANTIL EN NIÑOS Y NIÑAS MENORES DE 5 AÑOS DE LAS CC. NN DE LA PROVINCIA DE PURUS, REGION UCAYALI, CORRESPONDIENTE AL MES DE JUNIO DEL 2021.</t>
  </si>
  <si>
    <t>O/S 192</t>
  </si>
  <si>
    <t>SERVICIOS PRESTADOS COMO NUTRICIONISTA PARA DESEMPEÑAR LABORES EN CAPACITACIONE Y SESIONES DEMOSTRATIVAS EN EL PROYECTO MEJORAMIENTO DE LAS CAPACIDADES NUTRICIONALES PARA DISMINUIR LA DESNUTRICION INFANTIL EN NIÑOS Y NIÑAS MENORES DE 5 AÑOS DE LAS CC.NN DE LA PROVINCIA DE PURUS EN LA GERENCIA TERRITORIAL DE PURUS CORRESPONDIENTE AL MES DE JUNIO DEL 2021</t>
  </si>
  <si>
    <t>O/S 200</t>
  </si>
  <si>
    <t>SERVICIO DE TRANSPORTE AEREO EN LA RUTA PUCALLPA - PURUS, EN REFERENCIA AL ESTUDIO DEFINITIVO DE IOARR "ADQUISICION DE MOTONAVE FLUVIAL, EN EL (LA) IE SAN BERNARDO - B - PURÚS EN LA LOCALIDAD SAN BERNARDO, DISTRITO DE PURÚRS, PROVINCIA DE PURÚS, DEPARTAMENTO DE UCAYALI" CON CÓDIGO ÚNICO 2516325.</t>
  </si>
  <si>
    <t>O/S 216</t>
  </si>
  <si>
    <t>S/.31,500.00</t>
  </si>
  <si>
    <t>10426451820 ELVIS ROLY SERRUCHE AREVALO</t>
  </si>
  <si>
    <t>SERVICIO DE ELABORACION Y SEGUIMIENTO DE PLAN COVID - 19, EN REFERENCIA AL ESTUDIO DEFINITIVO DE IOARR "ADQUISICION DE MOTONAVE FLUVIAL, EN EL (LA) IE SAN BERNARDO - B - PURÚS EN LA LOCALIDAD SAN BERNARDO, DISTRITO DE PURÚRS, PROVINCIA DE PURÚS, DEPARTAMENTO DE UCAYALI" CON CÓDIGO ÚNICO 2516325.</t>
  </si>
  <si>
    <t>O/S 218</t>
  </si>
  <si>
    <t>S/. 15,000.00</t>
  </si>
  <si>
    <t>10461312221 DONICIO JUANITO AGUILAR HARO</t>
  </si>
  <si>
    <t>O/S 235</t>
  </si>
  <si>
    <t>SERVICIOS PRESTADOS COMO JEFE (A) EN EL PROYECTO MEJORAMIENTO DE LAS CAPACIDADES NUTRICIONALES PARA DISMINUIR LA DESNUTRICION INFANTIL EN NIÑOS Y NIÑAS MENORES DE 5 AÑOS DE
LAS CC.NN DE LA PROVINCIA DE PURUS EN LA GERENCIA TERRITORIAL DE PURUS CORRESPONDIENTE AL MES DE JULIO DEL 2021</t>
  </si>
  <si>
    <t>O/S 237</t>
  </si>
  <si>
    <t>SERVICIOS PRESTADOS COMO SUPERVISORA DEL PROYECTO MEJORAMIENTO DE LAS CAPACIDADES NUTRICIONALES PARA DISMINUIR LA DESNUTRICION INFANTIL EN NIÑOS Y NIÑAS MENORES DE 5 AÑOS DE LAS CC. NN DE LA PROVINCIA DE PURUS, REGION UCAYALI, CORRESPONDIENTE AL MES DE JULIO DEL 2021.</t>
  </si>
  <si>
    <t>O/S 238</t>
  </si>
  <si>
    <t>SERVICIO DE TRANSPORTE FLUVIAL A TODO COSTO DE MATERIALES PARA LA EJECUCIÓN DE LAS ACTIVIDADES DEL PIP MEJORAMIENTO DE LAS CAPACIDADES NUTRICIONALES PARA DISMINUIR LA DESNUTRICION INFANTIL EN NIÑOS Y NIÑAS MENORES DE 5 AÑOS EN LAS CC.NN DE LA PROVINCIA DE PURUS REGION UCAYALI.</t>
  </si>
  <si>
    <t>O/S 242</t>
  </si>
  <si>
    <t>S/. 7,500.00</t>
  </si>
  <si>
    <t>10806746563 WINDER ZEGARRA RUIZ</t>
  </si>
  <si>
    <t>O/S 245</t>
  </si>
  <si>
    <t>S/. 9,750.00</t>
  </si>
  <si>
    <t>SERVICIO DE REPARACIÓN Y MANTENIMIENTO EN GENERAL DE LA MAQUINARIA PESADA MINICARGADOR JOHN DEERE D32E A TODO COSTO DE PROPIEDAD DE LA GERENCIA TERRITORIAL DE PURÚS.</t>
  </si>
  <si>
    <t>O/S 246</t>
  </si>
  <si>
    <t>S/. 34,800.00</t>
  </si>
  <si>
    <t>10001113246 REYNA AMERICA TORREJON MACEDO</t>
  </si>
  <si>
    <t>SERVICIO DE REPARACIÓN Y MANTENIMIENTO EN GENERAL DE LA MAQUINARIA PESADA TRACTOR ORUGA JOHN DEERE 750J A TODO COSTO DE PROPIEDAD DE LA GERENCIA TERRITORIAL DE PURÚS.</t>
  </si>
  <si>
    <t>O/S 247</t>
  </si>
  <si>
    <t>S/. 25,200.00</t>
  </si>
  <si>
    <t>SERVICIO DE REPARACIÓN Y MANTENIMIENTO EN GENERAL DE LA MAQUINARIA PESADA MOTO NIVELADORA JOHN DEERE 670G A TODO COSTO DE PROPIEDAD DE LA GERENCIA TERRITORIAL DE PURÚS.</t>
  </si>
  <si>
    <t>O/S 248</t>
  </si>
  <si>
    <t>S/. 30,000.00</t>
  </si>
  <si>
    <t>SERVICIO DE REPARACIÓN Y MANTENIMIENTO EN GENERAL DE LA MAQUINARIA PESADA RODILLO VIBRATORIO CAT CS533  A TODO COSTO DE PROPIEDAD DE LA GERENCIA TERRITORIAL DE PURÚS.</t>
  </si>
  <si>
    <t>O/S 249</t>
  </si>
  <si>
    <t>S/. 28,800.00</t>
  </si>
  <si>
    <t xml:space="preserve"> SERVICIO DE REPARACIÓN Y MANTENIMIENTO EN GENERAL DE LA MAQUINARIA PESADA RETRO EXCAVADORA CAT 420F  A TODO COSTO DE PROPIEDAD DE LA GERENCIA TERRITORIAL DE PURÚS.</t>
  </si>
  <si>
    <t>O/S 250</t>
  </si>
  <si>
    <t>S/. 31,120.00</t>
  </si>
  <si>
    <t>SERVICIOS PRESTADOS COMO NUTRICIONISTA PARA DESEMPEÑAR LABORES EN CAPACITACIONE Y SESIONES DEMOSTRATIVAS EN EL PROYECTO MEJORAMIENTO DE LAS CAPACIDADES NUTRICIONALES PARA DISMINUIR LA DESNUTRICION INFANTIL EN NIÑOS Y NIÑAS MENORES DE 5 AÑOS DE LAS CC.NN DE LA PROVINCIA DE PURUS EN LA GERENCIA TERRITORIAL DE PURUS CORRESPONDIENTE AL MES DE AGOSTO DEL 2021</t>
  </si>
  <si>
    <t>O/S 269</t>
  </si>
  <si>
    <t>SERVICIOS PRESTADOS COMO JEFE (A) EN EL PROYECTO MEJORAMIENTO DE LAS CAPACIDADES NUTRICIONALES PARA DISMINUIR LA DESNUTRICION INFANTIL EN NIÑOS Y NIÑAS MENORES DE 5 AÑOS DE
LAS CC.NN DE LA PROVINCIA DE PURUS EN LA GERENCIA TERRITORIAL DE PURUS CORRESPONDIENTE AL MES DE AGOSTO DEL 2021</t>
  </si>
  <si>
    <t>O/S 271</t>
  </si>
  <si>
    <t>SERVICIOS PRESTADOS COMO SUPERVISORA DEL PROYECTO MEJORAMIENTO DE LAS CAPACIDADES NUTRICIONALES PARA DISMINUIR LA DESNUTRICION INFANTIL EN NIÑOS Y NIÑAS MENORES DE 5 AÑOS DE LAS CC. NN DE LA PROVINCIA DE PURUS, REGION UCAYALI, CORRESPONDIENTE AL MES DE AGOSTO DEL 2021.</t>
  </si>
  <si>
    <t>O/S N° 272-2021</t>
  </si>
  <si>
    <t>1ADQUISICION DE MATERIALES DE UTILES DE OFICINA PARA LA GERENCIA TERRITORIAL DE PURUS</t>
  </si>
  <si>
    <t xml:space="preserve">ASP </t>
  </si>
  <si>
    <t>O/C N° 002-2021</t>
  </si>
  <si>
    <t>S/. 10,251.00</t>
  </si>
  <si>
    <t>10001292094 PANDURO CHANCHARI LILIANA PATRICIA</t>
  </si>
  <si>
    <t xml:space="preserve">2ADQUISICION DE EQUIPOS DE PROTECCION EN EJECUCION DEL PROYECTO/MCNDDI </t>
  </si>
  <si>
    <t>O/C N° 006-2021</t>
  </si>
  <si>
    <t>S/. 8,750.00</t>
  </si>
  <si>
    <t>10434029894 DAVID MARCEL GONZALES ZAMBRANO</t>
  </si>
  <si>
    <t>3ADQUISICION DE HERRAMIENTAS EN EJECUCION DEL PROYECTO/MCNDDI</t>
  </si>
  <si>
    <t>O/C N° 007-2021</t>
  </si>
  <si>
    <t>S/. 22,320.00</t>
  </si>
  <si>
    <t>10766569281 MIRTHA MILUSKY PEREZ CONTRERAS</t>
  </si>
  <si>
    <t>4ADQUISICION DE HERRAMIENTAS EN EJECUCION DEL PROYECTO/MCNDDI</t>
  </si>
  <si>
    <t>O/C N° 008-2021</t>
  </si>
  <si>
    <t>S/. 14,130.00</t>
  </si>
  <si>
    <t>5ADQUISICION DE HERRAMIENTAS EN EJECUCION DEL PROYECTO/MCNDDI</t>
  </si>
  <si>
    <t>O/C N° 009-2021</t>
  </si>
  <si>
    <t>S/. 19,092.00</t>
  </si>
  <si>
    <t>6ADQUISICION DE HERRAMIENTAS EN EJECUCION DEL PROYECTO/MCNDDI</t>
  </si>
  <si>
    <t>O/C N° 010-2021</t>
  </si>
  <si>
    <t>S/. 27,492.00</t>
  </si>
  <si>
    <t>20603984626 YDF 21 SERVICIOS GENERALES E.I.R.L.</t>
  </si>
  <si>
    <t>7ADQUISICION DE HERRAMIENTAS EN EJECUCION DEL PROYECTO/MCNDDI</t>
  </si>
  <si>
    <t>O/C N° 011-2021</t>
  </si>
  <si>
    <t xml:space="preserve">S/. 34,410.00 </t>
  </si>
  <si>
    <t>8ADQUISICION DE FUNGICIDAS Y INSECTICIDADES EN EJECUCION DEL PROYECTO/MCNDDI</t>
  </si>
  <si>
    <t>O/C N° 012-2021</t>
  </si>
  <si>
    <t xml:space="preserve">S/. 34,632.00 </t>
  </si>
  <si>
    <t>9ADQUISICION DE FUNGICIDAS Y INSECTICIDADES EN EJECUCION DEL PROYECTO/MCNDDI</t>
  </si>
  <si>
    <t>O/C N° 013-2021</t>
  </si>
  <si>
    <t>S/. 19,758.00</t>
  </si>
  <si>
    <t>10ADQUISICION DE FUNGICIDAS Y INSECTICIDADES EN EJECUCION DEL PROYECTO/MCNDDI</t>
  </si>
  <si>
    <t>O/C N° 014-2021</t>
  </si>
  <si>
    <t>S/. 22,422.00</t>
  </si>
  <si>
    <t>11ADQUISICION DE FUNGICIDAS Y INSECTICIDADES EN EJECUCION DEL PROYECTO/MCNDDI</t>
  </si>
  <si>
    <t>O/C N° 015-2021</t>
  </si>
  <si>
    <t>S/. 19,536.00</t>
  </si>
  <si>
    <t>12ADQUISICION DE FUNGICIDAS Y INSECTICIDADES EN EJECUCION DEL PROYECTO/MCNDDI</t>
  </si>
  <si>
    <t>O/C N° 016-2021</t>
  </si>
  <si>
    <t>S/. 8,880.00</t>
  </si>
  <si>
    <t>13ADQUISICION DE MATERIALES DE UTILES DE OFICINA EN EJECUCION DEL PROYECTO/MCNDDI</t>
  </si>
  <si>
    <t>O/C N° 018-2021</t>
  </si>
  <si>
    <t>S/. 6,215.10</t>
  </si>
  <si>
    <t>14ADQUISICION DE SEMILLAS EN EJECUCION DEL PROYECTO/MCNDDI</t>
  </si>
  <si>
    <t>O/C N° 020-2021</t>
  </si>
  <si>
    <t xml:space="preserve">S/. 33,450.00 </t>
  </si>
  <si>
    <t>15ADQUISICION DE UNIFORMES PARA BARONES PARA EL PERSONAL NOMBRAO, DE CONFIANZA Y CONTRATADO DE LA GTP</t>
  </si>
  <si>
    <t>O/C N° 021-2021</t>
  </si>
  <si>
    <t>S/. 25,559.50</t>
  </si>
  <si>
    <t>10421693086 JOCELYN VANESSA ESPINOZA HUAMAN</t>
  </si>
  <si>
    <t>16ADQUISICION DE UNIFORMES PARA DAMAS PARA EL PERSONAL NOMBRAO, DE CONFIANZA Y CONTRATADO DE LA GTP</t>
  </si>
  <si>
    <t>O/C N° 022-2021</t>
  </si>
  <si>
    <t>S/. 10,440.50</t>
  </si>
  <si>
    <t>17ADQUISICION DE MATERIALES DE UTILES DE OFICINA TINTA Y TONER HP 83A-85A EN EJECUCION DEL PROYECTO/MCNDDI</t>
  </si>
  <si>
    <t>O/C N° 023-2021</t>
  </si>
  <si>
    <t>S/. 8,192.00</t>
  </si>
  <si>
    <t>10477556499 BRANKS ISAIAS MONTES SALDAÑA</t>
  </si>
  <si>
    <t>18ADQUISICION DE LEJIA (HIPOCLORITO DE SODIO) EN EJECUCION DEL PROYECTO/MCNDDI</t>
  </si>
  <si>
    <t>O/C N° 025-2021</t>
  </si>
  <si>
    <t>S/. 5,200.00</t>
  </si>
  <si>
    <t>20394017621 INVERSIONES PAND &amp; PORT S.A.C.</t>
  </si>
  <si>
    <t>19ADQUISICION DE HERRAMIENTAS EN EJECUCION DEL PROYECTO/MCNDDI</t>
  </si>
  <si>
    <t>O/C N° 026-2021</t>
  </si>
  <si>
    <t>20393448742 MAFES E.I.R.L.</t>
  </si>
  <si>
    <t>20ADQUISICION DE SEMILLAS EN EJECUCION DEL PROYECTO/MCNDDI</t>
  </si>
  <si>
    <t>O/C N° 033-2021</t>
  </si>
  <si>
    <t>S/. 9,153.00</t>
  </si>
  <si>
    <t>10412082082 DARWIN LEE FABIAN MEZA</t>
  </si>
  <si>
    <t>21ADQUISICION DE EQUIPOS DE PROTECCION PARA TODO EL PERSONA DE LA GTP</t>
  </si>
  <si>
    <t>O/C N° 043-2021</t>
  </si>
  <si>
    <t>S/. 10,794.50</t>
  </si>
  <si>
    <t>22ADQUISICION DE VIVERES PARA EL PERSONAL NOMBRADO, DE CONFIANZA Y CONTRATADO DE LA GTP</t>
  </si>
  <si>
    <t>O/C N° 046-2021</t>
  </si>
  <si>
    <t>S/. 22,248.00</t>
  </si>
  <si>
    <t>10001900531 MIGUEL ALBERTO SALDAÑA HOYOS</t>
  </si>
  <si>
    <t>23ADQUISICION DE TIRAS REACTIVAS HEMOGLOB EN EJECUCION DEL PROYECTO/MCNDDI</t>
  </si>
  <si>
    <t>O/C N° 047-2021</t>
  </si>
  <si>
    <t>S/. 17,500.00</t>
  </si>
  <si>
    <t>24ADQUISICION DE MEDICINAS EN EJECUCION DEL PROYECTO/MCNDDI</t>
  </si>
  <si>
    <t>O/C N° 048-2021</t>
  </si>
  <si>
    <t xml:space="preserve">S/. 18,103.00 </t>
  </si>
  <si>
    <t>25ADQUISICION DE VIVERES EN EJECUCION DEL PROYECTO/MCNDDI</t>
  </si>
  <si>
    <t>O/C N° 052-2021</t>
  </si>
  <si>
    <t>S/. 34,188.00</t>
  </si>
  <si>
    <t>10000382898 TEODORO SAAVEDRA MAJIPO</t>
  </si>
  <si>
    <t>26ADQUISICION DE IMPLEMENTO DE BIOSEGURIDAD EN REFERENCIA DEL ESTUDIO DEFINITIVO DE IOARR ADQUISICION DE MOTONAVE FLUVIAL SAN BERNARDO</t>
  </si>
  <si>
    <t>O/C N° 053-2021</t>
  </si>
  <si>
    <t>S/. 4,456.90</t>
  </si>
  <si>
    <t>20601357314 YARINACOCHA E.I.R.L.</t>
  </si>
  <si>
    <t>27ADQUISICION DE MOTOR PEKE PEKE 13 HP INCLUYE ACCESORIOS EN REFERENCIA DEL ESTUDIO DEFINITIVO DE IOARR ADQUISICION DE MOTONAVE FLUVIAL SAN BERNARDO</t>
  </si>
  <si>
    <t>O/C N° 054-2021</t>
  </si>
  <si>
    <t xml:space="preserve">S/. 7,000.00 </t>
  </si>
  <si>
    <t>20603137699 L&amp;T EVE S.A.C</t>
  </si>
  <si>
    <t>28ADQUISICION DE IMPLEMENTOS CHALECON SALVAVIDA, AROS SALVAVIDA, EXTINTOR, BOTIQUIN EQUIPADO Y REMOS EN REFERENCIA DEL ESTUDIO DEFINITIVO DE IOARR ADQUISICION DE MOTONAVE FLUVIAL SAN BERNARDO</t>
  </si>
  <si>
    <t>O/C N° 056-2021</t>
  </si>
  <si>
    <t>S/. 6,660.00</t>
  </si>
  <si>
    <t>10411951010 YANDO RIOS PINEDO</t>
  </si>
  <si>
    <t>29ADQUISICION DE GASOLINA DE 90 OCTANOS EN EJECUCION DEL PROYECTO/MCNDDI</t>
  </si>
  <si>
    <t>O/C N° 060-2021</t>
  </si>
  <si>
    <t>S/. 53,992.68</t>
  </si>
  <si>
    <t>30ADQUISICION DE EQUIPOS E INSTRUMENTOS DE MEDICION EN EJECUCION DEL PROYECTO/MCNDDI</t>
  </si>
  <si>
    <t>O/C N° 063-2021</t>
  </si>
  <si>
    <t>S/. 34,801.00</t>
  </si>
  <si>
    <t>1 SERVICIO DE TRANSPORTE AEREO DE CARGA DE BIENES VARIADOS EN LA RUTA PUCALLPA - PUERTO ESPERANZA PURUS.</t>
  </si>
  <si>
    <t>O/S 003</t>
  </si>
  <si>
    <t xml:space="preserve">20128850598 TRANSPORTE FENIX E.I.R.L </t>
  </si>
  <si>
    <t>2 SERVICIOS PRESTADOS COMO JEFE (A) EN EL PROYECTO MEJORAMIENTO DE LAS CAPACIDADES NUTRICIONALES PARA DISMINUIR LA DESNUTRICION INFANTIL EN NIÑOS MENORES DE 5 AÑOS DE
LAS CC.NN DE LA PROVINCIA DE PURUS EN LA GERENCIA TERRITORIAL DE PURUS CORRESPONDIENTE AL MES DE DICIEMBRE DEL 2019</t>
  </si>
  <si>
    <t>O/S 014</t>
  </si>
  <si>
    <t>3 SERVICIOS PRESTADOS COMO SUPERVISORA DEL PROYECTO MEJORAMIENTO DE LAS CAPACIDADES NUTRICIONALES PARA DISMINUIR LA DESNUTRICION INFANTIL EN NIÑOS MENORES DE 5 AÑOS DE LAS CC. NN DE LA PROVINCIA DE PURUS, REGION UCAYALI, CORRESPONDIENTE AL MES DE DICIEMBRE DEL 2019.</t>
  </si>
  <si>
    <t>O/S 015</t>
  </si>
  <si>
    <t>4 SERVICIO DE REPARACION Y MANTENIMIENTO DE LOS MOTORES FUERA DE BORDA MARCA MERCURY DE 30 HP Y 40 HP DE PROPIEDAD DE LA GERENCIA TERRITORIAL DE PURUS A TODO COSTO.</t>
  </si>
  <si>
    <t>O/S 016</t>
  </si>
  <si>
    <t>S/. 6,500.00</t>
  </si>
  <si>
    <t>10440863073 CAROLITA TIMOTEO ROJAS</t>
  </si>
  <si>
    <t>5 SERVICIO DE TRANSPORTE AEREO DE CARGA DE BIENES VARIADOS (MATERIALES DE CONSTRUCCION EN GENERAL, EXPEDIENTES PARA ARCHIVO Y OTROS) EN LA RUTA PUCALLPA - PUERTO ESPERANZA - PURUS.</t>
  </si>
  <si>
    <t>O/S 17</t>
  </si>
  <si>
    <t>S/. 14,000.00</t>
  </si>
  <si>
    <t>6 SERVICIO DE CONSULTORIA DE OBRA PARA LA ACTUALIZACION DEL EXPEDIENTE TECNICO DE EL PROYECTO DE INVERSION PUBLICA: "MEJORAMIENTO DE LA TRANSITABILIDAD EN EL JR. ENRRIQUE VALDERRAMA ENTRE EL JR. PEDRO RUIZ GALLO Y LA CALLE LOS LIBERTADORES DE PUERTO ESPERANZA, PROVINCIA DE PURUS - UCAYALI.</t>
  </si>
  <si>
    <t>O/S 20</t>
  </si>
  <si>
    <t>S/. 33,000.00</t>
  </si>
  <si>
    <t>20393769549 CONSTRUCTORA Y CONSULTORA MG. E.I.R.L.</t>
  </si>
  <si>
    <t>7 SERVICIOS PRESTADOS COMO JEFE (A) EN EL PROYECTO MEJORAMIENTO DE LAS CAPACIDADES NUTRICIONALES PARA DISMINUIR LA DESNUTRICION INFANTIL EN NIÑOS MENORES DE 5 AÑOS DE
LAS CC.NN DE LA PROVINCIA DE PURUS EN LA GERENCIA TERRITORIAL DE PURUS CORRESPONDIENTE AL MES DE FEBRERO DEL 2020</t>
  </si>
  <si>
    <t>O/S 43</t>
  </si>
  <si>
    <t>8 SERVICIOS PRESTADOS COMO SUPERVISORA DEL PROYECTO MEJORAMIENTO DE LAS CAPACIDADES NUTRICIONALES PARA DISMINUIR LA DESNUTRICION INFANTIL EN NIÑOS MENORES DE 5 AÑOS DE LAS CC. NN DE LA PROVINCIA DE PURUS, REGION UCAYALI, CORRESPONDIENTE AL MES DE FEBRERO DEL 2020.</t>
  </si>
  <si>
    <t>O/S 44</t>
  </si>
  <si>
    <t>9 SERVICIOS PRESTADOS COMO JEFE (A) EN EL PROYECTO MEJORAMIENTO DE LAS CAPACIDADES NUTRICIONALES PARA DISMINUIR LA DESNUTRICION INFANTIL EN NIÑOS MENORES DE 5 AÑOS DE
LAS CC.NN DE LA PROVINCIA DE PURUS EN LA GERENCIA TERRITORIAL DE PURUS CORRESPONDIENTE AL MES DE MARZO DEL 2020</t>
  </si>
  <si>
    <t>O/S 47</t>
  </si>
  <si>
    <t>10 SERVICIOS PRESTADOS COMO SUPERVISORA DEL PROYECTO MEJORAMIENTO DE LAS CAPACIDADES NUTRICIONALES PARA DISMINUIR LA DESNUTRICION INFANTIL EN NIÑOS MENORES DE 5 AÑOS DE LAS CC. NN DE LA PROVINCIA DE PURUS, REGION UCAYALI, CORRESPONDIENTE AL MES DE MARZO DEL 2020.</t>
  </si>
  <si>
    <t>O/S 48</t>
  </si>
  <si>
    <t>11 POR CONCEPTO DEL SEGUNDO PAGO AL 20%  A LOS 60 DIAS CALENDARIO A LA APROBACION DEL PRIMER ENTREGABLE POR EL SERVICIO DE CONSULTORIA PARA LA ELABORACION DEL ESTUDIO DEFINITIVO Y DECLARATORIA DE IMPACTO AMBIENTAL DEL PROYECTO: "RECUPERACION DE ECOSISTEMA DEGRADADOS EN COMUNIDADES NATIVAS DE LA ZONA DE AMORTIGUAMIENTO DE LA RESERVA COMUNAL PURUS, PROVINCIA DE PURUS, REGION UCAYALI"</t>
  </si>
  <si>
    <t>O/S 63</t>
  </si>
  <si>
    <t>S/. 41,993.00</t>
  </si>
  <si>
    <t>12 SERVICIO DE TRANSPORTE AEREO DE CARGA DE BIENES VARIADOS EN LA RUTA PUCALLPA - PUERTO ESPERANZA PURUS.</t>
  </si>
  <si>
    <t>O/S 69</t>
  </si>
  <si>
    <t>S/. 25,825.00</t>
  </si>
  <si>
    <t>13 SERVICIO DE INTERNET SATELITAL DE 840/256 GARANT. 60%  CORRESPONDIENTE A LOS MESES DE ENERO, FEBRERO, MARZO, ABRIL, Y MAYO DEL 2020</t>
  </si>
  <si>
    <t>O/S 71</t>
  </si>
  <si>
    <t>S/. 7,627.10</t>
  </si>
  <si>
    <t>20601255180 INTERSATEL PERU S.R.L</t>
  </si>
  <si>
    <t>14 CONTRATACION PARA EL SERVICIO DE LAS ACTIVIDADES PARA LA EJECUCION DE OBRA "REHABILITACION Y MANTENIMIENTO DEL PUESTO DE SALUD PUERTO ESPERANZA, DISTRITO Y PROVINCIA DE PURUS"</t>
  </si>
  <si>
    <t>CD</t>
  </si>
  <si>
    <t>O/S 77</t>
  </si>
  <si>
    <t>S/. 123,620.00</t>
  </si>
  <si>
    <t>15 CONTRATACION PARA EL SERVICIO DE LAS ACTIVIDADES PARA LA EJECUCION DE OBRA "REHABILITACION Y MANTENIMIENTO DEL PUESTO DE SALUD PUERTO ESPERANZA, DISTRITO Y PROVINCIA DE PURUS"</t>
  </si>
  <si>
    <t>O/S 79</t>
  </si>
  <si>
    <t>16 CONTRATACION PARA EL SERVICIO DE LAS ACTIVIDADES PARA LA EJECUCION DE OBRA "REHABILITACION Y MANTENIMIENTO DEL PUESTO DE SALUD PUERTO ESPERANZA, DISTRITO Y PROVINCIA DE PURUS"</t>
  </si>
  <si>
    <t>O/S 93</t>
  </si>
  <si>
    <t>S/. 337,586.33</t>
  </si>
  <si>
    <t>17 POR CONCEPTO DEL TERCER PAGO AL 30%  A LOS 60 DIAS CALENDARIO A LA APROBACION DEL SEGUNDO ENTREGABLE POR EL SERVICIO DE CONSULTORIA PARA LA ELABORACION DEL ESTUDIO DEFINITIVO Y DECLARATORIA DE IMPACTO AMBIENTAL DEL PROYECTO: "RECUPERACION DE ECOSISTEMA DEGRADADOS EN COMUNIDADES NATIVAS DE LA ZONA DE AMORTIGUAMIENTO DE LA RESERVA COMUNAL PURUS, PROVINCIA DE PURUS, REGION UCAYALI"</t>
  </si>
  <si>
    <t>O/S 101</t>
  </si>
  <si>
    <t>S/. 35,994.00</t>
  </si>
  <si>
    <t>18 SERVICIO DE MANTENIMIENTO Y REPARACION DE LAS REDES ALAMBRICAS E INALAMBRICAS DEL INTERNET SATELITAL A TODO COSTO.</t>
  </si>
  <si>
    <t>O/S 109</t>
  </si>
  <si>
    <t>S/. 12,839.58</t>
  </si>
  <si>
    <t>19 POR CONCEPTO DEL QUINTO PAGO  PARA LA IMPLEMENTACION DE PLAN DE VIGILANCIA, PREVENCION Y CONTROL DEL COVID-19 DEL SERVICIO DE CONSULTORIA PARA LA ELABORACION DEL ESTUDIO DEFINITIVO Y DECLARATORIA DEL IMPACTO AMBIENTAL DEL PROYECTO: "RECUPERACION DE ECOSISTEMA DEGRADADOS EN COMUNIDADES NATIVAS DE LA ZONA DE AMORTIGUAMIENTO DE LA RESERVA COMUNAL PURUS, PROVINCIA DE PURUS, REGION UCAYALI"</t>
  </si>
  <si>
    <t>O/S 128</t>
  </si>
  <si>
    <t>S/. 20,000.00</t>
  </si>
  <si>
    <t>20 SERVICIO DE MANTENIMIENTO DE LAS REDES DE LA SEDE PRINCIPAL DE LA GERENCIA TERRITORIAL DE PURUS Y LA OFICINA DE COORDINACION SITO PUCALLPA .</t>
  </si>
  <si>
    <t>O/S 137</t>
  </si>
  <si>
    <t>S/. 10,350.00</t>
  </si>
  <si>
    <t>21 POR CONCEPTO DEL CUARTO PAGO AL 20%  A LOS 50 DIAS CALENDARIOS AL ESTUDIO DEFINITIVO Y DECLARATORIA DEL IMPACTO AMBIENTAL DEL SERVICIO DE CONSULTORIA PARA LA ELABORACION DEL ESTUDIO DEFINITIVO Y DECLARATORIA DEL IMPACTO AMBIENTAL DEL PROYECTO: "RECUPERACION DE ECOSISTEMA DEGRADADOS EN COMUNIDADES NATIVAS DE LA ZONA DE AMORTIGUAMIENTO DE LA RESERVA COMUNAL PURUS, PROVINCIA DE PURUS, REGION UCAYALI"</t>
  </si>
  <si>
    <t>O/S 149</t>
  </si>
  <si>
    <t>1 ADQUISICION DE UNIFORMES PARA CABALLEROS DEL PERSONAL NOMBRADO, DE CONFIANZA Y CONTRATADOS DE LA GTP.</t>
  </si>
  <si>
    <t>O/C 001</t>
  </si>
  <si>
    <t>2 ADQUISICION DE UNIFORMES PARA DAMAS DEL PERSONAL NOMBRADO, DE CONFIANZA Y CONTRATADOS DE LA GTP.</t>
  </si>
  <si>
    <t>O/C 002</t>
  </si>
  <si>
    <t>3 ADQUISICION DE ZARANDA METALICA DE 3/4 EN EJECUCION DEL PIP MEJORAMIENTO DE LAS CAPACIDADES NUTRICIONALES PARA DISMINUIR LA DESNUTRICION INFANTIL EN NIÑOS Y NIÑAS MENORES DE 5 AÑOS EN LAS CC.NN DE LA PROVINCIA DE PURUS REGION UCAYALI.</t>
  </si>
  <si>
    <t>O/C 003</t>
  </si>
  <si>
    <t>S/. 12,992.00</t>
  </si>
  <si>
    <t xml:space="preserve">20605975721 ANT VAL S.A.C. </t>
  </si>
  <si>
    <t>4 ADQUISICION DE FERTILIZANTE FOLIAR ORGANIKAS BIO20 Y FOLIREY POTASIO EN EJECUCION DEL PIP MEJORAMIENTO DE LAS CAPACIDADES NUTRICIONALES PARA DISMINUIR LA DESNUTRICION INFANTIL EN NIÑOS Y NIÑAS MENORES DE 5 AÑOS EN LAS CC.NN DE LA PROVINCIA DE PURUS REGION UCAYALI.</t>
  </si>
  <si>
    <t>O/C 004</t>
  </si>
  <si>
    <t>S/. 27,195.00</t>
  </si>
  <si>
    <t>5 ADQUISICION DE ABONO EN EJECUCION DEL PIP MEJORAMIENTO DE LAS CAPACIDADES NUTRICIONALES PARA DISMINUIR LA DESNUTRICION INFANTIL EN NIÑOS Y NIÑAS MENORES DE 5 AÑOS EN LAS CC.NN DE LA PROVINCIA DE PURUS REGION UCAYALI.</t>
  </si>
  <si>
    <t>O/C 005</t>
  </si>
  <si>
    <t>S/. 21,854.00</t>
  </si>
  <si>
    <t>6 ADQUISICION DE GASOLINA 90 OCTANOS DESTINADO PARA EL MANTENIMIENTO Y MEJORAMIENTO DE VIAS DE ACCESO DE CALLES, ORNATO DE LA JURISDICCION DE LA LOCALIDAD DE PUERTO ESPERANZA PURUS Y OTROS SERVICIOS EN BIENESTAR DE LA POBLACION.</t>
  </si>
  <si>
    <t>O/C 008</t>
  </si>
  <si>
    <t>S/. 30,400.00</t>
  </si>
  <si>
    <t>7 ADQUISICION DE PETROLEO DIESEL B5 DESTINADO  PARA EL TRASLADO DEL PERSONAL A DISTINTOS CASERIO DE LA JURISDICCION DE PURUS EN CUMPLIMIENTO DE METAS, APOYO SOCIALES A LAS COMUNIDADES NATIVAS Y OTROS SERVICIOS EN BIENESTAR DE LA POBLACION.</t>
  </si>
  <si>
    <t>O/C 009</t>
  </si>
  <si>
    <t>8 ADQUISICION DE BALONES DE OXIGENO MEDICINAL 10M3 / INCLUYE MANOMETRO DESTINADO PARA PACIENTES POSIBLES CON COVID-19 EN PROVINCIA DE PURÚS.</t>
  </si>
  <si>
    <t>O/C 011</t>
  </si>
  <si>
    <t>S/. 40,500.00</t>
  </si>
  <si>
    <t>9 ADQUISICION DE VIVERES COMESTIBLES PARA LA CANASTA POR LAS FIESTAS DE 28 DE JULIO  DEL PERSONAL NOMBRADO Y CONTRATADOS DE LA GTP.</t>
  </si>
  <si>
    <t>O/C 013</t>
  </si>
  <si>
    <t xml:space="preserve">10 ADQUISICION DE EQUIPOS DE PROTECCION PARA EL PERSONAL DE LA GERENCIA TERRITORIAL DE PURUS ANTE RIESGO DE EXPOSICION A COVID-19. </t>
  </si>
  <si>
    <t>O/C 014</t>
  </si>
  <si>
    <t>S/. 25,211.00</t>
  </si>
  <si>
    <t>11 ADQUISICION DE FILTROS ACEITES Y OTROS DESTINADOS PARA LAS MAQUINARIAS PESADAS DE PROPIEDAD DE LA GTP.</t>
  </si>
  <si>
    <t>O/C 19</t>
  </si>
  <si>
    <t>S/. 20,858.00</t>
  </si>
  <si>
    <t xml:space="preserve">10449764311 MARLOND CARLOS CHUQUILLANQUI SILVA </t>
  </si>
  <si>
    <t xml:space="preserve">12 ADQUISICION DE VIVERES CONSUMIBLES PARA LA CANASTA DEL PERSONAL NOMBRADO Y CONTRATADOS PARA LA GERENCIA TERRITORIAL DE PURUS EN EL ANIVERSARIO DEL GOBIERNO REGIONAL DE UCAYALI. </t>
  </si>
  <si>
    <t>O/C 20</t>
  </si>
  <si>
    <t>S/. 4,464.00</t>
  </si>
  <si>
    <t>13 ADQUISICION DE PETROLEO DIESEL B5 DESTINADO  PARA EL MANTENIMIENTO Y MEJORAMIENTO DE VIAS DE ACCESO DE CALLES Y ORNATO DE LA JURISDICCION DE LA LOCALIDAD DE PUERTO ESPERANZA PURUS</t>
  </si>
  <si>
    <t>O/C 21</t>
  </si>
  <si>
    <t>S/. 23,776.00</t>
  </si>
  <si>
    <t>14 ADQUISICION DE VIVERES COMESTIBLES PARA LA CANASTA NAVIDEÑA DEL PERSONAL NOMBRADO Y CONTRATADOS DE LA GTP.</t>
  </si>
  <si>
    <t>O/C 22</t>
  </si>
  <si>
    <t>S/. 15,942.00</t>
  </si>
  <si>
    <t>15 ADQUISICION DE TONER PARA IMPRESORA TONER LASER JET 85A Y 83A, FOTOCOPIADORA KONICA MINOLTA TN 23PARA LA SEDE CENTRAL DE LA GTP.</t>
  </si>
  <si>
    <t>O/C 23</t>
  </si>
  <si>
    <t>S/. 4,848.80</t>
  </si>
  <si>
    <t>16 ADQUISICION DE LAPTOP NOTEBOOK DELL VOSTRO 14 3490 DESTINADO A LA OFICINA DE RECURSOS HUMANOS - SOPORTE TECNICO DE LA GTP.</t>
  </si>
  <si>
    <t>O/C 24</t>
  </si>
  <si>
    <t>S/. 5,850.00</t>
  </si>
  <si>
    <t>20393247178 KBJ ELECTRONICA &amp; INFORMATICA E.I.R.L.</t>
  </si>
  <si>
    <t>UE. GERENCIA TERRITORIAL ATALAYA</t>
  </si>
  <si>
    <t>1 CONTRATACION DEL SERVICIO DE INTERNET POR FIBRA OPTICA PARA LA GERENCIA TERRITORIAL DE ATALAYA - PERIODO 2021</t>
  </si>
  <si>
    <t>A.S.</t>
  </si>
  <si>
    <t>008-2020-GRU-GTA-CS</t>
  </si>
  <si>
    <t>ICOTEC JUNIN S.A.C., con RUC N° 20601007682</t>
  </si>
  <si>
    <t>CULMINADO, EN EJECUCION</t>
  </si>
  <si>
    <t>01/02/2021</t>
  </si>
  <si>
    <t>2 CONTRATACION DEL SERVICIO DE INTERNET POR FIBRA OPTICA PARA LA GERENCIA TERRITORIAL DE ATALAYA - PERIODO 2022</t>
  </si>
  <si>
    <t>PROYECCION</t>
  </si>
  <si>
    <t>PROYECCION PARA EL AÑO 2022</t>
  </si>
  <si>
    <t>FORMATO 15: DETALLE DE CONSULTORIAS PERSONAS JURÍDICAS Y NATURALES - PRESUPUESTO 2020 Y 2021</t>
  </si>
  <si>
    <t>SECTOR o GOB. REGIONAL: 462 GOBIERNO REGIONAL DE UCAYALI</t>
  </si>
  <si>
    <t>CONSULTORIAS</t>
  </si>
  <si>
    <t>PERSONA JURIDICA (RUC)</t>
  </si>
  <si>
    <t>PERSONA NATURAL (DNI)</t>
  </si>
  <si>
    <t>PPTO 2020 (AL 31/12)</t>
  </si>
  <si>
    <t>PPTO 2021 (AL 30/06)</t>
  </si>
  <si>
    <t>PPTO 2022 (PROYECCION 31/12)</t>
  </si>
  <si>
    <t>TIPO DE ESTUDIO Y/O INFORME (*)</t>
  </si>
  <si>
    <t>ESPECIALIDAD (**)</t>
  </si>
  <si>
    <t>EJECUCIÓN S/</t>
  </si>
  <si>
    <t xml:space="preserve">1 SERVICIO DE ASESORIA EXTERNA </t>
  </si>
  <si>
    <t>PROCESOS LEGALES</t>
  </si>
  <si>
    <t>DERECHO</t>
  </si>
  <si>
    <t xml:space="preserve">2 SANEAMIENTO FISICO LEGAL DE INMUEBLE </t>
  </si>
  <si>
    <t>DIAGNOSTICO Y LEVANTAMIENTO TOPOGRAFICO</t>
  </si>
  <si>
    <t>INGENIERIA CIVIL</t>
  </si>
  <si>
    <t>3 SANEAMIENTO FISICO LEGAL DE INMUEBLE</t>
  </si>
  <si>
    <t>4 SANEAMIENTO FISICO LEGAL DE INMUEBLE</t>
  </si>
  <si>
    <t>5 IMPLEMENTACION DE CONTROL INTERNO</t>
  </si>
  <si>
    <t>081001273</t>
  </si>
  <si>
    <t>SISTEMA DE CONTROL</t>
  </si>
  <si>
    <t>CONTABILIDAD</t>
  </si>
  <si>
    <t>6 SANEAMIENTO FISICO LEGAL DE INMUEBLE</t>
  </si>
  <si>
    <t>7 SANEAMIENTO FISICO LEGAL DE INMUEBLE</t>
  </si>
  <si>
    <t>8 SANEAMIENTO FISICO LEGAL DE INMUEBLE</t>
  </si>
  <si>
    <t>9 SANEAMIENTO FISICO LEGAL DE INMUEBLE</t>
  </si>
  <si>
    <t>10 IMPLEMENTACION DE PROYECTO</t>
  </si>
  <si>
    <t>MONITOREO PARA GESTION COMUNITARIA</t>
  </si>
  <si>
    <t>ADMINISTRACION</t>
  </si>
  <si>
    <t>11 IMPLEMENTACION DE PROYECTO</t>
  </si>
  <si>
    <t>054133273</t>
  </si>
  <si>
    <t>12 IMPLEMENTACION DE PROYECTO</t>
  </si>
  <si>
    <t>UE; GERENCIA TERRITORIAL DE PADRE ABAD</t>
  </si>
  <si>
    <t>ERVICIO DE CONSULTORÍA PARA LA FORMULACION DE FICHA TECNICA ESTANDAR MEJORAMIENTO DE LOS SERVICIOS DE TRANSITABILIDAD INTERURBANA DESDE EL CASERIO SAN MIGUEL HASTA LA CC.NN. PUERTO NUEVO DEL DISTRITO DE IRAZOLA – PROVINCIA DE PADRE ABAD – DEPARTAMENTO DE UCAYALI</t>
  </si>
  <si>
    <t>INVERSIONES S &amp; Y S.A.C</t>
  </si>
  <si>
    <t>FICHA TECNICA</t>
  </si>
  <si>
    <t>SERVICIO DE CONSULTORIA DE OBRA PARA LA ELABORACION DEL EXPEDIENTE TECNICO DEL PROYECTO MEJORAMIENTO DE LA INSTITUCIÓN EDUCATIVA INICIAL N° 532, CASERÍO NOLBERTH ALTO URUYA - DISTRITO DE NESHUYA - PROVINCIA DE PADRE ABAD - DEPARTAMENTO DE UCAYALI</t>
  </si>
  <si>
    <t>CONSORCIO ALTO URUYA integrado por (BRAVO MONDOÑEDO JOAN CARLO, RUC N° 10408417479 Y VALLADARES CISNEROS EDWING NER, RUC N° 10224933105)</t>
  </si>
  <si>
    <t>EXPEDIENTE TECNICO</t>
  </si>
  <si>
    <t>CONSULTORIA DE OBRA PARA LA ELABORACION DEL EXPEDIENTE TECNICO DEL PROYECTO MEJORAMIENTO DE LOS SERVICIOS EDUCATIVOS DE LA INSTITUCIÓN EDUCATIVA INTEGRADA N° 64041 – MONSEÑOR GUSTAVO PREVOST GODARD CENTRO POBLADO LA UNIÓN KM 75 C.F.B DEL DISTRITO DE NESHUYA - PROVINCIA DE PADRE ABAD - DEPARTAMENTO DE UCAYALI</t>
  </si>
  <si>
    <t xml:space="preserve">        </t>
  </si>
  <si>
    <t>SERVICIO DE CONSULTORIA DE OBRA PARA LA ELABORACION DEL EXPEDIENTE TECNICO DEL PROYECTO MEJORAMIENTO AV OCHO DE ABRIL DEL CENTRO POBLADO HUIPOCA DISTRITO DE PADRE ABAD, PROVINCIA DE PADRE ABAD - UCAYALI, CUI N° 2339715</t>
  </si>
  <si>
    <t>EMPRESA CONSULTORA Y CONSTRUCTORA SD S.A.C., RUC N° 20408080941</t>
  </si>
  <si>
    <t>SERVICIO DE CONSULTORÍA DE OBRA PARA LA SUPERVISION DE LA EJECUCION DE LA OBRA MEJORAMIENTO DEL CAMINO VECINAL DESDE SECTOR CATAHUA HASTA SECTOR SANTA ELENITA, CASERIO SHIRINGAL BAJO, DISTRITO DE IRAZOLA, PROVINCIA DE PADRE ABAD - REGION UCAYALI. CODIGO UNICO No 2338026</t>
  </si>
  <si>
    <t>CONSORCIO SUPERVISION PADRE ABAD Integrado por: (JOGAMA CONSULTORIAS Y CONSTRUCCIONES GENERALES E.I.R.L, con RUC N° 20573023481 y  CONSTRUCTORA DELV SOCIEDAD ANONIMA, con RUC N° 20529030330)</t>
  </si>
  <si>
    <t>SUPERVISION DE OBRA</t>
  </si>
  <si>
    <t>SERVICIO DE CONSULTORÍA DE OBRA PARA LA SUPERVISION DE LA EJECUCION DE LA OBRA MEJORAMIENTO DE LOS SERVICIOS DE SALUD EN EL PRIMER NIVEL DE ATENCION DEL PUESTO DE SALUD BELLO HORIZONTE-DISTRITO DE CURIMANA, PROVINCIA DE PADRE ABAD, REGION DE UCAYALI. CODIGO UNICO N° 2322449</t>
  </si>
  <si>
    <t>SERVICIOS GENERALES ASCONSULT S.R.L. con RUC N° 20393230879</t>
  </si>
  <si>
    <t>SERVICIO DE CONSULTORIA DE OBRA PARA LA SUPERVISION DE LA OBRA: “MEJORAMIENTO DE LA CAPACIDAD RESOLUTIVA DEL POOL DE MAQUINARIAS DE LA MUNICIPALIDAD DISTRITAL DE ALEXANDER VON HUMBOLDT, DISTRITO DE ALEXANDER VON HUMBOLDT - PROVINCIA DE PADRE ABAD-DEPARTAMENTO DE UCAYALI” CODIGO UNICO N° 2485284</t>
  </si>
  <si>
    <t>SERVICIO DE CONSULTORÍA DE OBRA PARA LA SUPERVISION DE LA OBRA MEJORAMIENTO DE LOS SERVICIOS EDUCATIVOS EN LA I.E. SECUNDARIA MIGUEL GRAU SEMINARIO - C.P. MIGUEL GRAU SEMINARIO - DISTRITO DE PADRE ABAD - PROVINCIA DE PADRE ABAD - DEPARTAMENTO DE UCAYALI CODIGO UNICO N° 2250959</t>
  </si>
  <si>
    <t>SERVICIOS GENERALES ASCONSULT SRL con RUC N° 20393230879</t>
  </si>
  <si>
    <t>SERVICIO DE CONSULTORÍA DE OBRA PARA LA ELABORACION DEL EXPEDIENTE TECNICO DEL PROYECTO: MEJORAMIENTO DEL SERVICIO EDUCATIVO DEL NIVEL SECUNDARIA DE LA I.E. AGROPECUARIO PADRE ABAD, EN EL DISTRITO DE PADRE ABAD - PROVINCIA DE PADRE ABAD - DEPARTAMENTO DE UCAYALI</t>
  </si>
  <si>
    <t>AGRICULTURA</t>
  </si>
  <si>
    <t xml:space="preserve"> AÑO 2021                                                                                                                                                                          1  SERVICIO DE CONSULTORIA REFERENCIA AL CUI N° 2355350 ELABORACION DEL EXPEDIENTE TECNICO DEL PROYECTO "MEJORAMIENTO DEL SISTEMA DE DRENAJE FLUVIAL EN EL VALLE BAJO CURIMANA DE LOS CASERISO EL MARONAL, FLOR DEL VALLE, 16 DE NOVIEMBRE, SOL NACIENTE Y LAS MALVINAS DEL DISTRITO DE CURIMANA, PROVINCIA DE PADRE ABAD, REGION UCAYALI"</t>
  </si>
  <si>
    <t>INVERSIONES PUBLICIDADES Y SERVICIOS GENERALES JASE EIRL RUC N° 20601991994</t>
  </si>
  <si>
    <t>ESTUDIO</t>
  </si>
  <si>
    <t>CONSULTORIA</t>
  </si>
  <si>
    <t xml:space="preserve">2 CONTRATACION DE SERVICIO DE CONSULTORIA PARA LA EVALUACION , SUPERVISION, SEGUIMIENTO Y MONITOREO DEL EXPEDIENTE TECNICO DEL PY. "MEJORAMIENTO DEL SISTEMA DE DRENAJE FLUVIAL EN EL VALLE BAJO CURIMANA EN LOS CASERIOS EL MARONAL, FLOR DE VALLE, 16 DE NOVIEMBRE, SOL NACIENTE Y LAS MALVINAS DEL DISTRITO DE CURIMANA PROVINCIA DE PADRE ABAD DEPARTAMENTO DE UCAYALI </t>
  </si>
  <si>
    <t>…</t>
  </si>
  <si>
    <t>GAMARRA MEZA TED ROLY DNI. 40787817</t>
  </si>
  <si>
    <t>SUPERVISION</t>
  </si>
  <si>
    <t>CONSULTORIA TECNICA</t>
  </si>
  <si>
    <t>3 SERVICIO DE CONTRATACION PARA LA ELABORACION DE UN CLUSTER PARA EL PROYECTO "MEJORAMIENTO DE LOS SERVICIOS DE APOYO A LA CADENA PRODUCTIVA DE CAMU CAMU EN LA PRODUCTIVIDAD Y GESTION DE MERCADO EN LOS PRODUCTORES DE LA PROVINCIA DE CORONEL PORTILLO, DEPARTAMENTO DE UCAYALI"</t>
  </si>
  <si>
    <t>NEGOCIOS AMAZONICOS SUSTENTABLES EIRL RUC N° 20393752221</t>
  </si>
  <si>
    <t>ELABORACION</t>
  </si>
  <si>
    <t>INVERSIONES Y DESARROLLO EXPERIMENTAL DE LAS CIENCIAS NATURALES Y LA INGENIERIA</t>
  </si>
  <si>
    <t>4 SERVICIO DE CONTRATACION PARA LA ELABORACION DE UN PLAN DE NEGOCIO DEL PROYECTO " MEJORAMIENTO DE LOS SERVICIOS DE APOYO A LA CADENA PRODUCTIVA DE CAMU CAMU EN LA PRODUCTIVIDAD Y GESTION DE MERCADO EN LOS PRODUCTORES DE LA PROVINCIA DE CORONEL PORTILLO, DEPARTAMENTO DE UCAYALI"</t>
  </si>
  <si>
    <t>MAMANI CHANINI HENRY ABELARDO DNI N° 40672752</t>
  </si>
  <si>
    <t>OTRAS ACTIVIDADES DE SERVICIOS PERSONALES NCP</t>
  </si>
  <si>
    <t>5 SERVICIO DE CONTRATACION DE UN ESPECIALISTA PARA MIEMBRO DEL COMITÉ DE SELECCIÓN PARA EL PROCEDIMIENTO DE LA OBRA A EJECUTAR "MEJORAMIENTO DEL SISTEMA DE DRENAJE EN EL VALLE BAJO CURIMANA DE LOS CASERIOS EL MARONAL,, FLOR DEL VALLE, 16 DE NOVIEMBRE, SOL NACIENTE Y LAS MALVINAS DEL DISTRITO DE CURIMANA PROVINCIA DE PADRE ABAD DEPARTAMENTO DE UCAYALI</t>
  </si>
  <si>
    <t>ALVARADO RIOS FREDY MARTIN DNI N° 10384264</t>
  </si>
  <si>
    <t>ESPECIALISTA</t>
  </si>
  <si>
    <t>OTRAS ACTIVIDADES PROFESIONALES, CIENTIFICOS Y TECNICAS</t>
  </si>
  <si>
    <t>AÑO 2020</t>
  </si>
  <si>
    <t>1 SERVICIO DE CONTRATACION DE UN CONSULTOR PARA LA FORMULACION DEL ESTUDIO DE PRE INVERSION "CREACION DEL CENTRO DE PRODUCCION Y ASISTENCIA TECNICA AGROFORESTAL REGIONAL LOCALIDAD DE CAMPO VERDE PROVINCIA DE CORONEL PORTILLO DEPARTAMENTO DE UCAYALI</t>
  </si>
  <si>
    <t>2 SERVICIO DE CONTRATACION DE UN CONSULTOR PARA LA FORMULACION DE ESTUDIO DE PREINVERSION DEL PROYECTO "MEJORAMIENTO DE LOS SERVICIOS DE APOYO AL DESARROLLO DE LA CADENA PRODUCTIVA DEL PLATANO EN LA CUENCA DEL UCAYALI DISTRITO DE CALLERIA, MASISEA, IPARIA Y RAYMONDI EN LAS PROVINCIAS DE CORONEL PORTILLO Y ATALAYA DEL DEPARTAMENTO DE UCAYALI"</t>
  </si>
  <si>
    <t>HUAMAN SOSA AMERICO DNI N° 07136730</t>
  </si>
  <si>
    <t xml:space="preserve">ACTIVIDAD DE ARQUITECTURA E INGENIERA </t>
  </si>
  <si>
    <t>3. SERVICIO DE CONTRACION DE UN CONSULTOR PARA REALIZAR EL Y MONITOREO DE LA ELABORACION DE LOS PERFILES DE LOS PROYECTOS DE PRE INVERSION "MEJORAMIENTO DE LAS CADENA PRODUCTIVA DEL GANADO VACUNO DE CARNE Y LECHE EN EL SECTOR CARRETERA FEDERICO BASADRE, PROVINCIAS DE CORONEL PORTILLO Y PADRE ABAD REGION UCAYALI", "MEJORAMIENTO DE LAS CADENAS PRODUCTIVAS  DE LOS CULTIVOS DE MENESTRAS, MANI, SOYA Y MAIZ EN LOS SUELOS ALUVIALES EN LOS DISTRITOS DE CALLERIA, MANANTAY Y MASISEA PROVINCIA DE CORONEL PORTILLO Y "MEJORAMIENTO DE LAS CAPACIDADES AGRO EMPRESARIALES DE LOS PRODUCTORES DE CAÑA DE AZUCAR EN LOS DISTRITOS DE CALLERIA, CAMPO VERDE, YARINACOCHA, MANANTAY, NUEVA REQUENA, NESHUYA, CURIMANA Y PADRE ABAD PROVINCIA DE CORONEL PORTILLO REGION UCAYALI.</t>
  </si>
  <si>
    <t>RIOS CARDENAS MIRIAN MAGALY DNI N° 40166886</t>
  </si>
  <si>
    <t>SEGUIMIENTO Y MONITOREO DE PERFILES</t>
  </si>
  <si>
    <t xml:space="preserve">4. SERVICIO DE CONTRATACION DE UN CONSULTOR PARA REALIZAR EL SEGUIMIENTO Y MONITOREO DE LOS PERFILES DE PROYECTOS DE PRE INVERSION QUE VIENE EJECUTANDO LA DRAU </t>
  </si>
  <si>
    <t>ARMAS SOTO VILMA - DNI N° 413426940</t>
  </si>
  <si>
    <t>TERRITORIAL PURUS</t>
  </si>
  <si>
    <t>1CONTRATACION DE SERVICIO DE CONSULTORIA DE OBRA PARA LA ACTUALIZACION DEL EXPEDIENTE TECNICO DE EL PROYECTO DE INVERSION PUBLICA: "MEJORAMIENTO DE LA TRANSITABILIDAD EN EL JR. ENRRIQUE VALDERRAMA ENTRE EL JR. PEDRO RUIZ GALLO Y LA CALLE LOS LIBERTADORES DE PUERTO ESPERANZA, PROVINCIA DE PURUS - UCAYALI</t>
  </si>
  <si>
    <t>S/. 35,150.00</t>
  </si>
  <si>
    <t>INFORME Nº 029-2021-GRU-GGR-GTP-SGTI</t>
  </si>
  <si>
    <t>TRANS´PORTE</t>
  </si>
  <si>
    <t>UE: GERENCIA TERRITORIAL ATALAYA</t>
  </si>
  <si>
    <t>1 Contratación del Servicio de Consultoría para la Elaboración de los Estudios Hidrogeológicos como complemento en la elaboración del Expediente Técnico del Proyecto de Inversión Pública: “INSTALACION DEL SISTEMA DE ABASTECIMIENTO DE AGUA POTABLE Y LETRINAS SANITARIAS EN LAS CC.NN. Y CASERIOS COMPRENDIDOS EN EL RIO INUYA, DISTRITO DE RAYMONDI, PROVINCIA DE ATALAYA, UCAYALI” - CODIGO UNICO Nº 2317171</t>
  </si>
  <si>
    <t>CONSTRUCCIVIL E.I.R.L., CON RUC Nº 20393987538</t>
  </si>
  <si>
    <t>ESTUDIO HIDROGEOLOGICO</t>
  </si>
  <si>
    <t>PLANEAMIENTO, GESTION Y RESERVA DE CONTINGENCIA</t>
  </si>
  <si>
    <t>2 Contratación del Servicio de Consultoría para la Elaboración de los Estudios Hidrogeológicos como complemento en la elaboración del Expediente Técnico del Proyecto de Inversión Pública: “INSTALACION DEL SISTEMA DE ABASTECIMIENTO DE AGUA POTABLE Y LETRINAS SANITARIAS EN LAS COMUNIDADES NATIVAS DE SHAHUAYA, FERNANDO ESTAL Y NUEVO PARAISO, PROVINCIA DE ATALAYA, UCAYALI” - CODIGO UNICO Nº 2317172</t>
  </si>
  <si>
    <t>SANEAMIENTO</t>
  </si>
  <si>
    <t>3 Contratación del servicio de Consultoría de Obra para la Supervisión de la Ejecución de la Obra: “MEJORAMIENTO DE LOS SERVICIOS EDUCATIVOS DEL NIVEL PRIMARIA EN LA I.E N 65117, I.E N 64963-B, I.E N 65135-B, I.E N 65161-B - DISTRITO DE RAYMONDI - PROVINCIA DE ATALAYA - DEPARTAMENTO DE UCAYALI” - CODIGO UNICO 2202048 - SEGUNDA ETAPA</t>
  </si>
  <si>
    <t>CONSORCIO AMAZONICO, INTEGRADO POR LAS EMPRESAS: INVERSIONES ZAMER CT S.R.L., CON RUC N° 20601635497 Y FRANCISCO CIELO MEDRANO, CON RUC N° 10225211367</t>
  </si>
  <si>
    <t>EDUCACION</t>
  </si>
  <si>
    <t>4 Contratación del Servicio de Consultoría de Obra para la Supervisión de la ejecución de la Obra: “Creación de Alcantarillado en las Calles Las Mohenas, Aerija, Las Caobas, Los Cedros, entre los Jirones Rivas Araos y Dorian Campos de las Juntas Vecinales Ángel Arellano y Sr. de los Milagros, Ciudad de Atalaya, Provincia de Atalaya, Ucayali” - CUI 2317084</t>
  </si>
  <si>
    <t>CONSORCIO SUPERVISOR ATALAYA, INTEGRADO POR LOS SEÑORES: ARNALDO MARTIN REGALADO LA TORRE, CON RUC N° 10424922779 Y JUAN CARLOS LOZANO LOZANO, CON RUC N° 10427695358</t>
  </si>
  <si>
    <t>5 Contratación del Servicio de Consultoría para la Actualización de Precios y Adecuación del Expediente Técnico, correspondiente a la ejecución de la Segunda Etapa del Proyecto de Inversión: “MEJORAMIENTO DEL PERIMETRO DE LA PLAZA DE ARMAS Y DEL JR. FRANCISCO ALVAREZ (DESDE JR. JULIO C. TELLO HASTA EL MALECON RIO SEPAHUA) - DISTRITO DE SEPAHUA - ATALAYA - UCAYALI” - Código  Único Nº 2177965</t>
  </si>
  <si>
    <r>
      <t>YSAURO ANDY ARTURO ÑOPO OTINIANO</t>
    </r>
    <r>
      <rPr>
        <sz val="9"/>
        <color rgb="FF000000"/>
        <rFont val="Arial"/>
        <family val="2"/>
      </rPr>
      <t>, CON RUC N° 10415985776</t>
    </r>
  </si>
  <si>
    <t>6 Contratación del Servicio de Consultoría para la Actualización del Estudio Definitivo del Proyecto de Inversión: “MEJORAMIENTO Y FORTALECIMIENTO DE LAS CAPACIDADES TÉCNICO PRODUCTIVAS Y DE LA CALIDAD DEL CACAO EN EL DISTRITO DE SEPAHUA, PROVINCIA DE ATALAYA, REGIÓN UCAYALI” - CODIGO UNICO DE INVERSION N° 2404126</t>
  </si>
  <si>
    <r>
      <t xml:space="preserve">INVESTIGACION PARA LA CONSERVACION E.I.R.L., </t>
    </r>
    <r>
      <rPr>
        <sz val="9"/>
        <color rgb="FF000000"/>
        <rFont val="Arial"/>
        <family val="2"/>
      </rPr>
      <t>CON RUC Nº 20602499694</t>
    </r>
  </si>
  <si>
    <t>ESTUDIO DEFINITIVO</t>
  </si>
  <si>
    <t>AGROPECUARIA</t>
  </si>
  <si>
    <t>7 Contratación de la Consultoría de Obra para la Supervisión de la Ejecución de la Obra: “MEJORAMIENTO TUPAC AMARU (ENTRE JR. ATALAYA/AV. LAS FLORES), AVENIDA LAS FLORES (ENTRE JR. TUPAC AMARU/JR. VIRGEN DE LAS MERCEDES), AV. 7 DE JUNIO (ENTRE JR. TUPAC AMARU/JR. VIRGEN DE LAS MERCEDES), JR. ATALAYA (JR. TUPAC AMARU/JR. VIRGEN DE LAS MERCEDES), BOLOGNESI, DISTRITO DE TAHUANIA - ATALAYA - UCAYALI” - CUI 2267359</t>
  </si>
  <si>
    <t>CONSORCIO 7 DE JUNIO, INTEGRADO POR LOS SEÑORES: EDWIN JUAN GONZALES MARTEL, CON RUC N° 10099284680 Y FELIX PAUCARHUANCA BENDEZU, CON RUC N° 10215538970</t>
  </si>
  <si>
    <t>8 Contratación del Servicio de Consultoría para el Seguimiento, Monitoreo y Evaluación de la elaboración de Expediente Técnico del Proyecto de Inversión: “MEJORAMIENTO Y AMPLIACION DE LA CAPACIDAD OPERATIVA DE LOS SERVICIOS DE MAQUINARIAS DE LA GERENCIA TERRITORIAL DE ATALAYA, DISTRITO DE RAYMONDI, PROVINCIA DE ATALAYA, UCAYALI” Código Unificado de Inversiones N° 2448558</t>
  </si>
  <si>
    <t>9 Contratación de Servicio de Consultoría de general para la actualización de precios del expediente técnico primigenio y elaboración del expediente técnico correspondiente a la ejecución de la segunda etapa del proyecto de inversión: “MEJORAMIENTO DEL PERIMETRO DE LA PLAZA DE ARMAS Y DEL JR. FRANCISCO ALVAREZ (DESDE JR. JULIO C. TELLO HASTA EL MALECON RIO SEPAHUA) - DISTRITO DE SEPAHUA - ATALAYA - UCAYALI” - CÓDIGO ÚNICO Nº 2177965</t>
  </si>
  <si>
    <r>
      <t>DANIEL ALAN RIOJA CARAMUTTI</t>
    </r>
    <r>
      <rPr>
        <sz val="9"/>
        <color rgb="FF000000"/>
        <rFont val="Arial"/>
        <family val="2"/>
      </rPr>
      <t>, con RUC N° 10414840383</t>
    </r>
  </si>
  <si>
    <t>10 Contratación de Servicio de Consultoría para la Formulación de Idea de Proyecto o de Programa de Inversión denominado Proyecto: “CREACIÓN DE PUENTE VEHICULAR Y ACCESOS SOBRE EL RIO TAMBO, EN EL CENTRO POBLADO MALDONADILLO DEL DISTRITO DE RAYMONDI - PROVINCIA DE ATALAYA - DEPARTAMENTO DE UCAYALI”</t>
  </si>
  <si>
    <r>
      <t>JULIO MIGUEL ACOSTA CARRANZA</t>
    </r>
    <r>
      <rPr>
        <sz val="9"/>
        <color rgb="FF000000"/>
        <rFont val="Arial"/>
        <family val="2"/>
      </rPr>
      <t>, con RUC N° 10713408323</t>
    </r>
  </si>
  <si>
    <t>FORMULACION DE IDEA DE PROYECTO</t>
  </si>
  <si>
    <t>11 Contratación de Servicio de Consultoría para la Formulación de Idea de Proyecto o de Programa de Inversión denominado Proyecto: “MEJORAMIENTO DEL SERVICIO DE TERMINALES PORTUARIOS EN EL CORREDOR SEPAHUA - ATALAYA - BOLOGNESI DE LA PROVINCIA DE ATALAYA, DEPARTAMENTO DE UCAYALI”</t>
  </si>
  <si>
    <t xml:space="preserve">TOTAL </t>
  </si>
  <si>
    <t>(*) EL PRODUCTO QUE SE ADQUIERE</t>
  </si>
  <si>
    <t>(**) LA ESPECIALIDAD TOMANDO ENCUENTA HACIENDO REFERENCIA UNA O MAS DE LAS 25 FUNCIONES DEL CLASIFICADOR FUNCIONAL PROGRAMATICO</t>
  </si>
  <si>
    <t>FORMATO 16: TESORERIA - RESUMEN POR GRUPO GENERICO Y FUENTES DE FINANCIAMIENTO 2020 Y 2021</t>
  </si>
  <si>
    <t>SECTOR o GOB. REGIONAL: GOBIERNO REGIONAL DE UCAYALI</t>
  </si>
  <si>
    <t>ESPECIFICACIONES RECURSOS PUBLICOS</t>
  </si>
  <si>
    <t>UNIDAD EJECUTORA</t>
  </si>
  <si>
    <t>CUENTAS BANCARIAS</t>
  </si>
  <si>
    <t>BANCO / INSTITUCIÓN FINANCIERA</t>
  </si>
  <si>
    <t>CUENTA</t>
  </si>
  <si>
    <t>FECHA DE APERTURA</t>
  </si>
  <si>
    <t>MONEDA</t>
  </si>
  <si>
    <t>SALDO 2020 (*)</t>
  </si>
  <si>
    <t>SALDO 2021 (**)</t>
  </si>
  <si>
    <t>UE: 001 SEDE</t>
  </si>
  <si>
    <t>942: REGION UCAYALI - SEDE CENTRAL</t>
  </si>
  <si>
    <t>BANCO DE LA NACION</t>
  </si>
  <si>
    <t>512-029353</t>
  </si>
  <si>
    <t>DICIEMBRE 2005</t>
  </si>
  <si>
    <t>SOLES</t>
  </si>
  <si>
    <t>2. RECURSOS DIRECTAMENTE  RECAUDADOS</t>
  </si>
  <si>
    <t xml:space="preserve">    - R.D.R - Sede Central</t>
  </si>
  <si>
    <t>512-014992</t>
  </si>
  <si>
    <t>OCTUBRE 2001</t>
  </si>
  <si>
    <t>512-026141</t>
  </si>
  <si>
    <t>JULIO 2005</t>
  </si>
  <si>
    <t xml:space="preserve">    - R.D.R - EX INRENA </t>
  </si>
  <si>
    <t>512-046282</t>
  </si>
  <si>
    <t>AGOSTO 2010</t>
  </si>
  <si>
    <t>512-046304</t>
  </si>
  <si>
    <t>512-046274</t>
  </si>
  <si>
    <t>512-046320</t>
  </si>
  <si>
    <t>512-046312</t>
  </si>
  <si>
    <t>512-000035</t>
  </si>
  <si>
    <t>MAYO 2011</t>
  </si>
  <si>
    <t>DOLARES</t>
  </si>
  <si>
    <t>512-000043</t>
  </si>
  <si>
    <t xml:space="preserve">     SUB CUENTAS DE LA DNTP</t>
  </si>
  <si>
    <t xml:space="preserve">    - RECURSOS DIRECTAMENTE RECAUDADOS</t>
  </si>
  <si>
    <t>ENERO 2013</t>
  </si>
  <si>
    <t>3.- RECURSOS POR OPERACIONES OFICIALES DE CREDITO</t>
  </si>
  <si>
    <t xml:space="preserve">    - ENDEUDAMIENTO - BONOS</t>
  </si>
  <si>
    <t>JULIO 2015</t>
  </si>
  <si>
    <t xml:space="preserve">    - DESEMBOLSOS BID (PARA PROYECTOS)</t>
  </si>
  <si>
    <t xml:space="preserve">    - FONDO PARA PIP EN MATERIA DE AGUA, SANEAMIENTO Y SALUD</t>
  </si>
  <si>
    <t>ABRIL 2017</t>
  </si>
  <si>
    <t xml:space="preserve">   '- CONTINUIDAD DE INVERSIONES </t>
  </si>
  <si>
    <t>ENERO 2018</t>
  </si>
  <si>
    <t xml:space="preserve">   '-  EMERGENCIA SANITARIA COVID-19</t>
  </si>
  <si>
    <t>MARZO 2021</t>
  </si>
  <si>
    <t xml:space="preserve">   '-  INCENTIVOS PRESUPUESTALES PARA INVERSIONES</t>
  </si>
  <si>
    <t>JUNIO 2021</t>
  </si>
  <si>
    <t xml:space="preserve">    - TRANSFERENCIAS </t>
  </si>
  <si>
    <t>512-020038</t>
  </si>
  <si>
    <t>SETIEMBRE 2003</t>
  </si>
  <si>
    <t>512-034284</t>
  </si>
  <si>
    <t>ENERO 2006</t>
  </si>
  <si>
    <t>512-037755</t>
  </si>
  <si>
    <t>ENERO 2008</t>
  </si>
  <si>
    <t>512-037992</t>
  </si>
  <si>
    <t>FEBRERO 2008</t>
  </si>
  <si>
    <t xml:space="preserve">    - DONACIONES Y TRANSFERENCIAS (TRANSFERENCIAS DE GN A GR)</t>
  </si>
  <si>
    <t>AGOSTO 2014</t>
  </si>
  <si>
    <t xml:space="preserve">    - DONACIONES Y TRANSFERENCIAS (TRANSFERENCIAS WEB CUT)</t>
  </si>
  <si>
    <t xml:space="preserve">    - DONACIONES Y TRANSFERENCIAS (DONACIONES PERSONAS Y EMPRESAS NACIONALES)</t>
  </si>
  <si>
    <t>NOVIEMBRE 2016</t>
  </si>
  <si>
    <t xml:space="preserve">    - DONACIONES Y TRANSFERENCIAS (DONACIONES PARA APOYO PPTAL</t>
  </si>
  <si>
    <t>JULIO 2017</t>
  </si>
  <si>
    <t xml:space="preserve">    - SOBRECANON PETROLERO</t>
  </si>
  <si>
    <t>MAYO 2018</t>
  </si>
  <si>
    <t xml:space="preserve">    - SOBRECANON PETROLERO - IMPUESTO A LA RENTA</t>
  </si>
  <si>
    <t>SETIEMBRE 2013</t>
  </si>
  <si>
    <t xml:space="preserve">    - ENDEUDAMIENTO - BONOS DE TESORO PUBLICO </t>
  </si>
  <si>
    <t>NOVIEMBRE 2009</t>
  </si>
  <si>
    <t xml:space="preserve">    - FOCAM </t>
  </si>
  <si>
    <t>MAYO 2008</t>
  </si>
  <si>
    <t xml:space="preserve">    - CANON FORESTAL</t>
  </si>
  <si>
    <t xml:space="preserve">    - PARTICIPACIONES BOI</t>
  </si>
  <si>
    <t>MAYO 2012</t>
  </si>
  <si>
    <t xml:space="preserve">    - PARTICIPACIONES FED</t>
  </si>
  <si>
    <t xml:space="preserve">    - PARTICIPACIONES - FIDT</t>
  </si>
  <si>
    <t>JULIO 2020</t>
  </si>
  <si>
    <t xml:space="preserve">    - FONCOR - LEY 31069</t>
  </si>
  <si>
    <t>FEBRERO 2021</t>
  </si>
  <si>
    <t xml:space="preserve">    - CANON MINERO</t>
  </si>
  <si>
    <t>SETIEMBRE 2020</t>
  </si>
  <si>
    <t>6. OTROS</t>
  </si>
  <si>
    <t xml:space="preserve">   - CUENTA CORRIENTE - CARTAS FIANZAS</t>
  </si>
  <si>
    <t>512-083676</t>
  </si>
  <si>
    <t>DICIEMBRE 2018</t>
  </si>
  <si>
    <t xml:space="preserve">   - CUENTA CORRIENTE</t>
  </si>
  <si>
    <t>BANCO CONTINENTAL</t>
  </si>
  <si>
    <t>0306-0100111989-88</t>
  </si>
  <si>
    <t>942: REGION UCAYALI - RED SALUD CORONEL PORTILLO</t>
  </si>
  <si>
    <t xml:space="preserve">       OFICIALES DE CRED. EXTERNO</t>
  </si>
  <si>
    <t>00512076378 D.S. 216-2017 FED</t>
  </si>
  <si>
    <t>UE: RED SALUD ATALAYA</t>
  </si>
  <si>
    <t>RED DE SALUD 03 ATALAYA</t>
  </si>
  <si>
    <t>00513-000588-CUT</t>
  </si>
  <si>
    <t xml:space="preserve">    - FOCAM</t>
  </si>
  <si>
    <t>UE: EDUCACION PURUS</t>
  </si>
  <si>
    <t xml:space="preserve">1506 GOB. REG. DE UCAYALI - EDUCACION PURUS                                                                                                                </t>
  </si>
  <si>
    <t>512-057616-RO</t>
  </si>
  <si>
    <t>512-057616-RDR</t>
  </si>
  <si>
    <t>512-057616-ROOC</t>
  </si>
  <si>
    <t>512-057616 DONACION</t>
  </si>
  <si>
    <t>512-057616-CSP-R19</t>
  </si>
  <si>
    <t xml:space="preserve">    - OTROS (ESPECIFIQUE)</t>
  </si>
  <si>
    <t>0947 AGRICULTURA</t>
  </si>
  <si>
    <t>512-029434</t>
  </si>
  <si>
    <t>512-015026</t>
  </si>
  <si>
    <t>512-049621</t>
  </si>
  <si>
    <t>2011</t>
  </si>
  <si>
    <t>512-026052</t>
  </si>
  <si>
    <t>2004</t>
  </si>
  <si>
    <t>512-013198</t>
  </si>
  <si>
    <t>1999</t>
  </si>
  <si>
    <t>512-021484</t>
  </si>
  <si>
    <t>512-055176</t>
  </si>
  <si>
    <t>512-040837</t>
  </si>
  <si>
    <t>512-047297</t>
  </si>
  <si>
    <t>1507 RED SALUD ATALAYA</t>
  </si>
  <si>
    <t>0951 HOSPITAL REGIONAL DE PUCALLPA</t>
  </si>
  <si>
    <t>0512-029396</t>
  </si>
  <si>
    <t>0512-015069</t>
  </si>
  <si>
    <t xml:space="preserve">    - RECURSOS DIRECTAM. REC.(FARMACIA)</t>
  </si>
  <si>
    <t>0512-015190</t>
  </si>
  <si>
    <t>0512-041647</t>
  </si>
  <si>
    <t xml:space="preserve">UE: TRANSPORTES </t>
  </si>
  <si>
    <t>NACION</t>
  </si>
  <si>
    <t>00-512-029442</t>
  </si>
  <si>
    <t>2. RECURSOS DIRECTAMENTE RECAUDADOS</t>
  </si>
  <si>
    <t xml:space="preserve">    - CUT</t>
  </si>
  <si>
    <t>2005</t>
  </si>
  <si>
    <t xml:space="preserve">    - RDR</t>
  </si>
  <si>
    <t>00-512-015034</t>
  </si>
  <si>
    <t xml:space="preserve">    - TRANSFERENCIA - CUT</t>
  </si>
  <si>
    <t xml:space="preserve">    - TRANSFERENCIA</t>
  </si>
  <si>
    <t>00-512-054226</t>
  </si>
  <si>
    <t>2012</t>
  </si>
  <si>
    <t>UE: DIREC. REGIONAL DE SALUD</t>
  </si>
  <si>
    <t>000950 - SALUD</t>
  </si>
  <si>
    <t>512-029418</t>
  </si>
  <si>
    <t>512-041639</t>
  </si>
  <si>
    <t>512-015050</t>
  </si>
  <si>
    <t>512-015058</t>
  </si>
  <si>
    <t>3. DONACIONES Y TRANSFERENCIAS</t>
  </si>
  <si>
    <t>512-017533</t>
  </si>
  <si>
    <t xml:space="preserve">    - CUT DONACIONES</t>
  </si>
  <si>
    <t xml:space="preserve">    - CUT TRANSFERENCIAS </t>
  </si>
  <si>
    <t>4. RECURSOS DETERMINADOS</t>
  </si>
  <si>
    <t xml:space="preserve">    - CUT CANON Y SOBRECANON PETROLERO</t>
  </si>
  <si>
    <t xml:space="preserve">    - CUT PARTICIPACIONES FED</t>
  </si>
  <si>
    <t xml:space="preserve">    - CANON Y SOBRECANON, REGALIAS Y PARTICIPACIONES</t>
  </si>
  <si>
    <t>512-014739</t>
  </si>
  <si>
    <t xml:space="preserve">      MYPES</t>
  </si>
  <si>
    <t>512-035221</t>
  </si>
  <si>
    <t xml:space="preserve">      UNICEF</t>
  </si>
  <si>
    <t>512-047483</t>
  </si>
  <si>
    <t xml:space="preserve">      SALDO DE BALANCE</t>
  </si>
  <si>
    <t>512-028098</t>
  </si>
  <si>
    <t xml:space="preserve">      INDECI</t>
  </si>
  <si>
    <t>512-049613</t>
  </si>
  <si>
    <t xml:space="preserve">      MINSA</t>
  </si>
  <si>
    <t>512-014690</t>
  </si>
  <si>
    <t>UE: DIREC DE LA PRODUCCION</t>
  </si>
  <si>
    <t>DIREC. REG. PRODUCCION</t>
  </si>
  <si>
    <t>512-029469</t>
  </si>
  <si>
    <t>01/01/2005</t>
  </si>
  <si>
    <t>512-021093</t>
  </si>
  <si>
    <t>02/01/2004</t>
  </si>
  <si>
    <t>2. RECURSOS DIRECTAM. RECAUD. CUT</t>
  </si>
  <si>
    <t>02/2013</t>
  </si>
  <si>
    <t>07/2016</t>
  </si>
  <si>
    <t>08/2021</t>
  </si>
  <si>
    <t>02/2008</t>
  </si>
  <si>
    <t>UE: EDUCACION CORONEL PORTILLO</t>
  </si>
  <si>
    <t>0512-058507</t>
  </si>
  <si>
    <t>0512-058493</t>
  </si>
  <si>
    <t xml:space="preserve">    - CANON  Y  SOBRECANON, IMPUESTO A LA RENTA</t>
  </si>
  <si>
    <t xml:space="preserve">    - CANON  Y  SOBRECANON, PARTICIPACIONES FED</t>
  </si>
  <si>
    <t xml:space="preserve">    - CANON  Y  SOBRECANON, PETROLERO</t>
  </si>
  <si>
    <t xml:space="preserve">    - RECURSOS POR OPERACIONES OFICIALES DE</t>
  </si>
  <si>
    <t xml:space="preserve">      CREDITO</t>
  </si>
  <si>
    <t>UE: EDUCACION PADRE ABAD</t>
  </si>
  <si>
    <t>00512056334-RO</t>
  </si>
  <si>
    <t>PEN - Nuevo Sol</t>
  </si>
  <si>
    <t>00512056334-CUT-RDR</t>
  </si>
  <si>
    <t>00512056334-APENDIS-N</t>
  </si>
  <si>
    <t>00512056334-PART-FED-19</t>
  </si>
  <si>
    <t xml:space="preserve">0512-029361       </t>
  </si>
  <si>
    <t>2. RECURSOS DIRECTAM. RECAUD. (CUT)</t>
  </si>
  <si>
    <t>3.- RECURSOS OPERACIONES OFICIALES DE CRED. INTERNO CUT</t>
  </si>
  <si>
    <t xml:space="preserve">    - DONACIONES Y TRANSFERENCIAS (CUT)</t>
  </si>
  <si>
    <t xml:space="preserve">    - DONACIONES Y TRANSFERENCIAS</t>
  </si>
  <si>
    <t>0512-069517</t>
  </si>
  <si>
    <t xml:space="preserve">    - SUB CUENTA- CANON Y SOBRECANON-IMPUESTO A LA RENTA 17 (CUT)</t>
  </si>
  <si>
    <t xml:space="preserve">    - SUB CUENTA - FONCOR - LEY 31069  27 (CUT)</t>
  </si>
  <si>
    <t xml:space="preserve">    - SUB CUENTA - CANON Y SOBRECANON PETROLERO K (CUT)</t>
  </si>
  <si>
    <t xml:space="preserve">    - SUB CUENTA - CANON FORESTAL L (CUT)</t>
  </si>
  <si>
    <t xml:space="preserve">    - CANON  Y  SOBRECANON, PETROLERO CUENTA CENTRAL RD</t>
  </si>
  <si>
    <t>0512-036953</t>
  </si>
  <si>
    <t>0516-000678</t>
  </si>
  <si>
    <t>0949</t>
  </si>
  <si>
    <t>0.00</t>
  </si>
  <si>
    <t>512029388</t>
  </si>
  <si>
    <t>2013</t>
  </si>
  <si>
    <t>116,477.32</t>
  </si>
  <si>
    <t>66,679.11</t>
  </si>
  <si>
    <t xml:space="preserve">            -DU 051- 2020-MEDIDAS EXTRAORDINARIAS Y TEMPORALES -COVID19-ROOC</t>
  </si>
  <si>
    <t>2020</t>
  </si>
  <si>
    <t xml:space="preserve">     - DONACIONES DE ORGANISMOS INTERNACIONALES</t>
  </si>
  <si>
    <t>2019</t>
  </si>
  <si>
    <t>19,629.20</t>
  </si>
  <si>
    <t>138,210.42</t>
  </si>
  <si>
    <t xml:space="preserve">     - DONACIONES PARA APOYO PRESUPESTARIO</t>
  </si>
  <si>
    <t>2017</t>
  </si>
  <si>
    <t>2,984.61</t>
  </si>
  <si>
    <t>5,179.65</t>
  </si>
  <si>
    <t xml:space="preserve">    - CANON  Y  SOBRECANON - IMPUESTO A LA RENTA</t>
  </si>
  <si>
    <t>2008</t>
  </si>
  <si>
    <t>7,716.63</t>
  </si>
  <si>
    <t>7,722.60</t>
  </si>
  <si>
    <t>2014</t>
  </si>
  <si>
    <t>35,018.29</t>
  </si>
  <si>
    <t>13,208.29</t>
  </si>
  <si>
    <t xml:space="preserve">    - CANON Y SOBRECANON PETROLERO</t>
  </si>
  <si>
    <t>473.87</t>
  </si>
  <si>
    <t>474.22</t>
  </si>
  <si>
    <t>UE: HOSPITAL AMAZONICO</t>
  </si>
  <si>
    <t>00-512-029426</t>
  </si>
  <si>
    <t>00-512-029426 CTA-CUT-RDR</t>
  </si>
  <si>
    <t>00-512-029426 CREDITO</t>
  </si>
  <si>
    <t>00-512-029426 - TRANSF-CUT</t>
  </si>
  <si>
    <t>00-512-029426 FOCAM</t>
  </si>
  <si>
    <t>UE:005</t>
  </si>
  <si>
    <t>00512029477</t>
  </si>
  <si>
    <t>2009</t>
  </si>
  <si>
    <t xml:space="preserve">SOLES </t>
  </si>
  <si>
    <t>00512015018</t>
  </si>
  <si>
    <t>UE: GERENMCIA  TERRITORIAL PURUS</t>
  </si>
  <si>
    <t>00-512-029337</t>
  </si>
  <si>
    <t>00-512-029337 - RDR</t>
  </si>
  <si>
    <t xml:space="preserve">00-512-029337 - ENDEUDAMIENTO </t>
  </si>
  <si>
    <t xml:space="preserve">                          (IMPUESTO A LA RENTA )</t>
  </si>
  <si>
    <t xml:space="preserve">DIRECCION GENERAL DE ENDEUDAMIENTO Y TESORO PUBLICO  </t>
  </si>
  <si>
    <t>CUENTA PRINCIPAL DEL TESORO PUBLICO</t>
  </si>
  <si>
    <t>(CANON Y SOBRECANON PETROLERO)</t>
  </si>
  <si>
    <t>(FOCAM)</t>
  </si>
  <si>
    <t xml:space="preserve">00-512-029337- FOCAN  </t>
  </si>
  <si>
    <t>FORMATO 17: NOMBRES E INGRESOS MENSUALES DEL PERSONAL CONTRATADO FUERA DEL PAP EN LOS AÑOS FISCALES 2020 Y 2021</t>
  </si>
  <si>
    <t>SEDE CENTRAL - GOBIERNO REGIONAL DE UCAYALI</t>
  </si>
  <si>
    <t>CONTRATANTE</t>
  </si>
  <si>
    <t>CONTRATADO</t>
  </si>
  <si>
    <t>AÑO FISCAL 2020</t>
  </si>
  <si>
    <t>AÑO FISCAL 2021 (*)</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</si>
  <si>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</si>
  <si>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</si>
  <si>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</si>
  <si>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</si>
  <si>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</si>
  <si>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</si>
  <si>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</si>
  <si>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</si>
  <si>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</si>
  <si>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</si>
  <si>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</si>
  <si>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</si>
  <si>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0942</t>
  </si>
  <si>
    <t>R.O.</t>
  </si>
  <si>
    <t>OBRERO DEL PARQUE NATURAL</t>
  </si>
  <si>
    <t>41041901</t>
  </si>
  <si>
    <t>SUPERVISOR DE AGENTE DE SEGURIDAD</t>
  </si>
  <si>
    <t>00120750</t>
  </si>
  <si>
    <t>ABOGADO-PROCURADURIA PUBLICA</t>
  </si>
  <si>
    <t>46769664</t>
  </si>
  <si>
    <t>ABOGADO</t>
  </si>
  <si>
    <t>ASISTENTE ADMINISTRATIVO</t>
  </si>
  <si>
    <t>22530308</t>
  </si>
  <si>
    <t>40139579</t>
  </si>
  <si>
    <t>ASISTENTE LEGAL</t>
  </si>
  <si>
    <t>73303082</t>
  </si>
  <si>
    <t>COORDINADOR DEL MIMP</t>
  </si>
  <si>
    <t>41608002</t>
  </si>
  <si>
    <t>LICENCIADO EN EDUCACION</t>
  </si>
  <si>
    <t>42639549</t>
  </si>
  <si>
    <t>BACHILLER EN DERECHO</t>
  </si>
  <si>
    <t>AGENTE DE SEGURIDAD</t>
  </si>
  <si>
    <t>05285603</t>
  </si>
  <si>
    <t>APOYO ADMINISTRATIVO</t>
  </si>
  <si>
    <t>72197878</t>
  </si>
  <si>
    <t>BACHILLER EN CIENCIAS CONTABLES Y FINANCIERAS</t>
  </si>
  <si>
    <t>TECNICO ADMINISTRATIVO</t>
  </si>
  <si>
    <t>00056917</t>
  </si>
  <si>
    <t>42076017</t>
  </si>
  <si>
    <t>SUPERVISOR DE PROYECTOS</t>
  </si>
  <si>
    <t>42397200</t>
  </si>
  <si>
    <t>71249010</t>
  </si>
  <si>
    <t>BACHILLER EN CONTABILIDAD</t>
  </si>
  <si>
    <t>JEFE DE SERVICIOS Y MANTENIMIENTO</t>
  </si>
  <si>
    <t>40125467</t>
  </si>
  <si>
    <t>SECRETARIADO EJECUTIVO</t>
  </si>
  <si>
    <t>COCINERA</t>
  </si>
  <si>
    <t>05251844</t>
  </si>
  <si>
    <t>OPERADOR LOGÍSTICO EN ALMACENES</t>
  </si>
  <si>
    <t>40035323</t>
  </si>
  <si>
    <t>CONTADOR PUBLICO</t>
  </si>
  <si>
    <t>00016769</t>
  </si>
  <si>
    <t>ECONOMISTA</t>
  </si>
  <si>
    <t>TECNICO LEGAL</t>
  </si>
  <si>
    <t>41163444</t>
  </si>
  <si>
    <t>SECRETARIA</t>
  </si>
  <si>
    <t>00101538</t>
  </si>
  <si>
    <t>00125643</t>
  </si>
  <si>
    <t>APOYO ADMINISTRATIVO - SEGURIDAD CIUDADANA</t>
  </si>
  <si>
    <t>73498264</t>
  </si>
  <si>
    <t>COMUNICADOR</t>
  </si>
  <si>
    <t>40829594</t>
  </si>
  <si>
    <t>BACHILLER EN CIENCIAS DE LA COMUNICACION</t>
  </si>
  <si>
    <t>SECRETARIO TECNICO DE LOS ORG. INSTRUC. DEL PROCEDIM. ADMINIST.DISCIP.GOREU</t>
  </si>
  <si>
    <t>22508611</t>
  </si>
  <si>
    <t>ESPECIALISTA EN INVERSION</t>
  </si>
  <si>
    <t>22414567</t>
  </si>
  <si>
    <t>ASESOR TECNICO</t>
  </si>
  <si>
    <t>22497011</t>
  </si>
  <si>
    <t>07228577</t>
  </si>
  <si>
    <t>BACHILLER EN INGENIERIA INDUSTRIAL</t>
  </si>
  <si>
    <t>ASISTENTE TECNICA DE PROYECTO</t>
  </si>
  <si>
    <t>76504084</t>
  </si>
  <si>
    <t>BACHILLER EN ECONOMIA</t>
  </si>
  <si>
    <t>ABOGADA</t>
  </si>
  <si>
    <t>45434733</t>
  </si>
  <si>
    <t>71871146</t>
  </si>
  <si>
    <t>47920197</t>
  </si>
  <si>
    <t>TECNICO EN CONTABILIDAD</t>
  </si>
  <si>
    <t>ASISTENTE DE INGENIERIA</t>
  </si>
  <si>
    <t>71550961</t>
  </si>
  <si>
    <t>ASESOR LEGAL</t>
  </si>
  <si>
    <t>46213162</t>
  </si>
  <si>
    <t>TÉCNICO ESPECIALISTA EN RIESGO Y DESASTRES</t>
  </si>
  <si>
    <t>00102011</t>
  </si>
  <si>
    <t>CHOFER</t>
  </si>
  <si>
    <t>21145220</t>
  </si>
  <si>
    <t>ESPECIALISTA EN SISTEMA DE INFORMATICA</t>
  </si>
  <si>
    <t>42804988</t>
  </si>
  <si>
    <t>INGENIERO DE SISTEMAS</t>
  </si>
  <si>
    <t>JEFE DE ADQUSICIONES</t>
  </si>
  <si>
    <t>40001650</t>
  </si>
  <si>
    <t>COMPUTACION E INFORMATICA</t>
  </si>
  <si>
    <t>ESPECIALISTA EN DEFENSA NACIONAL</t>
  </si>
  <si>
    <t>45312113</t>
  </si>
  <si>
    <t>00101199</t>
  </si>
  <si>
    <t>ESPECIALISTA EN MEDIO AMBIENTE</t>
  </si>
  <si>
    <t>72557061</t>
  </si>
  <si>
    <t>72072218</t>
  </si>
  <si>
    <t>ASISTENTE LEGAL DE LA SEC.TECNICA DE PROCESOS DISCIPLINARIOS</t>
  </si>
  <si>
    <t>46467986</t>
  </si>
  <si>
    <t>00157025</t>
  </si>
  <si>
    <t>44351642</t>
  </si>
  <si>
    <t>ANALISTA FINANCIERO</t>
  </si>
  <si>
    <t>44594564</t>
  </si>
  <si>
    <t>TECNICO EN COMPUTACION INFORMATICA</t>
  </si>
  <si>
    <t>00125389</t>
  </si>
  <si>
    <t>TECNICO EN COMPUTACION</t>
  </si>
  <si>
    <t>VIGILANTE</t>
  </si>
  <si>
    <t>00013280</t>
  </si>
  <si>
    <t>DIRECTOR REGIONAL DE LA PRODUCCION</t>
  </si>
  <si>
    <t>32977158</t>
  </si>
  <si>
    <t>BIOLOGO ACUICULTOR</t>
  </si>
  <si>
    <t>ESPECIALISTA EN ESTADISTICA</t>
  </si>
  <si>
    <t>00111773</t>
  </si>
  <si>
    <t>76981518</t>
  </si>
  <si>
    <t>COORDINADOR DE AREA DE MANTENIMIENTO DEL ZOOLOGICO PARQUE NATURAL DE PUCALLPA</t>
  </si>
  <si>
    <t>00066852</t>
  </si>
  <si>
    <t>TECNICO EN ADMINIST. DE EMPRESAS</t>
  </si>
  <si>
    <t>74737461</t>
  </si>
  <si>
    <t>80219518</t>
  </si>
  <si>
    <t>44157754</t>
  </si>
  <si>
    <t>BACHILLER EN CIENCIAS FORESTALES</t>
  </si>
  <si>
    <t>00068781</t>
  </si>
  <si>
    <t>43311439</t>
  </si>
  <si>
    <t>40382373</t>
  </si>
  <si>
    <t>ASISTENTE DE CAMPO</t>
  </si>
  <si>
    <t>00095473</t>
  </si>
  <si>
    <t>PROMOTOR DE CONSERVACIÓN</t>
  </si>
  <si>
    <t>72954656</t>
  </si>
  <si>
    <t>COCINERA-ALDEA SAN JUAN</t>
  </si>
  <si>
    <t>00043443</t>
  </si>
  <si>
    <t>00128177</t>
  </si>
  <si>
    <t>LICENCIADO EN ADMINISTRACION</t>
  </si>
  <si>
    <t>00087390</t>
  </si>
  <si>
    <t>FISIOTERAPISTA</t>
  </si>
  <si>
    <t>43781800</t>
  </si>
  <si>
    <t>TECNICO EN ARCHIVO</t>
  </si>
  <si>
    <t>16752361</t>
  </si>
  <si>
    <t>42705846</t>
  </si>
  <si>
    <t>48287338</t>
  </si>
  <si>
    <t>APOYO SECRETARIAL</t>
  </si>
  <si>
    <t>00105516</t>
  </si>
  <si>
    <t>EVALUADOR DE PROYECTOS</t>
  </si>
  <si>
    <t>00114688</t>
  </si>
  <si>
    <t>INGENIERO AGRONOMO</t>
  </si>
  <si>
    <t>43098520</t>
  </si>
  <si>
    <t>05868808</t>
  </si>
  <si>
    <t>ESPECIALISTA EN PROCESOS</t>
  </si>
  <si>
    <t>42148402</t>
  </si>
  <si>
    <t>TÉCNICO ADMINISTRATIVO</t>
  </si>
  <si>
    <t>00101999</t>
  </si>
  <si>
    <t>TECNICO CONTABLE</t>
  </si>
  <si>
    <t>ANALISTA PROGRAMADOR</t>
  </si>
  <si>
    <t>42928945</t>
  </si>
  <si>
    <t>DIRECTOR DE LA OFICINA REGIONAL DE DIALOGO Y GESTION DE CONFLICTOS</t>
  </si>
  <si>
    <t>21141816</t>
  </si>
  <si>
    <t>GEOGRAFO</t>
  </si>
  <si>
    <t>47120791</t>
  </si>
  <si>
    <t>00086955</t>
  </si>
  <si>
    <t>ESPECIALISTA EN FINANZAS III</t>
  </si>
  <si>
    <t>44203290</t>
  </si>
  <si>
    <t>41894329</t>
  </si>
  <si>
    <t>00046374</t>
  </si>
  <si>
    <t>72688567</t>
  </si>
  <si>
    <t>GUARDIAN DEL MODULO DE TRATAMIENTO DE AGUA CENTRO POBLADO MONTE ALEGRE</t>
  </si>
  <si>
    <t>44536501</t>
  </si>
  <si>
    <t>00122330</t>
  </si>
  <si>
    <t>OBRERO ESPECIALISTA EN FAUNA</t>
  </si>
  <si>
    <t>40220430</t>
  </si>
  <si>
    <t>22477219</t>
  </si>
  <si>
    <t>46207353</t>
  </si>
  <si>
    <t>09565921</t>
  </si>
  <si>
    <t>TECNICO EN CARPINTERIA</t>
  </si>
  <si>
    <t>40553604</t>
  </si>
  <si>
    <t>PROFESOR EDUCACION PRIMARIA</t>
  </si>
  <si>
    <t>CAMAROGRAFO</t>
  </si>
  <si>
    <t>41581793</t>
  </si>
  <si>
    <t>MULTISERVICIOS</t>
  </si>
  <si>
    <t>05347839</t>
  </si>
  <si>
    <t>00109192</t>
  </si>
  <si>
    <t>PERSONAL DE SERVICIO DE LIMPIEZA</t>
  </si>
  <si>
    <t>25013700</t>
  </si>
  <si>
    <t>APOYO MODULO DE INTEROPERABILIDAD</t>
  </si>
  <si>
    <t>09569526</t>
  </si>
  <si>
    <t>TECNICO EN DISEÑO GRAFICO</t>
  </si>
  <si>
    <t>46922779</t>
  </si>
  <si>
    <t>ESPECIALISTA EN PLANEAMIENTO</t>
  </si>
  <si>
    <t>40742607</t>
  </si>
  <si>
    <t>00188165</t>
  </si>
  <si>
    <t>ESPECIALISTA ADMINISTRATIVO EN EL AREA DE DEFENSA NACIONAL</t>
  </si>
  <si>
    <t>10273673</t>
  </si>
  <si>
    <t>43823539</t>
  </si>
  <si>
    <t>ADMINISTRADORA</t>
  </si>
  <si>
    <t>72176182</t>
  </si>
  <si>
    <t>LICENCIADO EN PSICOLOGIA</t>
  </si>
  <si>
    <t>TECNICO ADMINISTRATIVO EN GESTION DE RIESGO Y DESASTRE</t>
  </si>
  <si>
    <t>44101692</t>
  </si>
  <si>
    <t>ANALISTA CONTABLE</t>
  </si>
  <si>
    <t>42308352</t>
  </si>
  <si>
    <t>ABOGADA I</t>
  </si>
  <si>
    <t>45280195</t>
  </si>
  <si>
    <t>SOPORTE TECNICO</t>
  </si>
  <si>
    <t>41938690</t>
  </si>
  <si>
    <t>TECNICO EN COMPUTACION E INFORMATICA</t>
  </si>
  <si>
    <t>SECRETARIA EJECUTIVA</t>
  </si>
  <si>
    <t>42951828</t>
  </si>
  <si>
    <t>ASISTENTE ADMINISTRATIVO DEL AREA DE SEGURIDAD CIUDADANA</t>
  </si>
  <si>
    <t>21144972</t>
  </si>
  <si>
    <t>MECANICA DE MANTENIMIENTO</t>
  </si>
  <si>
    <t>APOYO EN ACTIVIDADES DE LIMPIEZA</t>
  </si>
  <si>
    <t>00070925</t>
  </si>
  <si>
    <t>00021065</t>
  </si>
  <si>
    <t>TECNICO</t>
  </si>
  <si>
    <t>44282807</t>
  </si>
  <si>
    <t>ASISTENTE EN PSICOLOGIA</t>
  </si>
  <si>
    <t>73306306</t>
  </si>
  <si>
    <t>48328052</t>
  </si>
  <si>
    <t>00111269</t>
  </si>
  <si>
    <t>00106652</t>
  </si>
  <si>
    <t>70912881</t>
  </si>
  <si>
    <t>ESPECIALISTA EN PRESUPUESTO 1.1</t>
  </si>
  <si>
    <t>42574662</t>
  </si>
  <si>
    <t>LICENCIADO EN ADMINISTRACION DE EMPRESAS</t>
  </si>
  <si>
    <t>ASISTENTE DE GESTION ADMINISTRATIVA DE ALTA DIRECCIÓN I</t>
  </si>
  <si>
    <t>00100204</t>
  </si>
  <si>
    <t>COORDINADOR</t>
  </si>
  <si>
    <t>00019748</t>
  </si>
  <si>
    <t>DIRECTOR</t>
  </si>
  <si>
    <t>00036165</t>
  </si>
  <si>
    <t>JEFE DE SEGURIDAD Y VIGILANCIA</t>
  </si>
  <si>
    <t>07755266</t>
  </si>
  <si>
    <t>74140747</t>
  </si>
  <si>
    <t>LABOR DE LIMPIEZA Y BOLETERIA</t>
  </si>
  <si>
    <t>00043657</t>
  </si>
  <si>
    <t>ASISTENTE DE TOPOGRAFIA</t>
  </si>
  <si>
    <t>00099614</t>
  </si>
  <si>
    <t>OPERADOR DE LA PLANTA DE ASFALTO</t>
  </si>
  <si>
    <t>17434962</t>
  </si>
  <si>
    <t>ESPECIALISTA EN RECURSOS NATURALES</t>
  </si>
  <si>
    <t>43461291</t>
  </si>
  <si>
    <t>42505570</t>
  </si>
  <si>
    <t>41612871</t>
  </si>
  <si>
    <t>BACHILLER EN ADMINISTRACION DE EMPRESAS</t>
  </si>
  <si>
    <t>GUARDAPARQUES I</t>
  </si>
  <si>
    <t>05925375</t>
  </si>
  <si>
    <t>40048207</t>
  </si>
  <si>
    <t>08632974</t>
  </si>
  <si>
    <t>ESPECIALISTA EN EXTENSION</t>
  </si>
  <si>
    <t>41118778</t>
  </si>
  <si>
    <t>00081355</t>
  </si>
  <si>
    <t>COCINERO</t>
  </si>
  <si>
    <t>22426045</t>
  </si>
  <si>
    <t>44169671</t>
  </si>
  <si>
    <t>00086511</t>
  </si>
  <si>
    <t>BACHILLER PROFESIONAL EN ADMINISTRACION</t>
  </si>
  <si>
    <t>47445790</t>
  </si>
  <si>
    <t>44419580</t>
  </si>
  <si>
    <t>GUARDAPARQUE I</t>
  </si>
  <si>
    <t>80388881</t>
  </si>
  <si>
    <t>ESPECIALISTA EN CONTROL PREVIO</t>
  </si>
  <si>
    <t>41128613</t>
  </si>
  <si>
    <t>00125545</t>
  </si>
  <si>
    <t>PROMOCION Y DIFUSION DE ACTIVIDADES</t>
  </si>
  <si>
    <t>43829486</t>
  </si>
  <si>
    <t>41331181</t>
  </si>
  <si>
    <t>77575105</t>
  </si>
  <si>
    <t>SERVICIO DE LIMPIEZA</t>
  </si>
  <si>
    <t>00090195</t>
  </si>
  <si>
    <t>00028778</t>
  </si>
  <si>
    <t>MANTENIMIENTO DE AUDITORIO</t>
  </si>
  <si>
    <t>00093832</t>
  </si>
  <si>
    <t>21402620</t>
  </si>
  <si>
    <t>INGENIERO</t>
  </si>
  <si>
    <t>ENCARGADA DEL MUSEO</t>
  </si>
  <si>
    <t>43225021</t>
  </si>
  <si>
    <t>TECNICO JURIDICO</t>
  </si>
  <si>
    <t>45450090</t>
  </si>
  <si>
    <t>00113097</t>
  </si>
  <si>
    <t>KARDISTA EN ALMACEN</t>
  </si>
  <si>
    <t>48486377</t>
  </si>
  <si>
    <t>46142592</t>
  </si>
  <si>
    <t>45920129</t>
  </si>
  <si>
    <t>OBRERO</t>
  </si>
  <si>
    <t>00087269</t>
  </si>
  <si>
    <t>41121800</t>
  </si>
  <si>
    <t>46114920</t>
  </si>
  <si>
    <t>00030666</t>
  </si>
  <si>
    <t>00066888</t>
  </si>
  <si>
    <t>EDITOR</t>
  </si>
  <si>
    <t>42604503</t>
  </si>
  <si>
    <t>ASIST.ADM.MODULO DE PRIMERA RESPUESTA</t>
  </si>
  <si>
    <t>00103189</t>
  </si>
  <si>
    <t>ESPECIALISTA EN INFORMATICA</t>
  </si>
  <si>
    <t>42399699</t>
  </si>
  <si>
    <t>ESPECIALISTA EN AUDICION Y LENGUAJE</t>
  </si>
  <si>
    <t>19911799</t>
  </si>
  <si>
    <t>40295497</t>
  </si>
  <si>
    <t>ESPECIALISTA EN SEGURIDAD Y DEFENSA NACIONAL</t>
  </si>
  <si>
    <t>25600762</t>
  </si>
  <si>
    <t>70765364</t>
  </si>
  <si>
    <t>R.D.R.</t>
  </si>
  <si>
    <t>ASISTENTE TECNICO AREA DE CONCESIONES</t>
  </si>
  <si>
    <t>43424266</t>
  </si>
  <si>
    <t>INGENIERO FORESTAL</t>
  </si>
  <si>
    <t>BACHILLER FORESTAL</t>
  </si>
  <si>
    <t>00075875</t>
  </si>
  <si>
    <t>45884410</t>
  </si>
  <si>
    <t>JEFE DE OFICINA</t>
  </si>
  <si>
    <t>40720693</t>
  </si>
  <si>
    <t>MOTORISTA</t>
  </si>
  <si>
    <t>44020904</t>
  </si>
  <si>
    <t>TECNICO CONTROL FORESTAL</t>
  </si>
  <si>
    <t>41041900</t>
  </si>
  <si>
    <t>00112924</t>
  </si>
  <si>
    <t>RESPONSABLE ADMINISTRATIVO</t>
  </si>
  <si>
    <t>22462241</t>
  </si>
  <si>
    <t>ESPECIALISTA FORESTAL</t>
  </si>
  <si>
    <t>40517592</t>
  </si>
  <si>
    <t>00063789</t>
  </si>
  <si>
    <t>ASISTENTE TECNICO AEROPUERTO</t>
  </si>
  <si>
    <t>41937739</t>
  </si>
  <si>
    <t>40966517</t>
  </si>
  <si>
    <t>TECNICO DE CONTROL FORESTAL</t>
  </si>
  <si>
    <t>00097344</t>
  </si>
  <si>
    <t>TECNICO AGROPECUARIO</t>
  </si>
  <si>
    <t>42731642</t>
  </si>
  <si>
    <t>ESPECILAISTA ADMINISTRATIVO DEL ZOOLOGICO DEL PARQUE NATURAL DE PUCALLPA</t>
  </si>
  <si>
    <t>40319327</t>
  </si>
  <si>
    <t>TECNICO EN ADMINISTRACION</t>
  </si>
  <si>
    <t>40969766</t>
  </si>
  <si>
    <t>TÉCNICO DE CONTROL FORESTAL</t>
  </si>
  <si>
    <t>42768556</t>
  </si>
  <si>
    <t>OBRERO PARQUE NATURAL</t>
  </si>
  <si>
    <t>00037864</t>
  </si>
  <si>
    <t>00109497</t>
  </si>
  <si>
    <t>RESPONSABLE DEL AREA DE PERMISOS Y AUTORIZACION</t>
  </si>
  <si>
    <t>00110006</t>
  </si>
  <si>
    <t>40991768</t>
  </si>
  <si>
    <t>VIGILANTE PUERTA 2</t>
  </si>
  <si>
    <t>21145965</t>
  </si>
  <si>
    <t>VIGILANTE DE PUERTA 3</t>
  </si>
  <si>
    <t>00170738</t>
  </si>
  <si>
    <t>TÉCNICO EN MANEJO FORESTAL COMUNITARIO</t>
  </si>
  <si>
    <t>00109789</t>
  </si>
  <si>
    <t>TECNICO FORESTAL</t>
  </si>
  <si>
    <t>80210660</t>
  </si>
  <si>
    <t>41183026</t>
  </si>
  <si>
    <t>44976411</t>
  </si>
  <si>
    <t>RESPOSANBLE DEL AREA DE PROCESO SANCIONADOR</t>
  </si>
  <si>
    <t>00037100</t>
  </si>
  <si>
    <t>JEFE DE OFICINA - PROCESO ADMINISTRATIVO SANCIONADOR</t>
  </si>
  <si>
    <t>43988220</t>
  </si>
  <si>
    <t>00100833</t>
  </si>
  <si>
    <t>APOYO A LA ADMINISTRACION TECNICA Y FORESTAL Y FAUNA SILVESTRE</t>
  </si>
  <si>
    <t>00029474</t>
  </si>
  <si>
    <t>TECNICO CONTROL SECTOR 3</t>
  </si>
  <si>
    <t>40425212</t>
  </si>
  <si>
    <t>00082057</t>
  </si>
  <si>
    <t>TECNICO DE CONTROL SECTOR 02</t>
  </si>
  <si>
    <t>40279954</t>
  </si>
  <si>
    <t>40580683</t>
  </si>
  <si>
    <t>00023937</t>
  </si>
  <si>
    <t>APOYO A LA ADMINISTRACIÓN TÉCNICA</t>
  </si>
  <si>
    <t>21146794</t>
  </si>
  <si>
    <t>CHOFER DE ADMINISTRACION</t>
  </si>
  <si>
    <t>00008343</t>
  </si>
  <si>
    <t>41225012</t>
  </si>
  <si>
    <t>44265082</t>
  </si>
  <si>
    <t>TÉCNICO EN EL AREA DE MANEJO FORESTAL COMUNITARIO</t>
  </si>
  <si>
    <t>00113184</t>
  </si>
  <si>
    <t>ASISTENTE TEMÁTICO DE CAMPO - CONTROL FORESTAL</t>
  </si>
  <si>
    <t>25760091</t>
  </si>
  <si>
    <t>00092404</t>
  </si>
  <si>
    <t>TECNICO PUESTO DE CONTROL KM. 10.500</t>
  </si>
  <si>
    <t>00106256</t>
  </si>
  <si>
    <t>APOYO A LA ADMINISTRACION TECNICAFORESTAL Y DE FAUNA SILVESTTRE UCAYALI</t>
  </si>
  <si>
    <t>00125437</t>
  </si>
  <si>
    <t>INGENIERO ESPEFCIALISTA</t>
  </si>
  <si>
    <t>00124829</t>
  </si>
  <si>
    <t>TECNICO DE CONTROL BAHIA ROLLIZA</t>
  </si>
  <si>
    <t>42555741</t>
  </si>
  <si>
    <t>46050532</t>
  </si>
  <si>
    <t>40816702</t>
  </si>
  <si>
    <t>RESPONSABLE DEL AREA DE CONTROL DE INDUSTRIA</t>
  </si>
  <si>
    <t>00004817</t>
  </si>
  <si>
    <t>APOYO A LA ADMINISTRACIÓN TÉCNICA FORESTAL Y DE FAUNA SILVESTRE DE PUCALLPA</t>
  </si>
  <si>
    <t>00172677</t>
  </si>
  <si>
    <t>VIGILANTE PUERTA 8</t>
  </si>
  <si>
    <t>21142149</t>
  </si>
  <si>
    <t>41685204</t>
  </si>
  <si>
    <t>45290586</t>
  </si>
  <si>
    <t>00068021</t>
  </si>
  <si>
    <t>42501079</t>
  </si>
  <si>
    <t>PROMOTOR</t>
  </si>
  <si>
    <t>42106572</t>
  </si>
  <si>
    <t>TECNICO DE AREA DE CONTROL DE BAHIA ASERRADA</t>
  </si>
  <si>
    <t>00087350</t>
  </si>
  <si>
    <t>41616479</t>
  </si>
  <si>
    <t>OBRERO ESPEC. EN FAUNA</t>
  </si>
  <si>
    <t>00089560</t>
  </si>
  <si>
    <t>ESPECIALISTA EN RR.NN. - REGENTE PARA EL ZOOLOGICO PARQUE NATURAL</t>
  </si>
  <si>
    <t>09884786</t>
  </si>
  <si>
    <t>MEDICO VETERINARIO</t>
  </si>
  <si>
    <t>44306602</t>
  </si>
  <si>
    <t>05239442</t>
  </si>
  <si>
    <t>SUB TOTAL</t>
  </si>
  <si>
    <t>PY. INVERSION</t>
  </si>
  <si>
    <t>PROMOTOR DE INVERSIONES PUBLICAS</t>
  </si>
  <si>
    <t>00084646</t>
  </si>
  <si>
    <t>ADMINISTRACION DE EMPRESAS</t>
  </si>
  <si>
    <t>LIQUIDADOR DE OBRAS</t>
  </si>
  <si>
    <t>00095273</t>
  </si>
  <si>
    <t>ASISTENTE DE GERENCIA</t>
  </si>
  <si>
    <t>07217646</t>
  </si>
  <si>
    <t>BACHILLER EN SOCIOLOGIA</t>
  </si>
  <si>
    <t>42565358</t>
  </si>
  <si>
    <t>40205361</t>
  </si>
  <si>
    <t>SECRETARIADO</t>
  </si>
  <si>
    <t>ABOGADO DE LA PROCURADURIA</t>
  </si>
  <si>
    <t>40731470</t>
  </si>
  <si>
    <t>INSPECTOR DE OBRAS</t>
  </si>
  <si>
    <t>06026049</t>
  </si>
  <si>
    <t>07456841</t>
  </si>
  <si>
    <t>00076876</t>
  </si>
  <si>
    <t>00092417</t>
  </si>
  <si>
    <t>ADMISTRACION DE ESCENARIOS DEPORTIVOS</t>
  </si>
  <si>
    <t>06759760</t>
  </si>
  <si>
    <t>ESPECIALISTA EN PLANIFICACION</t>
  </si>
  <si>
    <t>22411858</t>
  </si>
  <si>
    <t>SECRETARIA EJECUTIVA V</t>
  </si>
  <si>
    <t>21141665</t>
  </si>
  <si>
    <t>00086563</t>
  </si>
  <si>
    <t>BACHILLER EN INGENIERIA CIVIL</t>
  </si>
  <si>
    <t>ASISTENTE DE OBRAS</t>
  </si>
  <si>
    <t>41101309</t>
  </si>
  <si>
    <t>PROFESIONAL TECNICO EN CONSTRUCCION CIVIL</t>
  </si>
  <si>
    <t>TECNICO PROYECTISTA</t>
  </si>
  <si>
    <t>00017106</t>
  </si>
  <si>
    <t>TECNICO ADMIISTRATIVO</t>
  </si>
  <si>
    <t>00007561</t>
  </si>
  <si>
    <t>TECNICO EN SECRETARIADO EJECUTIVO</t>
  </si>
  <si>
    <t>ESPECIALISTA EN DEMARCACION TERRTORIAL</t>
  </si>
  <si>
    <t>06706136</t>
  </si>
  <si>
    <t>INGENIERO GEOGRAFO</t>
  </si>
  <si>
    <t>ESPECIALISTA EN IMPACTO AMBIENTAL</t>
  </si>
  <si>
    <t>42376044</t>
  </si>
  <si>
    <t>SECRETARIADO EJECUTIVO COMPUTARIZADO</t>
  </si>
  <si>
    <t>06149392</t>
  </si>
  <si>
    <t>43367139</t>
  </si>
  <si>
    <t>00118441</t>
  </si>
  <si>
    <t>ESPECIALISTA EN PROYECTOS DE EDUCACIOJN</t>
  </si>
  <si>
    <t>44235200</t>
  </si>
  <si>
    <t>ESPECIALISTA EN PLANES</t>
  </si>
  <si>
    <t>22481342</t>
  </si>
  <si>
    <t>ANALISTA Y MONITOREO DE PROYECTOS</t>
  </si>
  <si>
    <t>06623230</t>
  </si>
  <si>
    <t>00121063</t>
  </si>
  <si>
    <t>ESPECIALISTA EN PROYECTOS</t>
  </si>
  <si>
    <t>08170711</t>
  </si>
  <si>
    <t>21144649</t>
  </si>
  <si>
    <t>PROFESIONAL TECNICO EN ELECTRICIDAD</t>
  </si>
  <si>
    <t>TECNICO ELECTRICISTA</t>
  </si>
  <si>
    <t>06704193</t>
  </si>
  <si>
    <t>ELECTRICIDAD</t>
  </si>
  <si>
    <t>00022618</t>
  </si>
  <si>
    <t>09672646</t>
  </si>
  <si>
    <t>ASISTENTE DE SECRETARIA</t>
  </si>
  <si>
    <t>00130336</t>
  </si>
  <si>
    <t>42555751</t>
  </si>
  <si>
    <t>41429799</t>
  </si>
  <si>
    <t>00084440</t>
  </si>
  <si>
    <t>SECRETARIADO COMERCIAL</t>
  </si>
  <si>
    <t>CONTADOR</t>
  </si>
  <si>
    <t>22462797</t>
  </si>
  <si>
    <t>00088883</t>
  </si>
  <si>
    <t>00125103</t>
  </si>
  <si>
    <t>CONTADOR II</t>
  </si>
  <si>
    <t>21141831</t>
  </si>
  <si>
    <t>FORMULADOR DE PROYECTOS</t>
  </si>
  <si>
    <t>09955764</t>
  </si>
  <si>
    <t>00107624</t>
  </si>
  <si>
    <t>00819574</t>
  </si>
  <si>
    <t>DIRECION REGIONAL DE VIVIENDA</t>
  </si>
  <si>
    <t>BRIONES SHEPUTT, NACIRA LISETH</t>
  </si>
  <si>
    <t>SUPERIOR</t>
  </si>
  <si>
    <t xml:space="preserve">Titulo Profesióonal, </t>
  </si>
  <si>
    <t>PLANIFICADOR</t>
  </si>
  <si>
    <t>FREYRE SALDAÑA, LIRIA MANUELA</t>
  </si>
  <si>
    <t>TITULO</t>
  </si>
  <si>
    <t xml:space="preserve">HIDALGO PINEDO, JHERI </t>
  </si>
  <si>
    <t>TECNICO, LOGISTICO  ALMACEN</t>
  </si>
  <si>
    <t>Técncio o Capacitación Ocupacional</t>
  </si>
  <si>
    <t>LOCACION DE SERVICIO</t>
  </si>
  <si>
    <r>
      <t>ASISTENTE ADMINISTRATIVO</t>
    </r>
    <r>
      <rPr>
        <b/>
        <i/>
        <sz val="9"/>
        <color rgb="FF000000"/>
        <rFont val="Arial"/>
        <family val="2"/>
      </rPr>
      <t>.</t>
    </r>
  </si>
  <si>
    <t xml:space="preserve">ABANTO RENGIFO KARINA </t>
  </si>
  <si>
    <t>TITULO PROFESIONAL</t>
  </si>
  <si>
    <r>
      <t>ASISTENTE DE IMAGEN Y DIFUSIÓN</t>
    </r>
    <r>
      <rPr>
        <b/>
        <i/>
        <sz val="9"/>
        <color rgb="FF000000"/>
        <rFont val="Arial"/>
        <family val="2"/>
      </rPr>
      <t>.</t>
    </r>
  </si>
  <si>
    <t>Supervisor de Promotores de Campo</t>
  </si>
  <si>
    <t xml:space="preserve">GUZMAN VASQUEZ SAUL ALEJANDRO </t>
  </si>
  <si>
    <t>ING. CIVIL</t>
  </si>
  <si>
    <t>BACHILER</t>
  </si>
  <si>
    <t>PROMOTOR DE CAMPO</t>
  </si>
  <si>
    <t xml:space="preserve">CRUZ ORDOÑEZ JULIANA NOELIA </t>
  </si>
  <si>
    <t>PROFESORA</t>
  </si>
  <si>
    <t>TECNICO SIAS</t>
  </si>
  <si>
    <t>Coordinador Administrativo de los Convenios del PP 0083</t>
  </si>
  <si>
    <t>00015788</t>
  </si>
  <si>
    <t xml:space="preserve">SEIJAS DEL CASTILLO CESAR AUGUSTO </t>
  </si>
  <si>
    <t>abogada</t>
  </si>
  <si>
    <t>NOBLEJAS HIDALGO LIZETT</t>
  </si>
  <si>
    <t xml:space="preserve">MAJIN QUILCA RICHAR </t>
  </si>
  <si>
    <t xml:space="preserve">ESTUDIANTE </t>
  </si>
  <si>
    <t>ORTIZ PEDRAZA ABELARDO ANTONIO</t>
  </si>
  <si>
    <t>SOCIOLOGO</t>
  </si>
  <si>
    <t>MORI DE BRITO ANDY ARMANDO</t>
  </si>
  <si>
    <t>BACHILLER</t>
  </si>
  <si>
    <t xml:space="preserve">DIRECCION REGIONAL DE TRABAJO </t>
  </si>
  <si>
    <t>1057-CAS</t>
  </si>
  <si>
    <t>ADMIISTRATIVO</t>
  </si>
  <si>
    <t>BANEO RIOJA, Delbert</t>
  </si>
  <si>
    <t>TENICO EN COMPUTACION</t>
  </si>
  <si>
    <t>2</t>
  </si>
  <si>
    <t>KING JANS NILUPU VELA</t>
  </si>
  <si>
    <t>BACH. ADMINISTRACION</t>
  </si>
  <si>
    <t>12</t>
  </si>
  <si>
    <t>WILLIAMS PASTOR UCHUPE HUAMANI</t>
  </si>
  <si>
    <t>00119390</t>
  </si>
  <si>
    <t>FLORES REATEGUI, Marco Antonio</t>
  </si>
  <si>
    <t>ING. SISTEMAS</t>
  </si>
  <si>
    <t xml:space="preserve">DEL AGUILA REATEGUI, Silamaria </t>
  </si>
  <si>
    <t>LIC.  ADMINISTRACION</t>
  </si>
  <si>
    <t>07428505</t>
  </si>
  <si>
    <t>CHERO VASQUEZ, Walker</t>
  </si>
  <si>
    <t>42204640</t>
  </si>
  <si>
    <t>DELGADO HOYOS, Juan Denis</t>
  </si>
  <si>
    <t>SECUNDARIA</t>
  </si>
  <si>
    <t>COLEGIO</t>
  </si>
  <si>
    <t>01097004</t>
  </si>
  <si>
    <t>ALEXSANDER FLORES FASANANDO</t>
  </si>
  <si>
    <t>00129390</t>
  </si>
  <si>
    <t>CHUMBE PIZANGO, Elena Elith</t>
  </si>
  <si>
    <t>CONTADORA</t>
  </si>
  <si>
    <t>45040564</t>
  </si>
  <si>
    <t>ALVAN RODRIGUEZ, Rosa Verónica</t>
  </si>
  <si>
    <t>00000715</t>
  </si>
  <si>
    <t>MERA DAMATT, Jose Jesus</t>
  </si>
  <si>
    <t>3</t>
  </si>
  <si>
    <t>76673674</t>
  </si>
  <si>
    <t>HERRERA VILLENA, Rosa Katy</t>
  </si>
  <si>
    <t>SECREATARIA</t>
  </si>
  <si>
    <t>70817553</t>
  </si>
  <si>
    <t>NELVIT YAMIRE  MALQUI HERRERA</t>
  </si>
  <si>
    <t>ESTUDIANTE</t>
  </si>
  <si>
    <t>70747267</t>
  </si>
  <si>
    <t>CASTAGNE DEL AGUILA, Yumi Yuliza</t>
  </si>
  <si>
    <t>72741147</t>
  </si>
  <si>
    <t>JANNETTE JEANINA RODRIGUEZ FLORES</t>
  </si>
  <si>
    <t>00106378</t>
  </si>
  <si>
    <t>ROCIO DEL PILAR VARGAS ESPINOZA</t>
  </si>
  <si>
    <t>45031390</t>
  </si>
  <si>
    <t>PERES SANCHEZ, Andy</t>
  </si>
  <si>
    <t>00029490</t>
  </si>
  <si>
    <t>AHUANARI ACOSTA, Silvia</t>
  </si>
  <si>
    <t>46384059</t>
  </si>
  <si>
    <t>PATRICIA VERONICA TORRES SAAVEDRA</t>
  </si>
  <si>
    <t>46175778</t>
  </si>
  <si>
    <t>JOEL JUVENAL CARLOS CHINCE</t>
  </si>
  <si>
    <t>BACH. CONTABILIDAD</t>
  </si>
  <si>
    <t>72923286</t>
  </si>
  <si>
    <t>PACAYA PAREDES LUIS ENRIQUE</t>
  </si>
  <si>
    <t>TEC. COMPUTACION</t>
  </si>
  <si>
    <t>40869173</t>
  </si>
  <si>
    <t>VICTOR EMILIO TRUJILLO PINEDO</t>
  </si>
  <si>
    <t>00099191</t>
  </si>
  <si>
    <t>ESTELA SALAZAR MENDOZA</t>
  </si>
  <si>
    <t>46142627</t>
  </si>
  <si>
    <t>FRANCISCO ERNESTO GUEVARA TELLO</t>
  </si>
  <si>
    <t>24</t>
  </si>
  <si>
    <t>TERCEROS</t>
  </si>
  <si>
    <t>GUARDIAN</t>
  </si>
  <si>
    <t>43321769</t>
  </si>
  <si>
    <t xml:space="preserve">HUIZA  BENITES CAYO </t>
  </si>
  <si>
    <t>4</t>
  </si>
  <si>
    <t>42023993</t>
  </si>
  <si>
    <t xml:space="preserve"> DIAZ DEL AGUILA MAXIMO</t>
  </si>
  <si>
    <t>75251858</t>
  </si>
  <si>
    <t xml:space="preserve">DIAZ LOPEZ MAX KENT </t>
  </si>
  <si>
    <t>70108161</t>
  </si>
  <si>
    <t>TORRES REYES GIANCARLOS</t>
  </si>
  <si>
    <t>BACHI. CONTABILIDAD</t>
  </si>
  <si>
    <t>41743163</t>
  </si>
  <si>
    <t>FALCON DEL AGUILA MARGARITA</t>
  </si>
  <si>
    <t>5</t>
  </si>
  <si>
    <t>42245889</t>
  </si>
  <si>
    <t xml:space="preserve"> DIAZ MURRIETA DICK CHESTER</t>
  </si>
  <si>
    <t>73142571</t>
  </si>
  <si>
    <t>RAMIREZ  ISUIZA ERIKA</t>
  </si>
  <si>
    <t>09137685</t>
  </si>
  <si>
    <t>MONTOYA CALVO  RAFEL GERMAN JESUS</t>
  </si>
  <si>
    <t>EST. SUPERIOR NO CONCLUIDO</t>
  </si>
  <si>
    <t>LIMPIEZA</t>
  </si>
  <si>
    <t>40590632</t>
  </si>
  <si>
    <t>SILVA DIAZ CAROLINA</t>
  </si>
  <si>
    <t>7</t>
  </si>
  <si>
    <t>75814189</t>
  </si>
  <si>
    <t>GRATTELLI ZUMAETA DIOLA</t>
  </si>
  <si>
    <t>BACHI. ADMINITRACION</t>
  </si>
  <si>
    <t>71046117</t>
  </si>
  <si>
    <t>BENITES CARDENAS CARLA</t>
  </si>
  <si>
    <t>SALDAÑA VENTURION CLAUDIA ROMINA</t>
  </si>
  <si>
    <t>GARCIA TORRES KAREN INES</t>
  </si>
  <si>
    <t>EGRESADA EN ADM</t>
  </si>
  <si>
    <t>ACOSTA TOGUCHI ROBERT ANTHONY</t>
  </si>
  <si>
    <t>FLORES AMBROSIO DALIS JHOSSIMAR</t>
  </si>
  <si>
    <t>RIOS GARCIA DANNY DEYVIS</t>
  </si>
  <si>
    <t>BACHI. SISTEMAS</t>
  </si>
  <si>
    <t>LONGOBARDI DE PIÑHO GIAMILE</t>
  </si>
  <si>
    <t>RIOS UTIA SANDRO MARTIN</t>
  </si>
  <si>
    <t>DIRECCION REGIONAL  DE ENERGIA Y MINAS</t>
  </si>
  <si>
    <t>Formular, aprobar y ejecutar, evaluar, fiscalizar, dirigir y administrar los planes y politicas en materia de electricidad, mineria e hidrocarburo. 2) Promover e impulsar la Formalizacion minera integral y orientar a los inversionistas potenciales sobre los procedimientos minero energeticos.  3) Proponer al Ministerio de Energia y Minas los proyectos de normatividad aplicables para la region en concondancia con las politicas regionales.</t>
  </si>
  <si>
    <t>02047567</t>
  </si>
  <si>
    <t>Huanco Yucra Edgar</t>
  </si>
  <si>
    <t>Ing. Economista</t>
  </si>
  <si>
    <t>Bachiller</t>
  </si>
  <si>
    <t xml:space="preserve">1).  Limpieza de los ambientes de la DREM, Elaborar informe de requerimientos de materiales de limpieza. </t>
  </si>
  <si>
    <t>00118431</t>
  </si>
  <si>
    <t>Riva Ricopa Angela</t>
  </si>
  <si>
    <t>Limpieza</t>
  </si>
  <si>
    <t>SUB- TOTAL</t>
  </si>
  <si>
    <t>D y T.</t>
  </si>
  <si>
    <t>Locacion de Servicio</t>
  </si>
  <si>
    <t>1) Elaboracion de informes fundamentados sobre casos de mineria ilegal, solicitado por la fiscalia especializada en materia ambiental,  2) Elaboración de mapas catastrales. 3) Elaboracion de los reportes de actividades mineras al OEFA</t>
  </si>
  <si>
    <t>Rengifo Romero Dalton</t>
  </si>
  <si>
    <t>Bach, Ing. Quimico</t>
  </si>
  <si>
    <t>1) Conducir la Unidad Vehicular asignada, para asistir en el cumplimiento de las comisiones de servicios. 2) Cumplir con las normas y procedimientos de seguridad de transporte para evitar infracciones o siniestros en las comisiones realizadas. 3) Asegurar el adecuado funcionamiento de Vehiculo</t>
  </si>
  <si>
    <t>08559261</t>
  </si>
  <si>
    <t>Gonzales  Barrios Ronal francis</t>
  </si>
  <si>
    <t>Tecnico</t>
  </si>
  <si>
    <t>1) Transcripcion de las Actas de Fiscalizacion en normas de seguridad ocupacional, 2) Control y Archivo de los Informes  y Actas de Fiscalizacion en normas de seguridad y salud ocupacional. 3) Llevar el control de las visitas que formulan denuncias por mineria ilegal.</t>
  </si>
  <si>
    <t>Rios Hidalgo Jany</t>
  </si>
  <si>
    <t>1) Coorinar con el responsable del Area de Mineria  para la preparacion del acto de fiscalizacion y/o supervision minera.  2) Coordinar acciones previas para la fiscalizacion conjunta con el ministerio publico en materia ambiental y otras instituciones.  3) Coordinar eventos de capacitacion en materia minera de la DREM.</t>
  </si>
  <si>
    <t>Nuñez Pacheco Pedro Miguel</t>
  </si>
  <si>
    <t>1) Revisar en virtual la informacion contenida en los formatos para la formalizacion de los mineros en el REINFO.  2) Participar en actos que corresponde al REINFO, Proceso Ordinario y Procedimiento Especial.  3) Evaluar los procedimientos Tecnicos.</t>
  </si>
  <si>
    <t>04020770</t>
  </si>
  <si>
    <t>Castro Monago dedicacion</t>
  </si>
  <si>
    <t>Geologo</t>
  </si>
  <si>
    <t>Ing. Geologo</t>
  </si>
  <si>
    <t xml:space="preserve">1)  Asistir al fiscalizador en las intervenciones programadas de fiscalizacion y/o supervision normas de salud y seguridad ocupacional. 2)  Asistir en las fiscalizaciones inopinadas a fin de determinar mineria ilegal. 3) Asistir al fiscalizador en las inspecciones conjuntas con la fiscalia especializada en materia ambiental y otras instituciones vinculadas. </t>
  </si>
  <si>
    <t>Nuñez Amancio Julia Ines</t>
  </si>
  <si>
    <t>Agronomia</t>
  </si>
  <si>
    <t>1) Elaboracion de documentos internos y externos.  2)  Administrar la agenda del Area de Mineria.  3) Seguimiento de documentos y atencion de llamadas.</t>
  </si>
  <si>
    <t>Rodriguez Marquez Noemi</t>
  </si>
  <si>
    <t>Secretaria</t>
  </si>
  <si>
    <t>1)  Realizar Coordinaciones con el INGEMMENT, en referencia a la implementacion del Plan de Trabajo 2020 del Inventario de Recursos Minerales y Potencial Minero en la Region Ucayali.  2) Levantamiento de muestreo de los recursos minerales.  3)  Elaborar el informe de levantamiento de muestreo de recursos minerales de la zona de la cuenca del Rio Atalaya.</t>
  </si>
  <si>
    <t>Ramirez Escalante, Ronal Ivan</t>
  </si>
  <si>
    <t>Minaya Gonzales Angelo Rafael</t>
  </si>
  <si>
    <t>Minero</t>
  </si>
  <si>
    <t>1)  Proyectar Resoluciones, Decretos o Autos Directorales Mineros  Energeticos.  2) Elaborar informes legales de decision respecto a los informes tecnicos sustentatorios mineros energeticos.  3) Elaborar informes legales de aprobacion de Instrumentos ambientales y documentos ambientales complementarios</t>
  </si>
  <si>
    <t>Vilca Ferrer Michael Edwin</t>
  </si>
  <si>
    <t>Abogado</t>
  </si>
  <si>
    <t>1) Evaluar los instrumentos ambientales para establecimientos de combustible.  2) Evaluacion de documentos ambientales electricos.  3)  Velar por el cumplimiento del Pla Anual  de Evaluacion  y fiscalizacion ambiental - PLANEFA.</t>
  </si>
  <si>
    <t>Vasquez Meledres Ali Peter</t>
  </si>
  <si>
    <t>Agronomo</t>
  </si>
  <si>
    <t>Ingeniero Agronomo</t>
  </si>
  <si>
    <t>1) Emitir informes de procedimientos ordinarios mineros en atencion a la Ley General de Mineria y su reglamento. 2) Emitir informes conteniendo opinion sobre no admision e improcedencia de petitorios mineros en el procedimiento ordinario.  3) emitir informes conteniendo opinion sobre expedicion de carteles en la admision de los petitorios mineros, como publicacion de carteles publicos de titulos mineros en el procedimiento ordinario minero..</t>
  </si>
  <si>
    <t>Perez Varga Celmith Hilda</t>
  </si>
  <si>
    <t xml:space="preserve">1) Recepcionar el Instrumento los IGA correptivo o preventivo, para los mineros en proceso de formalizacion  IGAFOM.  2)  Notificar al Administrado, via sistema de ventanilla Unica.  3) Cambiar el estado situacional de los expedientes según corresponda en el sistema.   </t>
  </si>
  <si>
    <t>Davila Soto Ines Lila</t>
  </si>
  <si>
    <t>contador</t>
  </si>
  <si>
    <t>Contador Publico</t>
  </si>
  <si>
    <t>1) Ingresar en el sistema de ventanilla unica la informacion del IGAC.  2) Ingresar en el sistema de ventanilla Unica la Informacion del Instrumento de Gestion ambiental, para los mineros en proceso de formalizacion  - IGAFOM. 3) Ingresar en el sistema de ventanilla Unica la Informacion del Instrumento de Gestion ambiental preventivo, para los mineros en proceso de formalizacion  - IGAFOM</t>
  </si>
  <si>
    <t>Simon Huerto Simon</t>
  </si>
  <si>
    <t>1) Orientar a los pequeños mineros y mineros artesanales respecto al REINFO.  2) Evaluar los instrumentos de gestion ambiental correctivo (IGAFOM). 3) Revisar informacion contenida en los formatos para la solicitud de inicio / reinicio de actividades minera de la pequeña mineria y mineria artesanal.</t>
  </si>
  <si>
    <t>1) Emitir opiniones legales en los IGAFOM.  2) Emitir proyectos de resolucion sobre los instrumentos de gestion  - IGAFOM.  3) Orientar sobre la aplicación del procedimiento de formalizacion de acuerdo a normatividad  - IGAFOM.,</t>
  </si>
  <si>
    <t>Zaravia  Olivares, Beatriz Estrher</t>
  </si>
  <si>
    <t>1) Inventario y evaluacion de los recursos mineros. 2) Inventario y evaluacion del potencial minero. 3) Analizar para el requerimiento y estudio de mercado para la ejecucion del Plan de Trabajo 2020 del inventario minero</t>
  </si>
  <si>
    <t>1) Elaborar el plan de trabajo de electricidad.  2) Coordinacion permanenta con los Gobiernos Locales en materia de estudios de proyectos de electricidad. 3) Elaborar el informe de avances y logros e indicadores en  materia de electricidad.</t>
  </si>
  <si>
    <t>Huamayalli Flores Erik Alexander</t>
  </si>
  <si>
    <t>Electricista</t>
  </si>
  <si>
    <t>Ing. Electricista</t>
  </si>
  <si>
    <t>1)  Trabajo de campo de georeferenciacion 2) Elaborar informe sobre empadronamiento de hogares sin energia electrica.  3) Apoyar en los trabajos de campo en materia de Electrificacion</t>
  </si>
  <si>
    <t>06783501</t>
  </si>
  <si>
    <t>Alvarado Vela Alfonso Manuel</t>
  </si>
  <si>
    <t>Administracion</t>
  </si>
  <si>
    <t>1)  Apoyar las coordinaciones con los Gobierno Locales sobre proyecto de Electrificacion.  2) Informe de Seguimiento a los proyectos de Electrificacion.  3)  Coordinacion con el MINEN sobre la inclusion de proyectos de Electrificacion en la Region Ucayali.</t>
  </si>
  <si>
    <t>Perez Espejo Alexander</t>
  </si>
  <si>
    <t>Ing. Agronomo</t>
  </si>
  <si>
    <t>08338124</t>
  </si>
  <si>
    <t>Chipana Carrasco Livio</t>
  </si>
  <si>
    <t>Luis Mario Brunner Lozano</t>
  </si>
  <si>
    <t>Ing. Minero</t>
  </si>
  <si>
    <t>1) Elaboracion de planes y procedimientos y directivas relacionadas con la especialidad, evaluando los resultados y proponiendo modificaciones correctivas. 2) desarrollar actividades realcionadas con la coordinacion administrava en asuntos vinculados con el sistema de administracion. 3) absolver consultas sobre la normatividad vigente, relacionada al ambito de su competencia de hidrocarburos.</t>
  </si>
  <si>
    <t>Alarcon Cardenas milagros Treicy</t>
  </si>
  <si>
    <t>Gas y Petroleo</t>
  </si>
  <si>
    <t>Ing. Gas y Petroleo</t>
  </si>
  <si>
    <t>1)  Elaboracion del Plan Operativo Institucional  2) Evaluacion y seguimiento al POI 2021 3) Conciliacion de la ejecucion presupuestal y medidas correctivas</t>
  </si>
  <si>
    <t>Oroche Tello Julio Enrique</t>
  </si>
  <si>
    <t>Turismo y Hoteleria</t>
  </si>
  <si>
    <t>Lic. Adm.</t>
  </si>
  <si>
    <t>AÑO FISCAL 2021</t>
  </si>
  <si>
    <t>AÑO FISCAL 2022</t>
  </si>
  <si>
    <t>000945</t>
  </si>
  <si>
    <t>Recursos Ordinarios</t>
  </si>
  <si>
    <t>PERDOMO GUERRA, TONY</t>
  </si>
  <si>
    <t>ORDEN DE SERVICIO</t>
  </si>
  <si>
    <t>PROTOCOLO COVID</t>
  </si>
  <si>
    <t>75542114</t>
  </si>
  <si>
    <t>FRANS OLIVER COLLAZOS LAURENCIO</t>
  </si>
  <si>
    <t>NO TIENE</t>
  </si>
  <si>
    <t>Secundaria Completa</t>
  </si>
  <si>
    <t>00177195</t>
  </si>
  <si>
    <t>GALVEZ MORENO WILMA LUCILA</t>
  </si>
  <si>
    <t>8013258</t>
  </si>
  <si>
    <t>SALDAÑA MEZA MARIA CANDELARIA</t>
  </si>
  <si>
    <t>75611042</t>
  </si>
  <si>
    <t>FALCON FALCON DANNY SESHIRA</t>
  </si>
  <si>
    <t>Bach Contabilidad</t>
  </si>
  <si>
    <t>Superior</t>
  </si>
  <si>
    <t>00112126</t>
  </si>
  <si>
    <t>AUGUSTO VICTOR CABELLO GONZALES</t>
  </si>
  <si>
    <t>Tec. Contabilidad</t>
  </si>
  <si>
    <t>APOYO DE LIMPIEZA</t>
  </si>
  <si>
    <t>00171113</t>
  </si>
  <si>
    <t xml:space="preserve">SALAZAR SEGURA SIXTO JUAN   </t>
  </si>
  <si>
    <t xml:space="preserve">DONACIONES Y TRANFERENCIAS </t>
  </si>
  <si>
    <t>ANTONIO BENEDICTO CALDAZ MUÑOZ</t>
  </si>
  <si>
    <t>SUPERIOR COMPLETO</t>
  </si>
  <si>
    <t>SUPERVISOR</t>
  </si>
  <si>
    <t>JACK YERSON ROSALES BONIFACIO</t>
  </si>
  <si>
    <t>EXTENSIONISTA</t>
  </si>
  <si>
    <t>FELIPE MAMANI SANCA</t>
  </si>
  <si>
    <t>LUIS GUSTAVO CONDEZO AGUIRRE</t>
  </si>
  <si>
    <t>ALEX AURELIO AYALA NOTENO</t>
  </si>
  <si>
    <t>AGRICULTOR LIDER</t>
  </si>
  <si>
    <t>NOLBERTO LASTRA CAMPOS</t>
  </si>
  <si>
    <t>SECUNDARIA COMPLETO</t>
  </si>
  <si>
    <t>LUIS RAMIRO AVALOS MALPARTIDA</t>
  </si>
  <si>
    <t>LUIS PRESLEY ALVARADO HUATANGARE</t>
  </si>
  <si>
    <t>GLADYS MILAIDY CIPRIANO PACHECO</t>
  </si>
  <si>
    <t>BACH. CONTABILIDAD Y FINANZAS</t>
  </si>
  <si>
    <t>FIDEICOMISO</t>
  </si>
  <si>
    <t>JEFE</t>
  </si>
  <si>
    <t>SIMON SANTAMARIA JIMEL</t>
  </si>
  <si>
    <t xml:space="preserve">SUPERIOR </t>
  </si>
  <si>
    <t>0</t>
  </si>
  <si>
    <t>ZEVALLOS VELA RIDER NOE</t>
  </si>
  <si>
    <t>JOBETH ERNESTO ZEVALLOS LOPEZ</t>
  </si>
  <si>
    <t>MARTINEZ VILLAVERDE JUAN DAVID</t>
  </si>
  <si>
    <t>EDWIN SAMUEL VARA CHAVEZ</t>
  </si>
  <si>
    <t>JESUS ARELLANO MELVIN JAIME</t>
  </si>
  <si>
    <t>BACHILLER EN CIENCIAS AGROPECUARIAS</t>
  </si>
  <si>
    <t xml:space="preserve"> CARRANZA AVILA YULIANA IRIS</t>
  </si>
  <si>
    <t>NITCA HILDA DURAN CANO</t>
  </si>
  <si>
    <t>CAMPO VILLACORTA SEGUNDO ZENON</t>
  </si>
  <si>
    <t>ESPINOZA NOLASCO CLEBER</t>
  </si>
  <si>
    <t>REYSER TRUJILLO RAMOS</t>
  </si>
  <si>
    <t>ABANTO SAUCEDO MODESTO YLDEFONSO</t>
  </si>
  <si>
    <t>AGRICULTOR</t>
  </si>
  <si>
    <t>CAPACITACION OCUPACIONAL</t>
  </si>
  <si>
    <t>ESPECIALISTA EN COMPETITIVIDAD Y GESTION COMERCIAL</t>
  </si>
  <si>
    <t>CULANTRES BERROSPI CARLOS GERMAN</t>
  </si>
  <si>
    <t>INGENIERO INDUSTRIAL</t>
  </si>
  <si>
    <t>INSTALADOR</t>
  </si>
  <si>
    <t>BASILIO VICTORIO YONY</t>
  </si>
  <si>
    <t>TOLENTINO MARTEL OMAR</t>
  </si>
  <si>
    <t>JAIMES CHACON TATIANA NINOSKA</t>
  </si>
  <si>
    <t>TEC. EN COMPUTACION</t>
  </si>
  <si>
    <t>ESPECIALISTA EN ASESORAMIENTO A LA MESA TECNICA</t>
  </si>
  <si>
    <t>SALVADOR CARHUARUPAY MARKYORI SOFI</t>
  </si>
  <si>
    <t>PROMOCION A LAS ORGANIZACIONES</t>
  </si>
  <si>
    <t>GENESIS JASMIN VELA GOYZUETA</t>
  </si>
  <si>
    <t>CHAVEZ TRUJILLO CARMEN YESSENIA</t>
  </si>
  <si>
    <t>ANASTACIO ISMINIO AVIGAIL</t>
  </si>
  <si>
    <t xml:space="preserve">  SECRETARIADO</t>
  </si>
  <si>
    <t>DIFUSION RADIAL</t>
  </si>
  <si>
    <t>SALAZAR UZURIAGA MARCIA ESTER</t>
  </si>
  <si>
    <t>LOCUTORA RADIAL</t>
  </si>
  <si>
    <t>JOEL DANIEL TRUJILLO RAMOS</t>
  </si>
  <si>
    <t>AMBROCIO BOLIVAR EDITH LUISA</t>
  </si>
  <si>
    <t>4 13 DONACIONES Y TRANFERENCIAS</t>
  </si>
  <si>
    <t>PIZANGO HUAMAN GINO FREDY</t>
  </si>
  <si>
    <t>N°131-196-317-388-505</t>
  </si>
  <si>
    <t>11 MESES</t>
  </si>
  <si>
    <t>12 MESES</t>
  </si>
  <si>
    <t>CARLOS  VELA JAVIER</t>
  </si>
  <si>
    <t>RECURSOS NATURALES RENOVABLES MENCION FORESTAL</t>
  </si>
  <si>
    <t>N°131-196-317-388-506</t>
  </si>
  <si>
    <t>EXTENSIONISTA N°1</t>
  </si>
  <si>
    <t>ISIDRO PUJAY LUCIO ROMULO</t>
  </si>
  <si>
    <t>N°131-196-317-388-507</t>
  </si>
  <si>
    <t>EXTENSIONISTA N°2</t>
  </si>
  <si>
    <t>RAMIREZ SARAVIA DEIVID</t>
  </si>
  <si>
    <t>N°131-196-317-388-508</t>
  </si>
  <si>
    <t>EXTENSIONISTA N°3</t>
  </si>
  <si>
    <t>ATANACIO GONZALES RONNEL EFRAIN</t>
  </si>
  <si>
    <t>N°131-196-317-388-509</t>
  </si>
  <si>
    <t>TECNICO DE CAMPO N° 1</t>
  </si>
  <si>
    <t>LOPEZ SOTO LIONIL JHOFRE</t>
  </si>
  <si>
    <t>N°131-196-317-388-510</t>
  </si>
  <si>
    <t>TECNICO DE CAMPO N° 2</t>
  </si>
  <si>
    <t>MATO APOLINARIO RONALD BECKER</t>
  </si>
  <si>
    <t>N°131-196-317-388-511</t>
  </si>
  <si>
    <t>TECNICO DE CAMPO N° 3</t>
  </si>
  <si>
    <t>ROSAS BARAS JAVIER LIGORIO</t>
  </si>
  <si>
    <t>N°131-196-317-388-512</t>
  </si>
  <si>
    <t>ESPECIALISTA SIC</t>
  </si>
  <si>
    <t>00109242</t>
  </si>
  <si>
    <t>LOPEZ FLORES AMES</t>
  </si>
  <si>
    <t>N°131-196-317-388-513</t>
  </si>
  <si>
    <t>ASISTENTE SIC</t>
  </si>
  <si>
    <t xml:space="preserve">MALPARTIDA PIZANGO ANNIE </t>
  </si>
  <si>
    <t>TECNICA EN COMPUTACION</t>
  </si>
  <si>
    <t>TECNICA EN COMPUTTACION</t>
  </si>
  <si>
    <t>N°131-196-317-388-514</t>
  </si>
  <si>
    <t>PROMOTOR EN COMUNICACIÓN</t>
  </si>
  <si>
    <t>SANCHEZ CELIS ROSA GRISELDA</t>
  </si>
  <si>
    <t>CIENCIAS DE LA COMUNICACIÓN</t>
  </si>
  <si>
    <t>LICENCIADA</t>
  </si>
  <si>
    <t>LICENCIA EN COMUNICACIÓN</t>
  </si>
  <si>
    <t>N°131-196-317-388-515</t>
  </si>
  <si>
    <t>ASISTENTE ADMINISTRATIVA</t>
  </si>
  <si>
    <t>NORA CAJAS RAMIREZ</t>
  </si>
  <si>
    <t>CONTADORA PUBLICA COLEGIADA</t>
  </si>
  <si>
    <t>N°131-196-317-388-516</t>
  </si>
  <si>
    <t>MUÑOZ CHOTA MONICA GABRIELA</t>
  </si>
  <si>
    <t>TURISMO</t>
  </si>
  <si>
    <t>GUIA OFICIAL DE TURISMO</t>
  </si>
  <si>
    <t>N°131-196-317-388-517</t>
  </si>
  <si>
    <t>CONSERJE DE LA GTA</t>
  </si>
  <si>
    <t>CONTRATO POR LOCACIÓN DE SERVICIO Nº 023-2021-GRU-GTA.</t>
  </si>
  <si>
    <t>SINCHEZ DEL AGUILA JHON RICHAR</t>
  </si>
  <si>
    <t xml:space="preserve"> CONTRATO POR LOCACIÓN DE SERVICIO Nº 019-2021-GRU-GTA.</t>
  </si>
  <si>
    <t>GASLA CACERES LUIS</t>
  </si>
  <si>
    <t>CONTRATO POR LOCACIÓN DE SERVICIO Nº 020-2021-GRU-GTA.</t>
  </si>
  <si>
    <t>00068681</t>
  </si>
  <si>
    <t>ZELADA MEGO JORGE NELSON</t>
  </si>
  <si>
    <t>CONTRATO POR LOCACIÓN DE SERVICIO Nº 018-2021-GRU-GTA.</t>
  </si>
  <si>
    <t>RODRIGUEZ CONDE MARUID</t>
  </si>
  <si>
    <t>CONTRATO POR LOCACIÓN DE SERVICIO Nº 016-2021-GRU-GTA.</t>
  </si>
  <si>
    <t xml:space="preserve">NOVOA AMAND ANALIA </t>
  </si>
  <si>
    <t>SILVA SANDOVAL LEDITH LAURA</t>
  </si>
  <si>
    <t>TECNICO DE ADMINISTRACION</t>
  </si>
  <si>
    <t>FACHIN SEBASTIAN FAVIO ELY</t>
  </si>
  <si>
    <t>INDUST. ALIMENT.</t>
  </si>
  <si>
    <t>AYUDANTE DE ALMACEN</t>
  </si>
  <si>
    <t>00033304</t>
  </si>
  <si>
    <t>ZAJAMI ARIMUYA MARIO</t>
  </si>
  <si>
    <t>TECNICO EN ENFERM.</t>
  </si>
  <si>
    <t>44036680</t>
  </si>
  <si>
    <t>CHU ARISTA MARTHA EDITH</t>
  </si>
  <si>
    <t>LABORATORIO CLINICO</t>
  </si>
  <si>
    <t>EVALUADOR DE PROYECTOS DE INVERSION PUBLICA</t>
  </si>
  <si>
    <t>42890258</t>
  </si>
  <si>
    <t>DIAZ GONZALES OMAR</t>
  </si>
  <si>
    <t>00105875</t>
  </si>
  <si>
    <t>SALDAÑA ROJAS JACK GILBER</t>
  </si>
  <si>
    <t>APOYO EN VIGILANCIA</t>
  </si>
  <si>
    <t>80241630</t>
  </si>
  <si>
    <t>SINTI AMASIFUEN GERSON</t>
  </si>
  <si>
    <t>PERSONAL DE APOYO DE LIMPIEZA</t>
  </si>
  <si>
    <t>45890962</t>
  </si>
  <si>
    <t>VALDERRAMA NUÑEZ XIMENA ELVIRA</t>
  </si>
  <si>
    <t>44688766</t>
  </si>
  <si>
    <t>CAPCHA ROMERO ITALO</t>
  </si>
  <si>
    <t>ENCARGADO MAESTRANZA</t>
  </si>
  <si>
    <t>00190096</t>
  </si>
  <si>
    <t>RODRIGUEZ YÑIPE ALEJANDRO</t>
  </si>
  <si>
    <t>71205440</t>
  </si>
  <si>
    <t>TORRES RAMIREZ CINTYA STEPHANY</t>
  </si>
  <si>
    <t>R,D,R,</t>
  </si>
  <si>
    <t>LOCACION DE SERVICIOS</t>
  </si>
  <si>
    <t>APOYO EN UNIDAD ARCHIVO Y T.D.</t>
  </si>
  <si>
    <t>EDJERRISON SEIJAS PEÑA</t>
  </si>
  <si>
    <t>X CICLO ADMINIST.</t>
  </si>
  <si>
    <t>MAYURI A. HUAROTO PANTOJA</t>
  </si>
  <si>
    <t>044</t>
  </si>
  <si>
    <t>136</t>
  </si>
  <si>
    <t>APOYO EN D. MYPE E IND</t>
  </si>
  <si>
    <t>`08812479</t>
  </si>
  <si>
    <t>WALTER W. SANTAMARIA PEREZ</t>
  </si>
  <si>
    <t>137</t>
  </si>
  <si>
    <t>EMELDA L. LOZANO AREVALO DE R.</t>
  </si>
  <si>
    <t>5to. SECUNDARIA</t>
  </si>
  <si>
    <t>048</t>
  </si>
  <si>
    <t>138</t>
  </si>
  <si>
    <t>APOYO EN OPPR</t>
  </si>
  <si>
    <t>JOSE A. RUIZ DEL AGUILA</t>
  </si>
  <si>
    <t>139</t>
  </si>
  <si>
    <t>APOYO EN UNIDAD ABASTEC.</t>
  </si>
  <si>
    <t>JESUS TORRES GONZALES</t>
  </si>
  <si>
    <t>VII CICLO ADMINIST.</t>
  </si>
  <si>
    <t>045</t>
  </si>
  <si>
    <t>140</t>
  </si>
  <si>
    <t>R,O</t>
  </si>
  <si>
    <t>APOYO EN OF. ADMIST.</t>
  </si>
  <si>
    <t>GILMA GRANDEZ HIDAGO</t>
  </si>
  <si>
    <t>TEC. ENFERMERIA</t>
  </si>
  <si>
    <t>141</t>
  </si>
  <si>
    <t>APOYO EN UNIDAD TESORERIA</t>
  </si>
  <si>
    <t>BARABARA TUESTA PUERTA</t>
  </si>
  <si>
    <t>IX CICLO ADMINIST.</t>
  </si>
  <si>
    <t>150</t>
  </si>
  <si>
    <t>142</t>
  </si>
  <si>
    <t>00090865</t>
  </si>
  <si>
    <t>ROGER E. AREVALO CARDENAS</t>
  </si>
  <si>
    <t>143</t>
  </si>
  <si>
    <t>ADOLFO W. RUIZ TORRES</t>
  </si>
  <si>
    <t>TEC. ENSAMBLAJE MAQ.</t>
  </si>
  <si>
    <t>144</t>
  </si>
  <si>
    <t>KAREN C.G.  PEZO LELENA</t>
  </si>
  <si>
    <t>145</t>
  </si>
  <si>
    <t>SERVICIO DE TERCEROS</t>
  </si>
  <si>
    <t>GUARIANIA DE YATES DE ALUMINIO</t>
  </si>
  <si>
    <t>00066788</t>
  </si>
  <si>
    <t>WILDE PAIMA SHAPIAMA</t>
  </si>
  <si>
    <t>001</t>
  </si>
  <si>
    <t>DIRECCION REGIONAL  DE TRANSPORTE</t>
  </si>
  <si>
    <t>TRANSPORTES</t>
  </si>
  <si>
    <t>R.O</t>
  </si>
  <si>
    <t>C.A.S</t>
  </si>
  <si>
    <t>Especialista Informatica</t>
  </si>
  <si>
    <t>MARQUINA ALEGRIA SOLEDAD MARINA</t>
  </si>
  <si>
    <t>INGENIERIA DE SISTEMAS</t>
  </si>
  <si>
    <t xml:space="preserve"> UNIVERISTARIA</t>
  </si>
  <si>
    <t>PROFESIONAL</t>
  </si>
  <si>
    <t>07</t>
  </si>
  <si>
    <t>Asistente Administrativo</t>
  </si>
  <si>
    <t>PINCHI GARCIA JULIANA</t>
  </si>
  <si>
    <t xml:space="preserve">ABOGADA </t>
  </si>
  <si>
    <t xml:space="preserve"> UNIVERSITARIA</t>
  </si>
  <si>
    <t>07752453</t>
  </si>
  <si>
    <t>GALINDO CASTRO LUIS AMADOR</t>
  </si>
  <si>
    <t>ELECTRONICO</t>
  </si>
  <si>
    <t>Ingeniero</t>
  </si>
  <si>
    <t>41719124</t>
  </si>
  <si>
    <t>MALPARTIDA GONZALES GERVE JONATAN</t>
  </si>
  <si>
    <t>INGENIERO CIVIL</t>
  </si>
  <si>
    <t>Especilaista Legal</t>
  </si>
  <si>
    <t>45555980</t>
  </si>
  <si>
    <t>VALDIVIA RUFFNER SARA</t>
  </si>
  <si>
    <t>Dra. DERECHO</t>
  </si>
  <si>
    <t>UNIVERISTARIO</t>
  </si>
  <si>
    <t>44725615</t>
  </si>
  <si>
    <t>MEZA TARAZONA ROSA BRIGUITTE</t>
  </si>
  <si>
    <t>Asistente Remuneraciones</t>
  </si>
  <si>
    <t>40906229</t>
  </si>
  <si>
    <t>TUESTA VILLACREZ LUZ ARACELI</t>
  </si>
  <si>
    <t>CAJA</t>
  </si>
  <si>
    <t>71039610</t>
  </si>
  <si>
    <t>VALLE VILLACORTA DANIELA PERLA</t>
  </si>
  <si>
    <t>TEC CONTABILIDAD</t>
  </si>
  <si>
    <t>07718800</t>
  </si>
  <si>
    <t>REYES PRETELL JUAN CESAR</t>
  </si>
  <si>
    <t>TEC. ADMINISTRACION</t>
  </si>
  <si>
    <t>47143970</t>
  </si>
  <si>
    <t>RODRIGUEZ MACEDO CLARA MELITA</t>
  </si>
  <si>
    <t>TEC. CONTABILIDAD</t>
  </si>
  <si>
    <t>Asistente Tesoreria</t>
  </si>
  <si>
    <t>48080534</t>
  </si>
  <si>
    <t>VELA PANDURO HIDA GABRIELA</t>
  </si>
  <si>
    <t>Tramite Documentario</t>
  </si>
  <si>
    <t>47804830</t>
  </si>
  <si>
    <t>GOMEZ SHUPINGAHUA GOYTA YARITA</t>
  </si>
  <si>
    <t>Asesora legal</t>
  </si>
  <si>
    <t>47887648</t>
  </si>
  <si>
    <t>ESTEBAN ESPINOZA HIESNIA BRITSE</t>
  </si>
  <si>
    <t>ABODADA</t>
  </si>
  <si>
    <t>Chofer</t>
  </si>
  <si>
    <t>00097535</t>
  </si>
  <si>
    <t>PINTO GONZALES MARCO ANTONIO</t>
  </si>
  <si>
    <t>Tec. Administrativo</t>
  </si>
  <si>
    <t>00035242</t>
  </si>
  <si>
    <t>ZEGARRA RENGIFO GILBERTO</t>
  </si>
  <si>
    <t>Aistente Administrativo</t>
  </si>
  <si>
    <t>46311758</t>
  </si>
  <si>
    <t>MOYA HERRERA ANTHONY JESUS</t>
  </si>
  <si>
    <t>LOCADORES</t>
  </si>
  <si>
    <t>Especialista en Elaboracion de Documentos de Gestion</t>
  </si>
  <si>
    <t>00028440</t>
  </si>
  <si>
    <t>PON CHEEL MARIO LORENZO</t>
  </si>
  <si>
    <t>73017212</t>
  </si>
  <si>
    <t>RIVERA RUIZ MISSLY LINETH</t>
  </si>
  <si>
    <t>ASISTENTE ADMINIST</t>
  </si>
  <si>
    <t>Asistente de Apoyo Administrativo</t>
  </si>
  <si>
    <t>48450043</t>
  </si>
  <si>
    <t>SALDAÑA MURRIETA ROCIO</t>
  </si>
  <si>
    <t>ASISTENTE DE APOYO ADMINIST.</t>
  </si>
  <si>
    <t xml:space="preserve">Asesor Legal </t>
  </si>
  <si>
    <t>45884400</t>
  </si>
  <si>
    <t>TELLO RUIZ GENESIS PAOLA</t>
  </si>
  <si>
    <t>Notificador</t>
  </si>
  <si>
    <t>44029547</t>
  </si>
  <si>
    <t>YAHUARCANI VALLES FRANK</t>
  </si>
  <si>
    <t>NOTIFICADOR</t>
  </si>
  <si>
    <t>Responsable de Imagen Institucional</t>
  </si>
  <si>
    <t>00105894</t>
  </si>
  <si>
    <t>ROBALINO RUIZ ALDO GILBERTO</t>
  </si>
  <si>
    <t>RESPONSABLE DE IMAGEN INSTITUCIONAL</t>
  </si>
  <si>
    <t>Tec. Presupuesto</t>
  </si>
  <si>
    <t>47844253</t>
  </si>
  <si>
    <t>RAMOS COLLAZOS PATRICIA</t>
  </si>
  <si>
    <t>TECNICO EN PRESPUESTO</t>
  </si>
  <si>
    <t>TECNICO EN PRESUPUESTO</t>
  </si>
  <si>
    <t>11</t>
  </si>
  <si>
    <t>71043245</t>
  </si>
  <si>
    <t>RIOS PAREDES ANGIE KATHIRIA</t>
  </si>
  <si>
    <t>Apoyo Administrativo</t>
  </si>
  <si>
    <t>72678856</t>
  </si>
  <si>
    <t>RAMOS CARDOZO CLAUDIA</t>
  </si>
  <si>
    <t>Especialista Legal</t>
  </si>
  <si>
    <t>70503315</t>
  </si>
  <si>
    <t>MACEDO SANDOVAL IDALIA MIREYA</t>
  </si>
  <si>
    <t>ESPECIALISTA LEGAL</t>
  </si>
  <si>
    <t>62008616</t>
  </si>
  <si>
    <t>GONZALES GONZALES CESIA ANDREA</t>
  </si>
  <si>
    <t xml:space="preserve">ASISTENTE ADMINISTRATIVO </t>
  </si>
  <si>
    <t>Asistente Administrativo II</t>
  </si>
  <si>
    <t>ASISTENTE ADMINISTRATIVO II</t>
  </si>
  <si>
    <t>ASISTENTE ADMINIST II</t>
  </si>
  <si>
    <t>Apoyo Administrativo de Control de Calidad</t>
  </si>
  <si>
    <t>45654433</t>
  </si>
  <si>
    <t>DEL AGUILA HENDERSON KEVIN WALTER</t>
  </si>
  <si>
    <t>APOYO ADMINISTRATIVO DE CONTROL DE CALIDAD</t>
  </si>
  <si>
    <t>42723244</t>
  </si>
  <si>
    <t>MONTELUISA CHAPIAMA SANDRA ELENA</t>
  </si>
  <si>
    <t>AISTENTE ADMINISTRATIVO</t>
  </si>
  <si>
    <t>Vigilante Planta dfe Asfalto</t>
  </si>
  <si>
    <t>00117189</t>
  </si>
  <si>
    <t>LOZANO PISCO JULIO</t>
  </si>
  <si>
    <t>VIGILANTE EN PLANTA DE ASFALTO</t>
  </si>
  <si>
    <t>Chofer Camion Volquete Reg. 253</t>
  </si>
  <si>
    <t>43302493</t>
  </si>
  <si>
    <t>CALDAREON GALINDO CARLOS</t>
  </si>
  <si>
    <t>Operador Rodillo Liso Vibratorio Reg. 770</t>
  </si>
  <si>
    <t>00172841</t>
  </si>
  <si>
    <t>ALVARADO DEL AGUILA GERMAN</t>
  </si>
  <si>
    <t>OPERADOR</t>
  </si>
  <si>
    <t>Operador Cargador Frontal Reg. 104</t>
  </si>
  <si>
    <t>21144925</t>
  </si>
  <si>
    <t>SHARFF AHUANARI ROBINSON JESUS</t>
  </si>
  <si>
    <t xml:space="preserve">Operador Motoniveladora </t>
  </si>
  <si>
    <t>00084778</t>
  </si>
  <si>
    <t>MERA OROSCO GABRIEL</t>
  </si>
  <si>
    <t>Operador del Rodillo Liso Vibratorio Reg. 823</t>
  </si>
  <si>
    <t>71909164</t>
  </si>
  <si>
    <t>ARGANDOÑA VASQUEZ RENZO PAOLO</t>
  </si>
  <si>
    <t xml:space="preserve">OPERADOR </t>
  </si>
  <si>
    <t>Chofer Camion Volquete Placa U1B-797</t>
  </si>
  <si>
    <t>42163567</t>
  </si>
  <si>
    <t>HUIZA ADVINCULA JOSE ANTONIO</t>
  </si>
  <si>
    <t>Chofer Camion Volquete Reg. 277</t>
  </si>
  <si>
    <t>00095594</t>
  </si>
  <si>
    <t xml:space="preserve">MUÑOZ GRATELLI CESAR ERNESTO </t>
  </si>
  <si>
    <t>Vigilante Planta Chancadora</t>
  </si>
  <si>
    <t>00117004</t>
  </si>
  <si>
    <t>MESIAS SALVADOR WALTER</t>
  </si>
  <si>
    <t xml:space="preserve">VIGILANTE </t>
  </si>
  <si>
    <t xml:space="preserve">Eletricista Automotriz </t>
  </si>
  <si>
    <t>40231707</t>
  </si>
  <si>
    <t>LOMAS SALINAS PERCY</t>
  </si>
  <si>
    <t>ELECTRICISTA AUTOMOTRIZ</t>
  </si>
  <si>
    <t>Vigilante Hangar N° 2</t>
  </si>
  <si>
    <t>48352550</t>
  </si>
  <si>
    <t>MORI BARDALES JONATAN</t>
  </si>
  <si>
    <t>VIGILANTE HANGAR N° 2</t>
  </si>
  <si>
    <t>Vigilante DRTC</t>
  </si>
  <si>
    <t>75815972</t>
  </si>
  <si>
    <t>BARDALES AHUANARI WERLEN</t>
  </si>
  <si>
    <t>VIGILANTE DRTC</t>
  </si>
  <si>
    <t>71910799</t>
  </si>
  <si>
    <t>SINUIRI HIDALGO BEY GELSON</t>
  </si>
  <si>
    <t>45803886</t>
  </si>
  <si>
    <t>URQUIA PANAIFO PEDRO FRANKLIN</t>
  </si>
  <si>
    <t>00034723</t>
  </si>
  <si>
    <t>FATAMA OTRERA CLEVER MARIANO</t>
  </si>
  <si>
    <t>22407264</t>
  </si>
  <si>
    <t>GRANDA SEMINARIO PEDRO MIGUEL</t>
  </si>
  <si>
    <t>00094104</t>
  </si>
  <si>
    <t>ZUÑIGA SORIA ARNALDO</t>
  </si>
  <si>
    <t>00014753</t>
  </si>
  <si>
    <t>GONZALES TANGOA WILDER</t>
  </si>
  <si>
    <t>VIGILANTE DRT C</t>
  </si>
  <si>
    <t>Personal Limpieza DRCT</t>
  </si>
  <si>
    <t>80502633</t>
  </si>
  <si>
    <t>ASIPALI ASIPALI REBECA</t>
  </si>
  <si>
    <t>PERSONAL DE LIMPIEZA</t>
  </si>
  <si>
    <t>41701582</t>
  </si>
  <si>
    <t>GOMEZ RIOS DELIA EULALIA</t>
  </si>
  <si>
    <t>Asistente de Fiscalizacion</t>
  </si>
  <si>
    <t>41739512</t>
  </si>
  <si>
    <t>GUERRA SPEZIANI PAULO ANTONIO</t>
  </si>
  <si>
    <t>ASISTENTE DE FISCALIZACION</t>
  </si>
  <si>
    <t>ASITENTE DE FISCALIZACION</t>
  </si>
  <si>
    <t>Apoyo Administrativo UCP</t>
  </si>
  <si>
    <t>41743164</t>
  </si>
  <si>
    <t>APOYO ADMINISTRATIVO UCP</t>
  </si>
  <si>
    <t xml:space="preserve">Secretaria </t>
  </si>
  <si>
    <t>47089799</t>
  </si>
  <si>
    <t>LOZANO RAMIREZ SUSY PATRICIA</t>
  </si>
  <si>
    <t xml:space="preserve">SECRETARIA </t>
  </si>
  <si>
    <t>40391900</t>
  </si>
  <si>
    <t>VELA ELIAS ISABEL MILAGROS</t>
  </si>
  <si>
    <t>Responsable Tecnico de Mantenimiento Vial</t>
  </si>
  <si>
    <t>RESPONSABLE TECNICO MANTENIMIENTO VIAL</t>
  </si>
  <si>
    <t>Soporte Tecnico en  Informatica</t>
  </si>
  <si>
    <t>44657849</t>
  </si>
  <si>
    <t>SOPORTE TECNICO EN INFORMATICA</t>
  </si>
  <si>
    <t>Inspector Tecnico de Servicio</t>
  </si>
  <si>
    <t>00099494</t>
  </si>
  <si>
    <t>PEÑA MORAN WILFREDO</t>
  </si>
  <si>
    <t>INSPECTOR TECNICO DE SERVICIO</t>
  </si>
  <si>
    <t>Apoyo Mantenimiento Vial</t>
  </si>
  <si>
    <t>46169754</t>
  </si>
  <si>
    <t>LEON NAZAR LUIS ALBERTO</t>
  </si>
  <si>
    <t>APOYO EN MANTENIMIENTO VIAL</t>
  </si>
  <si>
    <t>Chofer Camioneta EGF-228</t>
  </si>
  <si>
    <t>07748449</t>
  </si>
  <si>
    <t>TAMAYO SAMANIEGO FRANCISCO ANTONIO</t>
  </si>
  <si>
    <t>CHOFER CAMIONETA PLACA EGF 228</t>
  </si>
  <si>
    <t>Soldador en Taller SEM</t>
  </si>
  <si>
    <t>00018143</t>
  </si>
  <si>
    <t>DIAZ QUINTANA ULISES</t>
  </si>
  <si>
    <t>SOLDADOR EN TALLER SEM</t>
  </si>
  <si>
    <t>Inspector Vial DC</t>
  </si>
  <si>
    <t>40307901</t>
  </si>
  <si>
    <t>DIAZ CACHAY FRANCISCO</t>
  </si>
  <si>
    <t>INSPECTOR VAIL DE DC</t>
  </si>
  <si>
    <t>INSPECTOR VIAL DE DC</t>
  </si>
  <si>
    <t>Capataz DC</t>
  </si>
  <si>
    <t>21142577</t>
  </si>
  <si>
    <t>AGÜERO BLAS IVO NORMAN</t>
  </si>
  <si>
    <t xml:space="preserve"> CAPATAZ DC</t>
  </si>
  <si>
    <t>CAPATAZ DC</t>
  </si>
  <si>
    <t>Vigilante DC</t>
  </si>
  <si>
    <t>00085298</t>
  </si>
  <si>
    <t>PINEDO SEBASTIAN JONAS</t>
  </si>
  <si>
    <t>VIGILANTE DC</t>
  </si>
  <si>
    <t>Apoyo Tecnico Administrativo</t>
  </si>
  <si>
    <t>18882207</t>
  </si>
  <si>
    <t>PAREDES VACALLA SANTIAGO CARLOS</t>
  </si>
  <si>
    <t>APOYO TECNICO ADMINISTRATIVO</t>
  </si>
  <si>
    <t>Asistente Almacenero DC</t>
  </si>
  <si>
    <t>ASISTENTE ALMACENERO DC</t>
  </si>
  <si>
    <t>Controlador Tecnico de Campo DC</t>
  </si>
  <si>
    <t>00100307</t>
  </si>
  <si>
    <t>ADOLFO SANCHEZ PEZO</t>
  </si>
  <si>
    <t>CONTROLADOR TECNICO DE CAMPO DC</t>
  </si>
  <si>
    <t>Abogado DCTA</t>
  </si>
  <si>
    <t>46551762</t>
  </si>
  <si>
    <t>GONZALES SILVA SHEDDY JOSEPH</t>
  </si>
  <si>
    <t>ABOGADO DCTA</t>
  </si>
  <si>
    <t>Asistente Inspector Tecnico DC</t>
  </si>
  <si>
    <t>72951576</t>
  </si>
  <si>
    <t>MACEDO TANG YUMI ALMENDRA</t>
  </si>
  <si>
    <t>ASISTENTE INSPECTOR TECNICO DC</t>
  </si>
  <si>
    <t xml:space="preserve">Jefe Fiscalizacion </t>
  </si>
  <si>
    <t>46583469</t>
  </si>
  <si>
    <t>SILVA SILVA LUIS ALBERTO</t>
  </si>
  <si>
    <t xml:space="preserve">JEFE DE FISCALIZACION </t>
  </si>
  <si>
    <t>JEFE DE FISCALIZACION</t>
  </si>
  <si>
    <t>77178064</t>
  </si>
  <si>
    <t>CHUQUIMBALQUI RODRIGUEZ GROVER</t>
  </si>
  <si>
    <t>Tecnico Administrativo DTA</t>
  </si>
  <si>
    <t>00043695</t>
  </si>
  <si>
    <t>PAIMA RIMACHI CLAUDIO</t>
  </si>
  <si>
    <t>TECNICO ADMINISTRATIVO DTA</t>
  </si>
  <si>
    <t>Tecnico Electronico DCTA</t>
  </si>
  <si>
    <t>40031845</t>
  </si>
  <si>
    <t>SALAS GOMEZ ELMER SANTIAGO</t>
  </si>
  <si>
    <t>TECNICO ELELCTRICISTA DCTA</t>
  </si>
  <si>
    <t>Secretaria Asesoria Legal</t>
  </si>
  <si>
    <t>21148539</t>
  </si>
  <si>
    <t>AVALOS FLORES ROCIO DEL PILAR</t>
  </si>
  <si>
    <t>SECRETARIA ASESORIA LEGAL</t>
  </si>
  <si>
    <t xml:space="preserve">Chofer </t>
  </si>
  <si>
    <t>46933810</t>
  </si>
  <si>
    <t>SIU PEREZ GILMER</t>
  </si>
  <si>
    <t xml:space="preserve">CHOFER </t>
  </si>
  <si>
    <t>Liquidador Tecnico de Servicios</t>
  </si>
  <si>
    <t>00100412</t>
  </si>
  <si>
    <t>OSORIO BARBARAN MIRTHA ROCIO</t>
  </si>
  <si>
    <t>LIQUIDADOR TECNICO DE SERIVIOS</t>
  </si>
  <si>
    <t>LIQUIDADOR TECNICO DE SERVICIOS</t>
  </si>
  <si>
    <t>Ingeniero Electronico DCTA</t>
  </si>
  <si>
    <t>01161796</t>
  </si>
  <si>
    <t>NAVARRO SABOYA HENRY</t>
  </si>
  <si>
    <t>INGENIERO ELECTRONICO DCTA</t>
  </si>
  <si>
    <t>40879812</t>
  </si>
  <si>
    <t>MANUYAMA CURMAYARI SEGUNDO</t>
  </si>
  <si>
    <t>VIGILANTE PLANTA DE ASFALTO</t>
  </si>
  <si>
    <t>46263467</t>
  </si>
  <si>
    <t>CHAVEZ ALVARADO JUAN</t>
  </si>
  <si>
    <t>OPERADOR CARGADOR FRONTAL DE REG. 104</t>
  </si>
  <si>
    <t>MotoristaDCTA</t>
  </si>
  <si>
    <t>42264323</t>
  </si>
  <si>
    <t>OJANAMA SIMA ALEX</t>
  </si>
  <si>
    <t>MECANICO MOTORISTA</t>
  </si>
  <si>
    <t>Inspector Tecnico Vial DC</t>
  </si>
  <si>
    <t>00085616</t>
  </si>
  <si>
    <t>GAUBE RIOS JORGE LUIS</t>
  </si>
  <si>
    <t>INSPECTOR TECNICO VIAL DC</t>
  </si>
  <si>
    <t>Operador Rodillo Liso Vibratorio Reg. 823</t>
  </si>
  <si>
    <t>46210133</t>
  </si>
  <si>
    <t>TEJADA COLLAZOS VICTOR LEANDRO</t>
  </si>
  <si>
    <t>OPERADOR RODILLO LISO VIBRATORIO REG 823</t>
  </si>
  <si>
    <t>Licienciada en Enfermeria</t>
  </si>
  <si>
    <t>45555982</t>
  </si>
  <si>
    <t>FIGUEROA FERNANDEZ DELIA ISABEL</t>
  </si>
  <si>
    <t>LICENCIADA EN ENFERMERIA</t>
  </si>
  <si>
    <t>48095402</t>
  </si>
  <si>
    <t>BURGA EL AGUILA EMANUEL ALFONSO</t>
  </si>
  <si>
    <t>RECURSOS ORDINARIOS</t>
  </si>
  <si>
    <t>Apoyo  Administrativo</t>
  </si>
  <si>
    <t>00124429</t>
  </si>
  <si>
    <t>Cabrera Solis, Rosa Lucía</t>
  </si>
  <si>
    <t xml:space="preserve">EGRESADA CENECAPE RICARDO PALMA </t>
  </si>
  <si>
    <t>0166</t>
  </si>
  <si>
    <t>022</t>
  </si>
  <si>
    <t>Perez Farro, Daniel Roberto</t>
  </si>
  <si>
    <t>TURISMO Y HOTELERIA</t>
  </si>
  <si>
    <t>PROFESIONAL EGRESADO</t>
  </si>
  <si>
    <t>0167</t>
  </si>
  <si>
    <t>023</t>
  </si>
  <si>
    <t>Ahuite Yaicate Marbin Rober</t>
  </si>
  <si>
    <t>RENUNCIO 23/01/2020</t>
  </si>
  <si>
    <t>009</t>
  </si>
  <si>
    <t xml:space="preserve">23 </t>
  </si>
  <si>
    <t>Diaz Mera Jessica</t>
  </si>
  <si>
    <t>ESCUELA INTERNACIONAL DE GRADUADOS</t>
  </si>
  <si>
    <t>0168</t>
  </si>
  <si>
    <t>047</t>
  </si>
  <si>
    <t>08675219</t>
  </si>
  <si>
    <t>Grajeda Souza, Carlos Enrique</t>
  </si>
  <si>
    <t>ESTUDIOS DE CONTABILIDAD NO CONCLUIDO</t>
  </si>
  <si>
    <t>0169</t>
  </si>
  <si>
    <t xml:space="preserve">Abogada </t>
  </si>
  <si>
    <t>Aching Jipa Evelyn</t>
  </si>
  <si>
    <t>FALLECIO 19/06/2020</t>
  </si>
  <si>
    <t>101</t>
  </si>
  <si>
    <t>Abogada</t>
  </si>
  <si>
    <t>40339472</t>
  </si>
  <si>
    <t>Barba Espinoza Diana Rosa</t>
  </si>
  <si>
    <t>TRABAJO HASTA 24/08/2020</t>
  </si>
  <si>
    <t>029</t>
  </si>
  <si>
    <t>Cornejo Calderon Estrella Jarumi</t>
  </si>
  <si>
    <t>TRABAJO HASTA 1/12/2020</t>
  </si>
  <si>
    <t>031</t>
  </si>
  <si>
    <t>Tècnico Administrativo</t>
  </si>
  <si>
    <t>Macahuachi Cardenas Ana Gabriela</t>
  </si>
  <si>
    <t>LICENCIADO EN ADMINISTRATICON</t>
  </si>
  <si>
    <t>0170</t>
  </si>
  <si>
    <t>054</t>
  </si>
  <si>
    <t>Tècnico en Finanzas</t>
  </si>
  <si>
    <t>00104361</t>
  </si>
  <si>
    <t>Hidalgo Perez, Wilson</t>
  </si>
  <si>
    <t>CIENCIAS CONTABLES Y FINANCIERAS</t>
  </si>
  <si>
    <t>0171</t>
  </si>
  <si>
    <t>024</t>
  </si>
  <si>
    <t>Rengifo Chavez, Juan Carlos</t>
  </si>
  <si>
    <t>0172</t>
  </si>
  <si>
    <t>051</t>
  </si>
  <si>
    <t>Auditor</t>
  </si>
  <si>
    <t>Ruiz Vargas, Yta Karen</t>
  </si>
  <si>
    <t>TRABAJO HASTA 28/02/2021</t>
  </si>
  <si>
    <t>0173</t>
  </si>
  <si>
    <t>00091620</t>
  </si>
  <si>
    <t>Barbarán Garcia, Marina</t>
  </si>
  <si>
    <t>0174</t>
  </si>
  <si>
    <t>070</t>
  </si>
  <si>
    <t>Diaz Mori Danny Daniel</t>
  </si>
  <si>
    <t>RENUNCIO 26/10/2020</t>
  </si>
  <si>
    <t xml:space="preserve">BACHILLER </t>
  </si>
  <si>
    <t>032</t>
  </si>
  <si>
    <t>Carbajal Basilio Karith Diana</t>
  </si>
  <si>
    <t>TRABAJO HASTA 31/12/2020</t>
  </si>
  <si>
    <t>PROFESIONAL TECNICO</t>
  </si>
  <si>
    <t>034</t>
  </si>
  <si>
    <t>Flores Benzaquen, Rosa Emperatriz</t>
  </si>
  <si>
    <t>0175</t>
  </si>
  <si>
    <t>025</t>
  </si>
  <si>
    <t>00004223</t>
  </si>
  <si>
    <t>Zevallos Tenazoa, Yor Noe</t>
  </si>
  <si>
    <t>SECUNDARIA COMPLETA</t>
  </si>
  <si>
    <t>0176</t>
  </si>
  <si>
    <t>026</t>
  </si>
  <si>
    <t>Tècnico Administrativo-SIAF</t>
  </si>
  <si>
    <t>Ramirez Bardales, Martin</t>
  </si>
  <si>
    <t>RENUNCIO 24/08/2020</t>
  </si>
  <si>
    <t>0177</t>
  </si>
  <si>
    <t>Tecnico Administrativo</t>
  </si>
  <si>
    <t>Cardenas Garcia, Guiomar Triny</t>
  </si>
  <si>
    <t>0178</t>
  </si>
  <si>
    <t>055</t>
  </si>
  <si>
    <t>Marquez Chavez, Leydi Adriana</t>
  </si>
  <si>
    <t>0179</t>
  </si>
  <si>
    <t>056</t>
  </si>
  <si>
    <t>Ramirez Vargas, Milka Jhanet</t>
  </si>
  <si>
    <t>0180</t>
  </si>
  <si>
    <t>057</t>
  </si>
  <si>
    <t>Arcentales Dávila, Sergio Luis</t>
  </si>
  <si>
    <t>0181</t>
  </si>
  <si>
    <t>033</t>
  </si>
  <si>
    <t>Ramirez Olortegui Betty Patricia</t>
  </si>
  <si>
    <t>FORESTAL</t>
  </si>
  <si>
    <t>0182</t>
  </si>
  <si>
    <t>058</t>
  </si>
  <si>
    <t>Ramirez Caballero, Sharon Estefani</t>
  </si>
  <si>
    <t>0183</t>
  </si>
  <si>
    <t>027</t>
  </si>
  <si>
    <t>Tècnico Administraivo-SIGA</t>
  </si>
  <si>
    <t>Villanueva Rengifo, Cristhian Fredy</t>
  </si>
  <si>
    <t>0184</t>
  </si>
  <si>
    <t>059</t>
  </si>
  <si>
    <t>Mathews Fernandez, Berita Isabel</t>
  </si>
  <si>
    <t>0185</t>
  </si>
  <si>
    <t>060</t>
  </si>
  <si>
    <t>Trabajador de Servicio</t>
  </si>
  <si>
    <t>Galan Satalay, Maria Selmira</t>
  </si>
  <si>
    <t>0186</t>
  </si>
  <si>
    <t>028</t>
  </si>
  <si>
    <t>Vigilante-Sede</t>
  </si>
  <si>
    <t>Perez Fernandez, Hernando</t>
  </si>
  <si>
    <t>0187</t>
  </si>
  <si>
    <t>Segobia Pinche, Jose Cristian Rudy</t>
  </si>
  <si>
    <t>FALLECIO 20/10/2020</t>
  </si>
  <si>
    <t>0188</t>
  </si>
  <si>
    <t>Dàvila Mozombite Jarden</t>
  </si>
  <si>
    <t>MECANICA AUTOMOTRIZ</t>
  </si>
  <si>
    <t>036</t>
  </si>
  <si>
    <t>061</t>
  </si>
  <si>
    <t>Vigilante-Saenz Peña</t>
  </si>
  <si>
    <t>00087816</t>
  </si>
  <si>
    <t>Del Aguila Gonzales, Kir Ronald</t>
  </si>
  <si>
    <t>PROFESOR SECUNDARIA</t>
  </si>
  <si>
    <t>PROFESIONAL PEDAGOGICO</t>
  </si>
  <si>
    <t>0189</t>
  </si>
  <si>
    <t>030</t>
  </si>
  <si>
    <t>00107036</t>
  </si>
  <si>
    <t>Moreno Zumaeta, Maria Juana</t>
  </si>
  <si>
    <t>0190</t>
  </si>
  <si>
    <t>Huaman Falcón Elvira Esther</t>
  </si>
  <si>
    <t>0191</t>
  </si>
  <si>
    <t>062</t>
  </si>
  <si>
    <t>Tècnico Administrativo-NEXUS</t>
  </si>
  <si>
    <t>Gomez Torres, Ericka Estefani</t>
  </si>
  <si>
    <t xml:space="preserve"> INGENIERIA DE SISTEMAS</t>
  </si>
  <si>
    <t>RENUNCIO 15/02/2021</t>
  </si>
  <si>
    <t>BACHILLER INGENIERIA DE SISTEMAS</t>
  </si>
  <si>
    <t>0192</t>
  </si>
  <si>
    <t>249</t>
  </si>
  <si>
    <t>Sanchez Mera, Luis Carlos</t>
  </si>
  <si>
    <t>0193</t>
  </si>
  <si>
    <t>Especialista Patrimonio</t>
  </si>
  <si>
    <t>00106803</t>
  </si>
  <si>
    <t>Portocarrero Rodriguez, Lucy</t>
  </si>
  <si>
    <t>MAESTRIA GESTION PUBLICA</t>
  </si>
  <si>
    <t>0194</t>
  </si>
  <si>
    <t>Montes Panduro, Angel Manuel</t>
  </si>
  <si>
    <t>0195</t>
  </si>
  <si>
    <t>Hernandez Vásquez, Erick Alexander</t>
  </si>
  <si>
    <t>0196</t>
  </si>
  <si>
    <t>035</t>
  </si>
  <si>
    <t>00025127</t>
  </si>
  <si>
    <t>Macedo Lobo, Mayra Lily</t>
  </si>
  <si>
    <t>RENUNCIO 30/10/2020</t>
  </si>
  <si>
    <t>0197</t>
  </si>
  <si>
    <t>Ramìrez Rengifo Christian Joerick Guillermo</t>
  </si>
  <si>
    <t>SUPERIOR NO CONCLUIDO</t>
  </si>
  <si>
    <t>Tècnico en Informàtica</t>
  </si>
  <si>
    <t>Hidalgo Perez, Neisser</t>
  </si>
  <si>
    <t>0198</t>
  </si>
  <si>
    <t>037</t>
  </si>
  <si>
    <t>Secretario Tècnico</t>
  </si>
  <si>
    <t>Gomez Perez, Cindy Yolanda</t>
  </si>
  <si>
    <t>0199</t>
  </si>
  <si>
    <t>063</t>
  </si>
  <si>
    <t>Leon Tafur, Richard</t>
  </si>
  <si>
    <t>RENUNCIO 04/03/2021, SE PRESENTO A TRABAJAR AL PROGRAMA 0147</t>
  </si>
  <si>
    <t>0200</t>
  </si>
  <si>
    <t>257</t>
  </si>
  <si>
    <t>Cabrera Solis Liz Veronica</t>
  </si>
  <si>
    <t>0201</t>
  </si>
  <si>
    <t>050</t>
  </si>
  <si>
    <t>Panduro Ramirez Rolando</t>
  </si>
  <si>
    <t>RENUNCIO 29/01/2020</t>
  </si>
  <si>
    <t>00004598</t>
  </si>
  <si>
    <t>Garcìa Torres Josè Manuel</t>
  </si>
  <si>
    <t>PROFESIONALIZACION DOCENTE</t>
  </si>
  <si>
    <t>PEDAGOGICO NO CONCLUIDO</t>
  </si>
  <si>
    <t>0202</t>
  </si>
  <si>
    <t>064</t>
  </si>
  <si>
    <t>Dàvila Hidalgo Maribel</t>
  </si>
  <si>
    <t>046</t>
  </si>
  <si>
    <t>Maguiña Rojas Sahira</t>
  </si>
  <si>
    <t>DERECHO Y CIENCIAS POLITICAS</t>
  </si>
  <si>
    <t>065</t>
  </si>
  <si>
    <t>Ochoa Ramìrez Disney Estrella</t>
  </si>
  <si>
    <t>EGRESADA TECNOLOGICO</t>
  </si>
  <si>
    <t>052</t>
  </si>
  <si>
    <t>Ordoñez Pacheco Ericka de Jesùs</t>
  </si>
  <si>
    <t>049</t>
  </si>
  <si>
    <t>Yaranga Chota Eliana Elina</t>
  </si>
  <si>
    <t>ESTUDIANTE DE SECRETARIADO EJECUTIVO TECNICO</t>
  </si>
  <si>
    <t>053</t>
  </si>
  <si>
    <t>47413455</t>
  </si>
  <si>
    <t>Marmolejo Del Aguila de Dìaz Reyna Milagros</t>
  </si>
  <si>
    <t>0207</t>
  </si>
  <si>
    <t>015</t>
  </si>
  <si>
    <t>Coordinador Local-UGEL ATALAYA</t>
  </si>
  <si>
    <t>80183514</t>
  </si>
  <si>
    <t>Bembino Sampayo Emerson Jorge</t>
  </si>
  <si>
    <t>PROFESOR PRIMARIA</t>
  </si>
  <si>
    <t>0208</t>
  </si>
  <si>
    <t>016</t>
  </si>
  <si>
    <t>Coordinador Local -UGEL CORONEL PORTILLO</t>
  </si>
  <si>
    <t>00015881</t>
  </si>
  <si>
    <t>Lopez Reategui Ernesto Hildebrando</t>
  </si>
  <si>
    <t>RENUNCIO 30/04/2021</t>
  </si>
  <si>
    <t>0209</t>
  </si>
  <si>
    <t>Coordinador Local-UGEL PADRE ABAD.</t>
  </si>
  <si>
    <t>00057152</t>
  </si>
  <si>
    <t>Talepcio Pacaya Winder</t>
  </si>
  <si>
    <t>0210</t>
  </si>
  <si>
    <t>Coordinador Local-UGEL PURUS</t>
  </si>
  <si>
    <t>00089987</t>
  </si>
  <si>
    <t>Pinchi Romaina Zobeida</t>
  </si>
  <si>
    <t>0211</t>
  </si>
  <si>
    <t>Coordinador Local-UGEL CORONEL PORTILLO</t>
  </si>
  <si>
    <t>Chuquizuta Carrion Luis Augusto</t>
  </si>
  <si>
    <t>RENUNCIO 19/02/2021</t>
  </si>
  <si>
    <t>0212</t>
  </si>
  <si>
    <t>ESPECIALISTA DE RIESGOS Y DESASTRES</t>
  </si>
  <si>
    <t>Araujo Matos Cirilo</t>
  </si>
  <si>
    <t>00071773</t>
  </si>
  <si>
    <t>Pinedo Sifuentes Mario</t>
  </si>
  <si>
    <t>012</t>
  </si>
  <si>
    <t>Montaluiza Chapiama Sandra Elena</t>
  </si>
  <si>
    <t>EGRESADA DE ADMINISTRACION-TECNICO EN COMPUTACION E INFORMATICA</t>
  </si>
  <si>
    <t>007</t>
  </si>
  <si>
    <t>47118799</t>
  </si>
  <si>
    <t>Sanchez Reategui Hubert Valery</t>
  </si>
  <si>
    <t>008</t>
  </si>
  <si>
    <t>46438229</t>
  </si>
  <si>
    <t>Arevalo Shapiama Lewis</t>
  </si>
  <si>
    <t>PROFESOR EDUCACION FISICA</t>
  </si>
  <si>
    <t>EGRESADO DE ESTUDIOS PEDAGOGICOS</t>
  </si>
  <si>
    <t>010</t>
  </si>
  <si>
    <t>47966399</t>
  </si>
  <si>
    <t>Correa Perez Karina</t>
  </si>
  <si>
    <t>LICENCIADA EN ADMINISTRACION</t>
  </si>
  <si>
    <t>011</t>
  </si>
  <si>
    <t xml:space="preserve">Especialista de Condiciones </t>
  </si>
  <si>
    <t>Arancibia Ferreira Maricielo</t>
  </si>
  <si>
    <t>INGENIERA CIVIL</t>
  </si>
  <si>
    <t>Coordinador Técnico</t>
  </si>
  <si>
    <t>Perez Saldaña Juan Robinson</t>
  </si>
  <si>
    <t>0223</t>
  </si>
  <si>
    <t>019</t>
  </si>
  <si>
    <t xml:space="preserve">Facilitador del Equipo Técnico Regional </t>
  </si>
  <si>
    <t>05251035</t>
  </si>
  <si>
    <t>Vasquez Rios David</t>
  </si>
  <si>
    <t>0224</t>
  </si>
  <si>
    <t>Asistente Administrativo-Logístico</t>
  </si>
  <si>
    <t>00088149</t>
  </si>
  <si>
    <t>Bardales Pizarro Rocio</t>
  </si>
  <si>
    <t>0225</t>
  </si>
  <si>
    <t>021</t>
  </si>
  <si>
    <t>Apoyo Tècnico del ETR</t>
  </si>
  <si>
    <t>00027748</t>
  </si>
  <si>
    <t>Tafur Angulo Orlando</t>
  </si>
  <si>
    <t>CONTADOR PUBLICO COLEGIADO</t>
  </si>
  <si>
    <t>020</t>
  </si>
  <si>
    <t>Facilitadora del Programa Familiar Fuerte: Amor y Límites</t>
  </si>
  <si>
    <t>Barrantes Panduro Jessica Luz</t>
  </si>
  <si>
    <t>Facilitadora del Programa Presupuestal de Prevencion del Consumo de Drogas en el ambito Educativo</t>
  </si>
  <si>
    <t>00076089</t>
  </si>
  <si>
    <t>Torres Navarro Auristela</t>
  </si>
  <si>
    <t>LIC. EDUCACION PRIMARIA</t>
  </si>
  <si>
    <t xml:space="preserve">Especialista en seguimiento y Monitoreo de Inst. de Formaciòn Docente </t>
  </si>
  <si>
    <t>00113040</t>
  </si>
  <si>
    <t>Salirrosas Navarro Liz Sobeida</t>
  </si>
  <si>
    <t>0203</t>
  </si>
  <si>
    <t>038</t>
  </si>
  <si>
    <t>Especialista Regional en Educaciòn Especial</t>
  </si>
  <si>
    <t>Ponce Maylle Adolfo Segundo</t>
  </si>
  <si>
    <t>0204</t>
  </si>
  <si>
    <t>039</t>
  </si>
  <si>
    <t>Especialista Regional de Convivencia Escolar</t>
  </si>
  <si>
    <t>001187307</t>
  </si>
  <si>
    <t>Diaz Gonzalez Ana Marìa</t>
  </si>
  <si>
    <t>0205</t>
  </si>
  <si>
    <t>040</t>
  </si>
  <si>
    <t>Especialista de Calidad del Servicio Educativo Superior Tecnológico</t>
  </si>
  <si>
    <t>Leon Tafur Richard</t>
  </si>
  <si>
    <t>006</t>
  </si>
  <si>
    <t xml:space="preserve">Vigilante Instituto Superior </t>
  </si>
  <si>
    <t>Fasabi Mendez Joel</t>
  </si>
  <si>
    <t>5TO DE SECUNDARIA</t>
  </si>
  <si>
    <t>0214</t>
  </si>
  <si>
    <t>042</t>
  </si>
  <si>
    <t>Piña Torres Gales</t>
  </si>
  <si>
    <t>0215</t>
  </si>
  <si>
    <t>043</t>
  </si>
  <si>
    <t>Torres Rivera Reynaldo</t>
  </si>
  <si>
    <t>RENUNCIO 30/112020</t>
  </si>
  <si>
    <t>0216</t>
  </si>
  <si>
    <t>Davila Rocha Anthony Alexis</t>
  </si>
  <si>
    <t>0217</t>
  </si>
  <si>
    <t>Tachiana Tachiana Royge</t>
  </si>
  <si>
    <t>INDUSTRIAS ALIMENTARIAS</t>
  </si>
  <si>
    <t>Piña Torres Clader Jorge</t>
  </si>
  <si>
    <t>0218</t>
  </si>
  <si>
    <t>066</t>
  </si>
  <si>
    <t>Avila Vega Zosimo</t>
  </si>
  <si>
    <t>EDUCACIÓN PRIMARIA</t>
  </si>
  <si>
    <t>ESTUDIOS PEDAGÓGICOS NO CONCLUIDOS</t>
  </si>
  <si>
    <t>0219</t>
  </si>
  <si>
    <t>067</t>
  </si>
  <si>
    <t>RamÍrez Chiong Lucky Van</t>
  </si>
  <si>
    <t>ESTUDIANTE DE CIENCIAS CONTABLES Y FINANCIERAS</t>
  </si>
  <si>
    <t>0220</t>
  </si>
  <si>
    <t>068</t>
  </si>
  <si>
    <t>Vigilante</t>
  </si>
  <si>
    <t>Cruz Sanchez Elmer Armando</t>
  </si>
  <si>
    <t>0221</t>
  </si>
  <si>
    <t>069</t>
  </si>
  <si>
    <t>LOCADOR</t>
  </si>
  <si>
    <t>FACILITADOR</t>
  </si>
  <si>
    <t>ABRAMONTE LETONA ROSA MILAGRITOS</t>
  </si>
  <si>
    <t>PROFESOR</t>
  </si>
  <si>
    <t>054-2021</t>
  </si>
  <si>
    <t>ANDY ERICK VASQUEZ GONZALES</t>
  </si>
  <si>
    <t>023-2021</t>
  </si>
  <si>
    <t>ASISTENTE TECNICA</t>
  </si>
  <si>
    <t>ARANCIBIA FERREIRA MARICIELO</t>
  </si>
  <si>
    <t>TITULADO</t>
  </si>
  <si>
    <t>071-2021</t>
  </si>
  <si>
    <t>ESPECIALISTA GESTION DE RIESGOS</t>
  </si>
  <si>
    <t>CIRILO ARAUJO MATOS</t>
  </si>
  <si>
    <t>079-2021</t>
  </si>
  <si>
    <t>CORDOVA URQUIA TREISSY PAOLA</t>
  </si>
  <si>
    <t>044-2021</t>
  </si>
  <si>
    <t>DAVID VASQUEZ RIOS</t>
  </si>
  <si>
    <t>039-2021</t>
  </si>
  <si>
    <t>DE LA VEGA GAMARRA ELIZABEHT</t>
  </si>
  <si>
    <t>053-2021</t>
  </si>
  <si>
    <t>DEL CUADRO TUESTA ANDREA</t>
  </si>
  <si>
    <t>BACHILLER ADM</t>
  </si>
  <si>
    <t>006-2021</t>
  </si>
  <si>
    <t>ENOC DEL AGUILA SHICA</t>
  </si>
  <si>
    <t>SIN PROFESION</t>
  </si>
  <si>
    <t>008-2021</t>
  </si>
  <si>
    <t>FLORES LAYNEZ NEMECIO</t>
  </si>
  <si>
    <t>014-2021</t>
  </si>
  <si>
    <t>EMED PREVAED</t>
  </si>
  <si>
    <t>FLORES RENGIFO CRISS MAYLLI</t>
  </si>
  <si>
    <t>080-2021</t>
  </si>
  <si>
    <t>GRANDEZ PAREDES, RAMON</t>
  </si>
  <si>
    <t>007-2021</t>
  </si>
  <si>
    <t>JENY LUZ ALVAREZ LAICHE</t>
  </si>
  <si>
    <t>046-2021</t>
  </si>
  <si>
    <t>JESSICA LUZ BARRANTES PANDURO</t>
  </si>
  <si>
    <t>052-2021</t>
  </si>
  <si>
    <t>JOHN RICHARD ZEVALLOS EYZAGUIRRE</t>
  </si>
  <si>
    <t>045-2021</t>
  </si>
  <si>
    <t>JORGE JIMENEZ PEREZ</t>
  </si>
  <si>
    <t>MECANICO</t>
  </si>
  <si>
    <t>010-2021</t>
  </si>
  <si>
    <t>LAVADO CRUZ, HERMAN ROBERTO</t>
  </si>
  <si>
    <t>BACHILLER SISTEMAS</t>
  </si>
  <si>
    <t>009-2021</t>
  </si>
  <si>
    <t>LEON GALAN CAROL PAOLA</t>
  </si>
  <si>
    <t>024-2021</t>
  </si>
  <si>
    <t>COORD. LOCAL PREVAED PURUS</t>
  </si>
  <si>
    <t>OLIVIA RIVERA PANDURO</t>
  </si>
  <si>
    <t>064-2021</t>
  </si>
  <si>
    <t>PANDURO AREVALO LINDA LUCERO</t>
  </si>
  <si>
    <t>025-2021</t>
  </si>
  <si>
    <t>SOPORTE TEC PREVAED</t>
  </si>
  <si>
    <t>PAREDES GARCIA CLEBER</t>
  </si>
  <si>
    <t>081-2021</t>
  </si>
  <si>
    <t>COORDINADOR FED</t>
  </si>
  <si>
    <t>SAAVEDRA LOPEZ LEONIDAS</t>
  </si>
  <si>
    <t>013-2021</t>
  </si>
  <si>
    <t>INTEGRADOR CONTABLE</t>
  </si>
  <si>
    <t>SANCHEZ RAMIREZ, CHELSY KIARA</t>
  </si>
  <si>
    <t>BACHILLER CONTABILIDAD</t>
  </si>
  <si>
    <t>026-2021</t>
  </si>
  <si>
    <t>VARGAS MACEDO, HUGO</t>
  </si>
  <si>
    <t>0947</t>
  </si>
  <si>
    <t>JEFE DE UNIDAD DE TECNOLOGIA</t>
  </si>
  <si>
    <t>ACHO CAVERO MARTIN SALVADOR</t>
  </si>
  <si>
    <t>TECNICO DE CAMPO</t>
  </si>
  <si>
    <t>ACOSTA DEL AGUILA MAX JORDI</t>
  </si>
  <si>
    <t>ALBORNOZ FLORES KEVIN ALBERTH</t>
  </si>
  <si>
    <t>ALVA TUESTA CHARYTIN SADUTRY</t>
  </si>
  <si>
    <t>AMASIFUEN ISUIZA LIBORIO</t>
  </si>
  <si>
    <t>PROFESIONAL PARA LA SEDE AGRARIA OVENTENI</t>
  </si>
  <si>
    <t>ARANA GARCIA LEDDY YALITZA</t>
  </si>
  <si>
    <t>SOPORTE INFORMATICO II</t>
  </si>
  <si>
    <t>AREVALO ANDRADE RICHARD</t>
  </si>
  <si>
    <t>AREVALO GARAY BERLIN ARMANDO</t>
  </si>
  <si>
    <t>AREVALO ORELLANA KAROL MILAGROS</t>
  </si>
  <si>
    <t>ARMAS RIVERA ZOILY PAOLA</t>
  </si>
  <si>
    <t>ASTETE SANTILLAN ELVIS LEONARDO</t>
  </si>
  <si>
    <t>AVILA RAMIREZ ERICK</t>
  </si>
  <si>
    <t>SECRETARIA DIRECCION REGIONAL</t>
  </si>
  <si>
    <t>BALCAZAR SAAVEDRA ROSARIO</t>
  </si>
  <si>
    <t>ENC. AREA BIENESTAR SOCIAL</t>
  </si>
  <si>
    <t>BARDALES GOMEZ MARIO</t>
  </si>
  <si>
    <t>BECERRA NUÑEZ DAVID</t>
  </si>
  <si>
    <t>JEFE DE SEDE BAJO AGUAYTIA</t>
  </si>
  <si>
    <t>BRAVO RIVERA JOSE ANTONIO</t>
  </si>
  <si>
    <t>BRIONES TORRES JORGE ANTONIO</t>
  </si>
  <si>
    <t>CALLE MARIN MARIA DEL PILAR</t>
  </si>
  <si>
    <t>CAMACHO VILLALOBOS VICTOR JULIO</t>
  </si>
  <si>
    <t>JEFE UNIDAD DE ABASTECIMIENTO</t>
  </si>
  <si>
    <t>CAMPOS CHOY SANCHEZ NIRO SERGIO</t>
  </si>
  <si>
    <t>ASISTENTE CONTABLE</t>
  </si>
  <si>
    <t>CARDENAS MACUYAMA ELIZABETH CRISTINA</t>
  </si>
  <si>
    <t>CARDENAS TANG ANTONI CRISTIAN</t>
  </si>
  <si>
    <t>CARDENAS VERA IVAN</t>
  </si>
  <si>
    <t>EXTENSIONISTA CALLERIA</t>
  </si>
  <si>
    <t>CAVERO DAVILA LAURA BEATRIZ</t>
  </si>
  <si>
    <t>CESPEDES GUEVARA JHON FERNANDO</t>
  </si>
  <si>
    <t>JEFE DE BRIGADA DE LEVANTAMIENTO CATASTRAL</t>
  </si>
  <si>
    <t>CHAVEZ ANGULO DIANA CAROLINA</t>
  </si>
  <si>
    <t>CHAVEZ CHINO CHARLES ARMANDO</t>
  </si>
  <si>
    <t>CHAVEZ FLORES AMY JOSYMAR</t>
  </si>
  <si>
    <t>CONDORI COAQUIRA JONATHAN</t>
  </si>
  <si>
    <t>CORAL PANDURO ROBERTO CARLOS</t>
  </si>
  <si>
    <t>CORTEGANO ACHO ALCIDES</t>
  </si>
  <si>
    <t>PERSONAL DE MANTENIMIENTO II</t>
  </si>
  <si>
    <t>DAVILA MACEDO CARLOS</t>
  </si>
  <si>
    <t>DEL AGUILA PANDURO JORGE RENATO</t>
  </si>
  <si>
    <t>SOPORTE TECNICO I</t>
  </si>
  <si>
    <t>DEL CASTILLO TORRES GENRRY</t>
  </si>
  <si>
    <t>ENCARGADO</t>
  </si>
  <si>
    <t>DOLCI RIOS MARIO FERNANDO</t>
  </si>
  <si>
    <t>ASISTENTE TECNICO EN PLANEAMIENTO</t>
  </si>
  <si>
    <t>ENCISO GRANDEZ JOSE LUIS</t>
  </si>
  <si>
    <t>PROMOTOR CAD. PROD. CACAO</t>
  </si>
  <si>
    <t>ESCUDERO ORBE LANY INES</t>
  </si>
  <si>
    <t>EXTENSIONISTA SEDE HUIPOCA</t>
  </si>
  <si>
    <t>ESPINOZA CASTELLO RIBER YELSIN</t>
  </si>
  <si>
    <t>FASABI PINCHI DILMA JANETH</t>
  </si>
  <si>
    <t>ABOGADO DE REVERSIONES Y ASUNT. ESP.</t>
  </si>
  <si>
    <t>FERNANDEZ CANAYO ELVIS GENRRY</t>
  </si>
  <si>
    <t>FIGUEROA MORENO HUTCH ANDREW JEREMY</t>
  </si>
  <si>
    <t>ENCARGADA ARCHIVO GENERAL</t>
  </si>
  <si>
    <t>FLORES NAVARRO MAURA ELISA</t>
  </si>
  <si>
    <t>JEFE UNIDAD GESTION DE LAS PERSONAS</t>
  </si>
  <si>
    <t>FLORES VELA FERNANDO</t>
  </si>
  <si>
    <t>PROMOTORA. CAD. PROD. CAMU CAMU</t>
  </si>
  <si>
    <t>FRIAS SHUÑA BLANCA FLOR</t>
  </si>
  <si>
    <t>GARCIA GONZALES OSCAR</t>
  </si>
  <si>
    <t>GARCIA SANCHEZ SILVIA YESSENIA</t>
  </si>
  <si>
    <t>GOMEZ RIOS LEANDRO</t>
  </si>
  <si>
    <t>PROMOTOR DE PALMA ACEITERA DPCA</t>
  </si>
  <si>
    <t>GONZALES SALDAÑA JERSSON</t>
  </si>
  <si>
    <t>HENRRIQUEZ MENDOZA JIMY</t>
  </si>
  <si>
    <t>JEFE UNIDAD DE TESORERIA</t>
  </si>
  <si>
    <t>HURTADO RUIZ ANA YOLANDA</t>
  </si>
  <si>
    <t>JARA GODOY BAHIDO</t>
  </si>
  <si>
    <t>ASISTENTE LEGAL II</t>
  </si>
  <si>
    <t>LIMA FLORES YSAAC ANTONIO</t>
  </si>
  <si>
    <t>LOPEZ RUIZ RAMIRO</t>
  </si>
  <si>
    <t>LOPEZ SALAS JULLY MARITZA</t>
  </si>
  <si>
    <t>MANIHUARI PEREZ ROSA MILEMILDREETH</t>
  </si>
  <si>
    <t>EXTENSIONISTA AGRARIO</t>
  </si>
  <si>
    <t>MAYNAS INUMA DANIEL</t>
  </si>
  <si>
    <t>CONTROL DE CALIDAD DE EXPEDIENTES</t>
  </si>
  <si>
    <t>MEDINA FLORES EVA LILIANA</t>
  </si>
  <si>
    <t>JEFE DE SEDE MASISEA</t>
  </si>
  <si>
    <t>MENDOZA VALENCIA JHONNY VIRGILIO</t>
  </si>
  <si>
    <t>MEZA NOVOA RUTH</t>
  </si>
  <si>
    <t>JEFE DE LA UNIDAD DE IMAGEN INSTITUCIONAL</t>
  </si>
  <si>
    <t>MOJALOTT DEL AGUILA JUAN CHRISTIAN</t>
  </si>
  <si>
    <t>MORALES JURADO ALEJANDRO</t>
  </si>
  <si>
    <t>MUÑOZ CARDENAS MERCY MARISA</t>
  </si>
  <si>
    <t>RESPONSABLE AREA CC.NN</t>
  </si>
  <si>
    <t>MUÑOZ RUIZ ALFONSO</t>
  </si>
  <si>
    <t>RESPONSABLE DE PROCEDIMIENTOS Y SERVICIOS SOBRE CATASTRO RURAL Y TUPA</t>
  </si>
  <si>
    <t>OCHOA TORRES JACK BRADY</t>
  </si>
  <si>
    <t>PACAYA SIMA KEENNY</t>
  </si>
  <si>
    <t>PALACIOS VALERA ERICK ARMANDO</t>
  </si>
  <si>
    <t>PERSONAL DE LIMPIEZA II</t>
  </si>
  <si>
    <t>PALOMINO CHAVEZ CARMEN ISABEL</t>
  </si>
  <si>
    <t>PANDURO MACEDO VICTOR DANIEL</t>
  </si>
  <si>
    <t>PANDURO SANDOVAL MARIELA</t>
  </si>
  <si>
    <t>EVALUADOR DE CONSTANCIA DE POSESION I</t>
  </si>
  <si>
    <t>PANDURO ZAMBRANO ALDO FERNANDO</t>
  </si>
  <si>
    <t>PAREDES GARCIA ARISA SAYURI</t>
  </si>
  <si>
    <t>PAREDES GIL JOSE LUIS</t>
  </si>
  <si>
    <t>APOYO DE MANTENIMIENTO</t>
  </si>
  <si>
    <t>PEÑA LEUTERIO JHON GIL</t>
  </si>
  <si>
    <t>PROFESIONAL PARA LA SEDE AGRARIA TAHUANIA</t>
  </si>
  <si>
    <t>PEREA SANCHEZ CARLOS ALBERTO</t>
  </si>
  <si>
    <t>ASISTENTE ADMINISTRATIVO I</t>
  </si>
  <si>
    <t>PEREZ AREVALO LEONOR</t>
  </si>
  <si>
    <t>DIGITADORA</t>
  </si>
  <si>
    <t>PEREZ GONZALES RITA ANGELICA</t>
  </si>
  <si>
    <t>PEREZ TIPTO MILAGROS</t>
  </si>
  <si>
    <t>JEFE DE LA UNIDAD DE CONTABILIDAD</t>
  </si>
  <si>
    <t>PEREZ VASQUEZ MARCO ANTONIO</t>
  </si>
  <si>
    <t>PERSICO TUANAMA JORGE</t>
  </si>
  <si>
    <t>PERSONAL DE LIMPIEZA I</t>
  </si>
  <si>
    <t>PEZO LLERENA SARA</t>
  </si>
  <si>
    <t>EVALUADOR DE CONSTANCIA DE POSESION III</t>
  </si>
  <si>
    <t>PIZANGO ISUIZA PILAR</t>
  </si>
  <si>
    <t>ASISTENTE TECNICO EN DISAFILPA</t>
  </si>
  <si>
    <t>PRADA PAREDES EXIM SLETZA</t>
  </si>
  <si>
    <t>PROMOTOR CAD. PROD. ARROZ Y MENESTRAS</t>
  </si>
  <si>
    <t>PRETEL ARGANDOÑA NICK EDIN</t>
  </si>
  <si>
    <t>PERSONAL DE MANTENIMIENTO III</t>
  </si>
  <si>
    <t>RAMIREZ BARBARAN MILTON</t>
  </si>
  <si>
    <t>RAMIREZ MELENDEZ FAREN LICETH</t>
  </si>
  <si>
    <t>RAMOS AYLLON LUCY ERLITA</t>
  </si>
  <si>
    <t>REATEGUI CAUPER NERIO</t>
  </si>
  <si>
    <t>OPERADOR GIS</t>
  </si>
  <si>
    <t>REATEGUI MAYNAS VICTOR</t>
  </si>
  <si>
    <t>PERSONAL DE MANTENIMIENTO</t>
  </si>
  <si>
    <t>REATEGUI PAREDES ROMEL</t>
  </si>
  <si>
    <t>RENGIFO DAHUA KARIN JUNET</t>
  </si>
  <si>
    <t>RENGIFO RENGIFO RAMON</t>
  </si>
  <si>
    <t>SECRETARIA DIR. PROM Y COMP. AGRARIA</t>
  </si>
  <si>
    <t>RENGIFO SHUÑA ASTRID</t>
  </si>
  <si>
    <t>RENGIFO VASQUEZ CARLOS ANTONIO</t>
  </si>
  <si>
    <t>APOYO ADMINISTRATIVO I</t>
  </si>
  <si>
    <t>REYES LOPEZ DE BELLIDO GULYANA CECILIA</t>
  </si>
  <si>
    <t>PROM. CAD. PROD. DE CULT. ECOLOGICOS</t>
  </si>
  <si>
    <t>REYES RIOS CESAR LUIS</t>
  </si>
  <si>
    <t>JEFE DE SEDE CURIMANA</t>
  </si>
  <si>
    <t>RIOS BRUNNER POLICARPO</t>
  </si>
  <si>
    <t>TECNICO DE SUPERVISION DE FORMALIZACION, TITULACION Y CATASTRO</t>
  </si>
  <si>
    <t>RIOS TORRES MARCO ANTONIO</t>
  </si>
  <si>
    <t>ROJAS GOMEZ MARIA ELENA</t>
  </si>
  <si>
    <t>ROJAS RODRIGUEZ DE MORENO KARINA ELIZABETH</t>
  </si>
  <si>
    <t>DIBUJANTE CAD</t>
  </si>
  <si>
    <t>ROJAS RODRIGUEZ JORGE LUIS</t>
  </si>
  <si>
    <t>ASISTENTE LEGAL III</t>
  </si>
  <si>
    <t>ROJAS RODRIGUEZ ROSA MARIA</t>
  </si>
  <si>
    <t>ROJAS RUIZ ROBERT JENNER</t>
  </si>
  <si>
    <t>ROMERO AREVALO DANIEL</t>
  </si>
  <si>
    <t>JEFE DE SEDE CAMPO VERDE</t>
  </si>
  <si>
    <t>ROMERO PORTAL WELDY</t>
  </si>
  <si>
    <t>CHOFER DRSAU</t>
  </si>
  <si>
    <t>RUIZ CHOTA LEON</t>
  </si>
  <si>
    <t>VERIFICADOR COMUN</t>
  </si>
  <si>
    <t>RUIZ DUARTE ANITA ISABEL</t>
  </si>
  <si>
    <t>PROM. CAD. PROD.PLAT,CAFÉ Y PIÑA</t>
  </si>
  <si>
    <t>RUIZ MORENO RONALD</t>
  </si>
  <si>
    <t>JEFE DE SEDE YARINACOCHA</t>
  </si>
  <si>
    <t>RUIZ PRIETO LISSETTE LUISA</t>
  </si>
  <si>
    <t>OPERADOR DE CAMPO</t>
  </si>
  <si>
    <t>RUIZ RENGIFO ELMER KAME</t>
  </si>
  <si>
    <t>EVALUADORA DE CONST POS. Y USUF. T</t>
  </si>
  <si>
    <t>SABOYA TAFUR ATILIO</t>
  </si>
  <si>
    <t>PERSONAL DE LIMPIEZA III</t>
  </si>
  <si>
    <t>SALAS BARTRA ROSITA NORKA</t>
  </si>
  <si>
    <t>DIRECTOR DE PROGRAMA SECTORIAL V</t>
  </si>
  <si>
    <t>SALAS PEREZ BELLA NAIR</t>
  </si>
  <si>
    <t>SAMBRANO ESPINOZA JHONATAN RICHARD</t>
  </si>
  <si>
    <t>SANCHEZ MENDOZA CARIN ASTRID</t>
  </si>
  <si>
    <t>ASESORIA EN GESTION DE AGROINDUSTRIA</t>
  </si>
  <si>
    <t>SANDOVAL CHACON LUIS</t>
  </si>
  <si>
    <t>SHUÑA FABABA ANDERSON</t>
  </si>
  <si>
    <t>SILVA TUANAMA ALICIA THALIA</t>
  </si>
  <si>
    <t>SUAREZ ANGULO JORGE GENRRY</t>
  </si>
  <si>
    <t>SECRETARIA PADRE ABAD</t>
  </si>
  <si>
    <t>TANANTA VILLEGAS PATRICIA MARGOTH</t>
  </si>
  <si>
    <t>TANCHIVA CAIÑA KOYANA MARLY</t>
  </si>
  <si>
    <t>SECRETARIA AREA COMUNIDADES NATIVAS</t>
  </si>
  <si>
    <t>TELLO BURGA MONICA DEL PILAR</t>
  </si>
  <si>
    <t>TELLO LOZANO LIMBER</t>
  </si>
  <si>
    <t>JEFE DE LA SEDE AGRARIA IPARIA</t>
  </si>
  <si>
    <t>TORRES LIMA SPENCER</t>
  </si>
  <si>
    <t>TRUJILLO VELA FLOR EUGENIA</t>
  </si>
  <si>
    <t>SERVICIO DE TRAMITE ADMINISTRATIVO - OSAPA</t>
  </si>
  <si>
    <t>URRIBARRI PUSCAN LUISA ELIZABETH</t>
  </si>
  <si>
    <t>VALERIO JARA CESAR</t>
  </si>
  <si>
    <t>RESPONSABLE DE EVAL. Y CONST POSEC.</t>
  </si>
  <si>
    <t>VARGAS CASTRO BRASILIA SOLANGE</t>
  </si>
  <si>
    <t>PROFESIONAL PARA LA SEDE AGRARIA SEPAHUA</t>
  </si>
  <si>
    <t>VASQUEZ ZEGARRA HARRY EDDIE</t>
  </si>
  <si>
    <t>SECRETARIA ADMINISTRACION</t>
  </si>
  <si>
    <t>VASQUEZ DIAZ RUTH MAGALI</t>
  </si>
  <si>
    <t>VEINTEMILLA HUANIO ELVIS</t>
  </si>
  <si>
    <t>PROFESIONAL PARA LA SEDE AGRARIA RAYMONDI</t>
  </si>
  <si>
    <t>VERA PEZO JUAN CARLOS</t>
  </si>
  <si>
    <t>ENCARG. AREA DE REMUNERACIONES</t>
  </si>
  <si>
    <t>VERA VILLANUEVA JUAN RICHARD</t>
  </si>
  <si>
    <t>PROM. CAD. PROD.CAC.,CAFÉ Y LACT.</t>
  </si>
  <si>
    <t>VILLACREZ NUBE ERICK MANUEL</t>
  </si>
  <si>
    <t>VILLALTA MASIAS MARIBEL MAGALY</t>
  </si>
  <si>
    <t>LOCACION</t>
  </si>
  <si>
    <t>LOYAGA ARCE ELMER ANDERSON</t>
  </si>
  <si>
    <t>TEC. ADMINISTRATIVO</t>
  </si>
  <si>
    <t>TECNICO SUPERIOR</t>
  </si>
  <si>
    <t>SOPORTE Y ASISTENTE AFIRMATIVO</t>
  </si>
  <si>
    <t>BARDALES BARATA AUGUSTO</t>
  </si>
  <si>
    <t>LIC. ADMINISTRACION</t>
  </si>
  <si>
    <t xml:space="preserve">TITULO  </t>
  </si>
  <si>
    <t>ASISTENTE EN CONTABILIDAD</t>
  </si>
  <si>
    <t>EXALTACION CAJAS ALDAIR</t>
  </si>
  <si>
    <t>BACH. EN CONTABILIDAD</t>
  </si>
  <si>
    <t>COORDINADORA DE REDACCION</t>
  </si>
  <si>
    <t>DAVILA RUIZ BERITA</t>
  </si>
  <si>
    <t>LIC. COMUNICACIÓN</t>
  </si>
  <si>
    <t xml:space="preserve"> PAREDES AREVALO ALVARO OMAR</t>
  </si>
  <si>
    <t>APOYO DE ARCHIVO</t>
  </si>
  <si>
    <t>DIAZ ACOSTA AMERICO ZAUL</t>
  </si>
  <si>
    <t>MANTENIMIENTO</t>
  </si>
  <si>
    <t>VENTURA AMASIFUEN ERICK LAUREANO</t>
  </si>
  <si>
    <t>ABOGADA DE CAMPO</t>
  </si>
  <si>
    <t>DEL AGUILA MACEDO XIMENA KATIUSCA</t>
  </si>
  <si>
    <t>TERAN FIGUEROA</t>
  </si>
  <si>
    <t>ING. AGRONOMO</t>
  </si>
  <si>
    <t>PAIMA AMASIFUEN LINDER MIGUEL</t>
  </si>
  <si>
    <t>TUTULO</t>
  </si>
  <si>
    <t>EVALUADOR AGROLOGICO</t>
  </si>
  <si>
    <t>TORRES LA TORRE JOSE AMERICO</t>
  </si>
  <si>
    <t>DIBUJANTE CAT</t>
  </si>
  <si>
    <t xml:space="preserve">HUBECK MENDOZA JERSON JOHAN </t>
  </si>
  <si>
    <t>BACH. AMBIENTAL</t>
  </si>
  <si>
    <t>TEC. DE CAMPO</t>
  </si>
  <si>
    <t>MORENO RUIZ GILBERT ENRIQUE</t>
  </si>
  <si>
    <t>ING. FORESTAL</t>
  </si>
  <si>
    <t>ARTICULADOR COMERCIAL</t>
  </si>
  <si>
    <t>00118158</t>
  </si>
  <si>
    <t>PASQUEL QUEVEDO LUIS</t>
  </si>
  <si>
    <t xml:space="preserve">EVALUADOR  </t>
  </si>
  <si>
    <t>OCHOA CELIS JOSE LUIS</t>
  </si>
  <si>
    <t>TAPULLIMA MEZA KETTY MARGOT</t>
  </si>
  <si>
    <t>BACH. DERECHO</t>
  </si>
  <si>
    <t>SHUPINGAHUA MALLQUI GABRIEL MAO</t>
  </si>
  <si>
    <t>TEC. DE CAMPO EN VIVERO</t>
  </si>
  <si>
    <t>00007365</t>
  </si>
  <si>
    <t>SARMIENTO ESCAJAMILLO ITALO</t>
  </si>
  <si>
    <t>TEC. AGROPECUARIO</t>
  </si>
  <si>
    <t>LLERENA MOZOMBITE ALEX</t>
  </si>
  <si>
    <t>00043121</t>
  </si>
  <si>
    <t>PERALTA TUANAMA JUANA GUMERCINDA</t>
  </si>
  <si>
    <t>SANGAMA BARDALES EDSON RENE</t>
  </si>
  <si>
    <t>BACH. AGRONOMIA</t>
  </si>
  <si>
    <t>ASISTENTE DE EXTENSIONISTA</t>
  </si>
  <si>
    <t>GONZALES TANANTA BLANCA DALILA</t>
  </si>
  <si>
    <t>TEC. AGOPECUARIO</t>
  </si>
  <si>
    <t xml:space="preserve">PAREDES CHISTAMA ELVIN </t>
  </si>
  <si>
    <t>APOYO LEGAL</t>
  </si>
  <si>
    <t>MERLO PANDURO KAREN MECHITA</t>
  </si>
  <si>
    <t>ESTUDIANTE DE DERECHO</t>
  </si>
  <si>
    <t>ZOLOHAGA NUÑEZ XAVIER</t>
  </si>
  <si>
    <t>JEFE DE SEDE-YURUA</t>
  </si>
  <si>
    <t>PEREZ QUIÑONES STANY</t>
  </si>
  <si>
    <t>BACH. AGROFORESTAL</t>
  </si>
  <si>
    <t>00019255</t>
  </si>
  <si>
    <t>DIAZ RAMIREZ ARTURO</t>
  </si>
  <si>
    <t>00099112</t>
  </si>
  <si>
    <t>IRARICA AHUANARI DARWIN</t>
  </si>
  <si>
    <t>NOLORBE PEREZ HUGO VICTOR</t>
  </si>
  <si>
    <t>TARICUARIMA SHAHUANO RODMER ARMANDO</t>
  </si>
  <si>
    <t>00120769</t>
  </si>
  <si>
    <t>TENAZOA RIOS SAMUEL</t>
  </si>
  <si>
    <t>NORIEGA RENGIFO IRVING</t>
  </si>
  <si>
    <t>TEC. MECANICO</t>
  </si>
  <si>
    <t>NARVASTA RODRIGUEZ KARENSTEFANY</t>
  </si>
  <si>
    <t>MURRIETA DIAZ RAU</t>
  </si>
  <si>
    <t>AGUILAR PORRAS MICHELLE</t>
  </si>
  <si>
    <t xml:space="preserve">ESTUDIANTE  </t>
  </si>
  <si>
    <t>UNIV. INCOMPLETA</t>
  </si>
  <si>
    <t>NINATANTA GONZALES CESAR JOAO</t>
  </si>
  <si>
    <t>EGRESADO</t>
  </si>
  <si>
    <t>UNIV. EGRESADO</t>
  </si>
  <si>
    <t>BARDALES BARATA AUGUSTO ELIAS</t>
  </si>
  <si>
    <t>SALAS VASQUEZ LUIS ENRIQUE</t>
  </si>
  <si>
    <t>CELI PEZO GUSTAVO ALFONSO</t>
  </si>
  <si>
    <t>CACHAY VELA LUIS ANTONIO</t>
  </si>
  <si>
    <t>PRETEL ARGADOÑA NICK EDIN</t>
  </si>
  <si>
    <t>ING. AGROINDUSTRIAL</t>
  </si>
  <si>
    <t>GONZALES SALDAÑA JERSON</t>
  </si>
  <si>
    <t>BACH. ING. AGRONOMO</t>
  </si>
  <si>
    <t>APOYO EN ALMACEN</t>
  </si>
  <si>
    <t>WONG ACHO,LIZ KAROL</t>
  </si>
  <si>
    <t>SOPORTE ADMINISTRATIVO</t>
  </si>
  <si>
    <t>MACAHUACHI VARGAS RAYZA</t>
  </si>
  <si>
    <t>EGRESADA ADMINISTRACION</t>
  </si>
  <si>
    <t>EGRESADA</t>
  </si>
  <si>
    <t>ESPECIALISTA EN GESTION DE PROYECTOS</t>
  </si>
  <si>
    <t>BASILIO INGUNZA CESAR GUSTAVO</t>
  </si>
  <si>
    <t>RENGIFO PINEDO JHON KEWIN</t>
  </si>
  <si>
    <t>RIOS IZQUIERDO JOHAN TEDDY</t>
  </si>
  <si>
    <t>APOYO EN MANTENIMIENTO</t>
  </si>
  <si>
    <t>LOPEZ LIZAMETA DIEGO FERNANDO</t>
  </si>
  <si>
    <t>TEC. INCOMPLETO</t>
  </si>
  <si>
    <t>AREA DE PROCEDIMIENTOS Y TUPA</t>
  </si>
  <si>
    <t>00070088</t>
  </si>
  <si>
    <t>ARRIAGA ACOSTA EBER GERARDO</t>
  </si>
  <si>
    <t>BARDALES GONZALES KRIZZY JIMENA</t>
  </si>
  <si>
    <t>ABOGADO DE CAMPO CC NN</t>
  </si>
  <si>
    <t>LOPEZ ORELLANA MIGUEL OSCAR</t>
  </si>
  <si>
    <t>TEC. DE CAMPO CC.NN</t>
  </si>
  <si>
    <t>CABRERA PICON ELVIS</t>
  </si>
  <si>
    <t>APOYO DE CARTOGRAFIA Y CATASTRO</t>
  </si>
  <si>
    <t>MORENO LOPEZ GILBERT ENRIQUE</t>
  </si>
  <si>
    <t>UNIDAD DE SANEAMIENTO FISICO</t>
  </si>
  <si>
    <t>00092712</t>
  </si>
  <si>
    <t>RENGIFO SALDAÑA LUIS ALBERTO</t>
  </si>
  <si>
    <t xml:space="preserve">ABOGADO DE CAMPO  </t>
  </si>
  <si>
    <t>RUIZ CARDENAS ERNESTO</t>
  </si>
  <si>
    <t>SINTI AREVALO SINDY PATRICIA</t>
  </si>
  <si>
    <t>ASISTENTE DIFUSION,SUPERVISION Y CONTROL DE CALIDAD</t>
  </si>
  <si>
    <t>VASQUEZ SAMPAYO CARLOS SIXTO</t>
  </si>
  <si>
    <t>PANDURO ESCOBEDO KAREEN EVELYNG</t>
  </si>
  <si>
    <t>LIMA GONZALES KASSANDRA GIANINA</t>
  </si>
  <si>
    <t>ESTUDIANTE ADMINISTRATIVO</t>
  </si>
  <si>
    <t>BARDALES MIRAVAN EDWIN</t>
  </si>
  <si>
    <t>TEC. MECANICO AUTOMOTOR</t>
  </si>
  <si>
    <t>OPERADOR TRACTOR</t>
  </si>
  <si>
    <t>RUIZ ALONZO MAX FREDDY</t>
  </si>
  <si>
    <t>SEC. COMPLETA</t>
  </si>
  <si>
    <t>SHUÑA PIZANGO IGNER</t>
  </si>
  <si>
    <t xml:space="preserve">COORDINADOR </t>
  </si>
  <si>
    <t>APOYO TECNICO</t>
  </si>
  <si>
    <t>MIRANDA REATEGUI BRYAN GUILLERMO</t>
  </si>
  <si>
    <t>PRODUCTOR</t>
  </si>
  <si>
    <t>GUERRA MACEDO HORLAN GILBERT</t>
  </si>
  <si>
    <t>PEREZ CONTRERAS MIRTHA MILUSKY</t>
  </si>
  <si>
    <t>APOYO DE ALMACEN</t>
  </si>
  <si>
    <t>VELA ACUÑA LUCY</t>
  </si>
  <si>
    <t>PIÑA MINAYA GONZALO</t>
  </si>
  <si>
    <t>BACH. ADMINISTRATIVO</t>
  </si>
  <si>
    <t>SALDAÑA CASTRO CARMEN DEL PILAR</t>
  </si>
  <si>
    <t>EGRSADA CONTABILIDAD</t>
  </si>
  <si>
    <t>00083395</t>
  </si>
  <si>
    <t>GARCIA SALDAÑA JUANA CASILDA</t>
  </si>
  <si>
    <t>INF. FORESTAL</t>
  </si>
  <si>
    <t>ABOGADO CP-UT</t>
  </si>
  <si>
    <t>CACHAY PERALTA JOSE LUIS</t>
  </si>
  <si>
    <t>BARBA ESPINOZA DIANA ROSA</t>
  </si>
  <si>
    <t>EVALUADOR CP-UT</t>
  </si>
  <si>
    <t>RUIZ REATEGUI JANELY</t>
  </si>
  <si>
    <t>BACH. AGROPECUARIO</t>
  </si>
  <si>
    <t xml:space="preserve">ABOGADA  </t>
  </si>
  <si>
    <t xml:space="preserve">BACH. DE </t>
  </si>
  <si>
    <t>TEC. DE CAMPO-SEDE CALLERIA</t>
  </si>
  <si>
    <t>GARCIA PEZO LILA FIORELLA</t>
  </si>
  <si>
    <t>TEC. DE CAMPO-SEDE YARINACOCHA</t>
  </si>
  <si>
    <t>APAGUEÑO PISCO LENNIN</t>
  </si>
  <si>
    <t>CAPACITADOR</t>
  </si>
  <si>
    <t>LOZANO VASQUEZ DAVID</t>
  </si>
  <si>
    <t>ING. AGRONOMO INDUSTRIAL</t>
  </si>
  <si>
    <t>TEC. CAMPO</t>
  </si>
  <si>
    <t>RENGIFO RIVADENEYRA GABY ROSA</t>
  </si>
  <si>
    <t>DIRECCION DE SALUD DE UCAYALI</t>
  </si>
  <si>
    <t>0950 - 400 - SALUD</t>
  </si>
  <si>
    <t>CAS - RO</t>
  </si>
  <si>
    <t>21141935</t>
  </si>
  <si>
    <t>ACOSTA CANAYO MARCELINA</t>
  </si>
  <si>
    <t>ASISTENTE TECNICO</t>
  </si>
  <si>
    <t>ASISTENCIAL</t>
  </si>
  <si>
    <t>44454588</t>
  </si>
  <si>
    <t>ALAYO VARGAS DE BANDA ANALI LORENA</t>
  </si>
  <si>
    <t>TECNICO EN ENFERMERIA</t>
  </si>
  <si>
    <t>45213760</t>
  </si>
  <si>
    <t>ALEMAN GONZALES SANDRA JULIANA</t>
  </si>
  <si>
    <t>46527191</t>
  </si>
  <si>
    <t>ALVA GONZALEZ NEIL EMIR</t>
  </si>
  <si>
    <t>42575312</t>
  </si>
  <si>
    <t>ALVARADO DAZA ERICK ANDERSON</t>
  </si>
  <si>
    <t>45004971</t>
  </si>
  <si>
    <t>ALVAREZ TUESTA EDGAR JESUS</t>
  </si>
  <si>
    <t>45626995</t>
  </si>
  <si>
    <t>ALVIS VELA JOSE LUIS</t>
  </si>
  <si>
    <t>46582056</t>
  </si>
  <si>
    <t>AMARINGO SAENZ NOEMY</t>
  </si>
  <si>
    <t>80397941</t>
  </si>
  <si>
    <t>AMASIFUEN SHUPINGAHUA DEUCID</t>
  </si>
  <si>
    <t>TRABAJADOR DE SERVICIO</t>
  </si>
  <si>
    <t>71055541</t>
  </si>
  <si>
    <t>AMPUERO GRANDEZ MARIVIT</t>
  </si>
  <si>
    <t>46408264</t>
  </si>
  <si>
    <t>ARANCIAL GUZMAN ROSARIO</t>
  </si>
  <si>
    <t>PSICOLOGO(A)</t>
  </si>
  <si>
    <t>00094015</t>
  </si>
  <si>
    <t>ARCE MEZA JORGE LUIS</t>
  </si>
  <si>
    <t>05850689</t>
  </si>
  <si>
    <t>AREVALO ANDRADE JAITO</t>
  </si>
  <si>
    <t>AUXILIAR EN MANTENIMIENTO</t>
  </si>
  <si>
    <t>71347123</t>
  </si>
  <si>
    <t>AREVALO RENGIFO CLAUDIA CECILIA</t>
  </si>
  <si>
    <t>48603083</t>
  </si>
  <si>
    <t>ARTICA RENTERA JAZMIN LUCIA</t>
  </si>
  <si>
    <t>40508360</t>
  </si>
  <si>
    <t>ARUSTICA GUERRA HIDA</t>
  </si>
  <si>
    <t>48524676</t>
  </si>
  <si>
    <t>ASTOCONDOR ALTAMIRANO JHONNY VIDAL</t>
  </si>
  <si>
    <t>MEDICO</t>
  </si>
  <si>
    <t>43568344</t>
  </si>
  <si>
    <t>BAIOCCHI PRETELL MARIA PIA DE LUREN</t>
  </si>
  <si>
    <t>21144637</t>
  </si>
  <si>
    <t>BALAREZO DE GONZALEZ OLGA LUCIA</t>
  </si>
  <si>
    <t>00059132</t>
  </si>
  <si>
    <t>BARDALES BARDALES ELIZABETH</t>
  </si>
  <si>
    <t>DIGITADOR(A)</t>
  </si>
  <si>
    <t>40950096</t>
  </si>
  <si>
    <t>BARDALES CALISAYA ZULY PAOLA</t>
  </si>
  <si>
    <t>43396153</t>
  </si>
  <si>
    <t>BARRERA LARREA DE MALCA MIRTHA ELENA</t>
  </si>
  <si>
    <t>47230011</t>
  </si>
  <si>
    <t>BARRETO CHAVEZ SAMARI LAYSA</t>
  </si>
  <si>
    <t>41011627</t>
  </si>
  <si>
    <t>BERTA RIOS ANDRES</t>
  </si>
  <si>
    <t>43687259</t>
  </si>
  <si>
    <t>BOBADILLA RIOS SOFIA DEL CARMEN</t>
  </si>
  <si>
    <t>AUXILIAR DE NUTRICION</t>
  </si>
  <si>
    <t>44044677</t>
  </si>
  <si>
    <t>CACHIQUE SABOYA KARLA MELLYSSA</t>
  </si>
  <si>
    <t>46249572</t>
  </si>
  <si>
    <t>CAIRUNA CRUZ DARWIN</t>
  </si>
  <si>
    <t>43029225</t>
  </si>
  <si>
    <t>CAMPOS SERRUCHE JHENY</t>
  </si>
  <si>
    <t>21143734</t>
  </si>
  <si>
    <t>CANCHARI TEJADA GABRIEL ALBERTO</t>
  </si>
  <si>
    <t>47441401</t>
  </si>
  <si>
    <t>CANTARO PASQUEL KATHERIN GUADALUPE</t>
  </si>
  <si>
    <t>OBSTETRA</t>
  </si>
  <si>
    <t>47024470</t>
  </si>
  <si>
    <t>CARDENAS CARRANZA CARLOS MARDEN</t>
  </si>
  <si>
    <t>TECNICO EN COMPUTACION E INFOR</t>
  </si>
  <si>
    <t>42693812</t>
  </si>
  <si>
    <t>CARDENAS GARCIA PATRICIA</t>
  </si>
  <si>
    <t>BIOLOGO(A)</t>
  </si>
  <si>
    <t>21142620</t>
  </si>
  <si>
    <t>CARRION PIZANGO ROBHIL ARISOL</t>
  </si>
  <si>
    <t>47079378</t>
  </si>
  <si>
    <t>CASAS CUMAPA LUCIA CARMELA</t>
  </si>
  <si>
    <t>08848286</t>
  </si>
  <si>
    <t>CASTAGNE PINEDO JUANA LUZ</t>
  </si>
  <si>
    <t>45204944</t>
  </si>
  <si>
    <t>CAUPER RUIZ PRISCILA ELISA</t>
  </si>
  <si>
    <t>27387295</t>
  </si>
  <si>
    <t>CHAVEZ INGA NELSO</t>
  </si>
  <si>
    <t>40269194</t>
  </si>
  <si>
    <t>CHAVEZ TENAZOA MOISES ARMANDO</t>
  </si>
  <si>
    <t>10112257</t>
  </si>
  <si>
    <t>CHUMPEN NAVARRO JOEL RICARDO</t>
  </si>
  <si>
    <t>75690796</t>
  </si>
  <si>
    <t>CIENFUEGOS JONES CAMILA FRANCISCA</t>
  </si>
  <si>
    <t>45919124</t>
  </si>
  <si>
    <t>COMECA PEREZ KAREN ESTEFANNY</t>
  </si>
  <si>
    <t>00118732</t>
  </si>
  <si>
    <t>CONDORPUSA DAVILA MANUEL DELFIN</t>
  </si>
  <si>
    <t>PILOTO DE AMBULANCIA</t>
  </si>
  <si>
    <t>21557480</t>
  </si>
  <si>
    <t>CUCHO FLORES CARLOS AMERICO</t>
  </si>
  <si>
    <t>44659182</t>
  </si>
  <si>
    <t>CULQUI SILVANO DORIS PILAR</t>
  </si>
  <si>
    <t>42742424</t>
  </si>
  <si>
    <t>DAVILA MARTINEZ KAREN JANNET</t>
  </si>
  <si>
    <t>42471692</t>
  </si>
  <si>
    <t>DAVILA PANDURO LINDER</t>
  </si>
  <si>
    <t>00093281</t>
  </si>
  <si>
    <t>DAVILA RAMIREZ JULIO</t>
  </si>
  <si>
    <t>47137414</t>
  </si>
  <si>
    <t>DAVILA RIOS NERY JOANA</t>
  </si>
  <si>
    <t>43002279</t>
  </si>
  <si>
    <t>DEL AGUILA DAVILA JEOANE FIORELLA</t>
  </si>
  <si>
    <t>23164941</t>
  </si>
  <si>
    <t>DELGADO ESPIRITU ELSA</t>
  </si>
  <si>
    <t>00109075</t>
  </si>
  <si>
    <t>DIAZ RUIZ HUGO CESAR</t>
  </si>
  <si>
    <t>TECNICO EN SEGURIDAD</t>
  </si>
  <si>
    <t>45707991</t>
  </si>
  <si>
    <t>DIAZ SAAVEDRA CINDY ANGELICA</t>
  </si>
  <si>
    <t>42625326</t>
  </si>
  <si>
    <t>DREYFUS CHUJUTALLI GERALD STEVE</t>
  </si>
  <si>
    <t>45396697</t>
  </si>
  <si>
    <t>EGOAVIL TORREJON CRISS JHOANA</t>
  </si>
  <si>
    <t>40487266</t>
  </si>
  <si>
    <t>ESTRELLA PEZO RONNY JACK</t>
  </si>
  <si>
    <t>48098520</t>
  </si>
  <si>
    <t>FALCON HUANSI YADIRA</t>
  </si>
  <si>
    <t>00114220</t>
  </si>
  <si>
    <t>FERNANDEZ LOZANO ROCIO</t>
  </si>
  <si>
    <t>46491840</t>
  </si>
  <si>
    <t>FERNANDEZ MIRANDA LUZ FIORELLA</t>
  </si>
  <si>
    <t>43130995</t>
  </si>
  <si>
    <t>FLORES FERNANDEZ FREDDY</t>
  </si>
  <si>
    <t>40935046</t>
  </si>
  <si>
    <t>FLORES GARAY FREDY JUSTINO</t>
  </si>
  <si>
    <t>40914448</t>
  </si>
  <si>
    <t>FLORES MACEDO MARIELA</t>
  </si>
  <si>
    <t>41402598</t>
  </si>
  <si>
    <t>FLORES SANCHEZ EDEVALDO</t>
  </si>
  <si>
    <t>21148334</t>
  </si>
  <si>
    <t>FONSECA LAGUNA JORGE ANTONIO</t>
  </si>
  <si>
    <t>41792183</t>
  </si>
  <si>
    <t>GARAY PINCHI LLANINA DEL PILAR</t>
  </si>
  <si>
    <t>00111690</t>
  </si>
  <si>
    <t>GARCIA DEL AGUILA ORLANDO</t>
  </si>
  <si>
    <t>46084993</t>
  </si>
  <si>
    <t>GARCIA LOPEZ JEYSON</t>
  </si>
  <si>
    <t>47861492</t>
  </si>
  <si>
    <t>GARCIA PINTADO LARY MAY</t>
  </si>
  <si>
    <t>00094934</t>
  </si>
  <si>
    <t>GARCIA SAAVEDRA NORITH</t>
  </si>
  <si>
    <t>07765940</t>
  </si>
  <si>
    <t>GIU VALLES VICTOR ALEJANDRO</t>
  </si>
  <si>
    <t>43810534</t>
  </si>
  <si>
    <t>GONZALES FLORES OLGA LIDIA</t>
  </si>
  <si>
    <t>42900850</t>
  </si>
  <si>
    <t>GONZALES ROJAS SHIRLEY</t>
  </si>
  <si>
    <t>05222041</t>
  </si>
  <si>
    <t>GONZALES UCEDA WILSON</t>
  </si>
  <si>
    <t>45115169</t>
  </si>
  <si>
    <t>GONZALEZ BARDALES LIDNER ALONZO</t>
  </si>
  <si>
    <t>43575402</t>
  </si>
  <si>
    <t>GOZAR VELA JACKELINE LEILA</t>
  </si>
  <si>
    <t>00090209</t>
  </si>
  <si>
    <t>GRANDES ARCE LADY</t>
  </si>
  <si>
    <t>00112508</t>
  </si>
  <si>
    <t>GRANDEZ FALCON JULIANA</t>
  </si>
  <si>
    <t>45982683</t>
  </si>
  <si>
    <t>GUIMARAES PEREZ LUIS XAVIER</t>
  </si>
  <si>
    <t>INGENIERO AMBIENTAL</t>
  </si>
  <si>
    <t>45855117</t>
  </si>
  <si>
    <t>HASSINGER JAIMES JURG FRIEDRICH</t>
  </si>
  <si>
    <t>42382530</t>
  </si>
  <si>
    <t>HUANIO TORRES CARLOS HILDEBRANDO</t>
  </si>
  <si>
    <t>TECNICO EN TRANSPORTE</t>
  </si>
  <si>
    <t>40369338</t>
  </si>
  <si>
    <t>IBERICO RENGIFO ALBERTO</t>
  </si>
  <si>
    <t>44072558</t>
  </si>
  <si>
    <t>ISUIZA ORBE MILI MILAGROS</t>
  </si>
  <si>
    <t>41766617</t>
  </si>
  <si>
    <t>JARA LOJA MONICA</t>
  </si>
  <si>
    <t>45836874</t>
  </si>
  <si>
    <t>JARA RUIZ CARLOS ENRIQUE MARINO</t>
  </si>
  <si>
    <t>ODONTOLOGO(A)</t>
  </si>
  <si>
    <t>47857596</t>
  </si>
  <si>
    <t>LA RIVA RUBIO CATERINE ESTHER</t>
  </si>
  <si>
    <t>42078339</t>
  </si>
  <si>
    <t>LAURA CABALLERO GASTON</t>
  </si>
  <si>
    <t>42203052</t>
  </si>
  <si>
    <t>LETONA RODRIGUEZ IRMA</t>
  </si>
  <si>
    <t>41921598</t>
  </si>
  <si>
    <t>LIMA YARMA YARLIM INGRID</t>
  </si>
  <si>
    <t>07643265</t>
  </si>
  <si>
    <t>LINARES ARECHAGA ERIKA VANESSA</t>
  </si>
  <si>
    <t>00105484</t>
  </si>
  <si>
    <t>LINARES MIRES JACKSON</t>
  </si>
  <si>
    <t>42977273</t>
  </si>
  <si>
    <t>LLANOS RAMIREZ ENARIO</t>
  </si>
  <si>
    <t>00129541</t>
  </si>
  <si>
    <t>LOPEZ ALCANTARA LERVIS ORLANDO</t>
  </si>
  <si>
    <t>43900182</t>
  </si>
  <si>
    <t>LOPEZ PIÑA ANDRES RAFAEL</t>
  </si>
  <si>
    <t>44867112</t>
  </si>
  <si>
    <t>LOPEZ PORTUGAL ALAN GABRIEL</t>
  </si>
  <si>
    <t>46263975</t>
  </si>
  <si>
    <t>LOZANO PEREZ CARLOS ANDRES</t>
  </si>
  <si>
    <t>ASISTENTA SOCIAL</t>
  </si>
  <si>
    <t>71325539</t>
  </si>
  <si>
    <t>LOZANO PEREZ JOSE JULIO</t>
  </si>
  <si>
    <t>46449154</t>
  </si>
  <si>
    <t>LULO VITANCIO ARELY ESTEFANI</t>
  </si>
  <si>
    <t>72431265</t>
  </si>
  <si>
    <t>MACEDO CERRON KAREN YURIKO</t>
  </si>
  <si>
    <t>40584892</t>
  </si>
  <si>
    <t>MACEDO CORAL ANA MARIA</t>
  </si>
  <si>
    <t>73468688</t>
  </si>
  <si>
    <t>MALUQUIS FLORES DIEGO JUNIOR</t>
  </si>
  <si>
    <t>48120715</t>
  </si>
  <si>
    <t>MANIHUARI HUARMIYURI LINA</t>
  </si>
  <si>
    <t>43019883</t>
  </si>
  <si>
    <t>MARIN FLORES ARMANDO</t>
  </si>
  <si>
    <t>42463356</t>
  </si>
  <si>
    <t>MARTINEZ HUAYTA LISSETH BRAGLIER</t>
  </si>
  <si>
    <t>40184415</t>
  </si>
  <si>
    <t>MARZANO KROLL MERIDA</t>
  </si>
  <si>
    <t>71939297</t>
  </si>
  <si>
    <t>MAYHUIRE FERNANDEZ ROCIO DEL PILAR</t>
  </si>
  <si>
    <t>45720009</t>
  </si>
  <si>
    <t>MAYLLE AMBROSIO KENNY RICHARD</t>
  </si>
  <si>
    <t>00114690</t>
  </si>
  <si>
    <t>MAYNAS INUMA NELLY</t>
  </si>
  <si>
    <t>71432573</t>
  </si>
  <si>
    <t>MEGO FUENTES ELVIS JOSE</t>
  </si>
  <si>
    <t>44670298</t>
  </si>
  <si>
    <t>MELENDEZ RIBEIRO DUJOP ZENON</t>
  </si>
  <si>
    <t>71920778</t>
  </si>
  <si>
    <t>MELENDEZ VARGAS GHINO MITCHEL</t>
  </si>
  <si>
    <t>00016220</t>
  </si>
  <si>
    <t>MELENDEZ VASQUEZ ROGER</t>
  </si>
  <si>
    <t>74147222</t>
  </si>
  <si>
    <t>MENDOZA ESTEBAN GABY DEL PILAR</t>
  </si>
  <si>
    <t>21141286</t>
  </si>
  <si>
    <t>MENDOZA LOPEZ GINO RUBEN</t>
  </si>
  <si>
    <t>41901743</t>
  </si>
  <si>
    <t>MENESES MATOS TERESA GISSELLA</t>
  </si>
  <si>
    <t>43207348</t>
  </si>
  <si>
    <t>MERCADO ZEVALLOS JHON ANTHONY</t>
  </si>
  <si>
    <t>46995761</t>
  </si>
  <si>
    <t>MISSLY ORTIZ LESSLIE</t>
  </si>
  <si>
    <t>00109597</t>
  </si>
  <si>
    <t>MONTALVAN FERNANDEZ SARA ISABEL</t>
  </si>
  <si>
    <t>75802247</t>
  </si>
  <si>
    <t>MORENO HUAMAN KATERINNE LUZ</t>
  </si>
  <si>
    <t>00085518</t>
  </si>
  <si>
    <t>MORENO OCMIN ELOISA</t>
  </si>
  <si>
    <t>00111567</t>
  </si>
  <si>
    <t>MOREYRA DARIVA FELIX PABLO</t>
  </si>
  <si>
    <t>00153487</t>
  </si>
  <si>
    <t>NAIVE VALERA ISMAEL</t>
  </si>
  <si>
    <t>44810958</t>
  </si>
  <si>
    <t>NICOLAS YAULI HERMINIA</t>
  </si>
  <si>
    <t>45925847</t>
  </si>
  <si>
    <t>OCHOA SHUPINGAHUA WENDY JANE</t>
  </si>
  <si>
    <t>46075826</t>
  </si>
  <si>
    <t>OCOLA ALARCON CLAUDIA LEYLA</t>
  </si>
  <si>
    <t>00097147</t>
  </si>
  <si>
    <t>OROCHE LIMA ZE CARLOS</t>
  </si>
  <si>
    <t>21148320</t>
  </si>
  <si>
    <t>OROZANO AQUINO MARTHA MARIA</t>
  </si>
  <si>
    <t>45673536</t>
  </si>
  <si>
    <t>ORTIZ CHUQUIPIONDO PRISCILA</t>
  </si>
  <si>
    <t>46762238</t>
  </si>
  <si>
    <t>PACHECO HERNANDEZ PAOLA</t>
  </si>
  <si>
    <t>45908466</t>
  </si>
  <si>
    <t>PADILLA QUIO OSCAR AMERICO</t>
  </si>
  <si>
    <t>44042545</t>
  </si>
  <si>
    <t>PALACIOS IGLESIAS DIANA CAROLINA</t>
  </si>
  <si>
    <t>46145714</t>
  </si>
  <si>
    <t>PAZ TENAZOA KAREN LILIA</t>
  </si>
  <si>
    <t>70538137</t>
  </si>
  <si>
    <t>PEÑA ODICIO JAIR GINO</t>
  </si>
  <si>
    <t>21142112</t>
  </si>
  <si>
    <t>PEREA VASQUEZ DEISY</t>
  </si>
  <si>
    <t>72483133</t>
  </si>
  <si>
    <t>PEREDA PICHILINGUE MIGUEL ANGEL</t>
  </si>
  <si>
    <t>47910719</t>
  </si>
  <si>
    <t>PEREZ ALEGRIA JARLY MILAGROS</t>
  </si>
  <si>
    <t>47679532</t>
  </si>
  <si>
    <t>PEREZ AMASIFUEN CIELITA</t>
  </si>
  <si>
    <t>46315784</t>
  </si>
  <si>
    <t>PEREZ RIOS KAREN LINDAURA</t>
  </si>
  <si>
    <t>80156486</t>
  </si>
  <si>
    <t>PEZO CARBAJAL LOURDES</t>
  </si>
  <si>
    <t>44489428</t>
  </si>
  <si>
    <t>PEZO ROMERO DANIEL</t>
  </si>
  <si>
    <t>70424677</t>
  </si>
  <si>
    <t>PINEDO MACHOA KAREN DANAI</t>
  </si>
  <si>
    <t>45610927</t>
  </si>
  <si>
    <t>PINEDO YAHUARCANI JOSE LUIS</t>
  </si>
  <si>
    <t>47187926</t>
  </si>
  <si>
    <t>PON AVILA MARIO ANDRES</t>
  </si>
  <si>
    <t>41975902</t>
  </si>
  <si>
    <t>POZO RUIZ CARLOS ANTONIO</t>
  </si>
  <si>
    <t>00093563</t>
  </si>
  <si>
    <t>PRETELL RENGIFO JUDITH</t>
  </si>
  <si>
    <t>72511044</t>
  </si>
  <si>
    <t>QUIO RUIZ WENDY LUCIA</t>
  </si>
  <si>
    <t>42948692</t>
  </si>
  <si>
    <t>QUISPE CERVANTES KATTY NALLYLY</t>
  </si>
  <si>
    <t>75716001</t>
  </si>
  <si>
    <t>RAMIREZ AREVALO ALDO MICHEL AMOR</t>
  </si>
  <si>
    <t>00122752</t>
  </si>
  <si>
    <t>RAMIREZ BARBARAN BENJAMIN</t>
  </si>
  <si>
    <t>80503701</t>
  </si>
  <si>
    <t>RAMIREZ CUMBAY SANTOS</t>
  </si>
  <si>
    <t>80000529</t>
  </si>
  <si>
    <t>RAMOS CAMPOS MARIA PILAR</t>
  </si>
  <si>
    <t>42566173</t>
  </si>
  <si>
    <t>REATEGUI CHISQUIPAMA RUT LEIZ</t>
  </si>
  <si>
    <t>45874200</t>
  </si>
  <si>
    <t>RENGIFO HUAMAN JOSE LUIS</t>
  </si>
  <si>
    <t>42434969</t>
  </si>
  <si>
    <t>RENGIFO NAVARRO VIVIANA ALICIA</t>
  </si>
  <si>
    <t>46326710</t>
  </si>
  <si>
    <t>RENGIFO TORRES ANTONY ANDRE</t>
  </si>
  <si>
    <t>43285599</t>
  </si>
  <si>
    <t>RIOS BINCHEL RUTH ELENA</t>
  </si>
  <si>
    <t>41736707</t>
  </si>
  <si>
    <t>RIOS DA SILVA PEDRO BRAULIO</t>
  </si>
  <si>
    <t>21141685</t>
  </si>
  <si>
    <t>RIOS LOZANO NELSON</t>
  </si>
  <si>
    <t>71937653</t>
  </si>
  <si>
    <t>RIOS MORENO JOEL DANDY ABAD</t>
  </si>
  <si>
    <t>40514364</t>
  </si>
  <si>
    <t>RIOS TRIGOSO NINEL KAREN</t>
  </si>
  <si>
    <t>00081986</t>
  </si>
  <si>
    <t>RODRIGUEZ DIAZ RONNY VIDAL</t>
  </si>
  <si>
    <t>10315294</t>
  </si>
  <si>
    <t>RODRIGUEZ PAIVA MEZA CLAUDIA RAQUEL MARIA</t>
  </si>
  <si>
    <t>00002194</t>
  </si>
  <si>
    <t>RODRIGUEZ VARGAS JORGE ANTONIO</t>
  </si>
  <si>
    <t>41574417</t>
  </si>
  <si>
    <t>ROJAS CAQUI EMMA EDITH</t>
  </si>
  <si>
    <t>21142396</t>
  </si>
  <si>
    <t>ROJAS SHUÑA MARIO AUGUSTO</t>
  </si>
  <si>
    <t>45505438</t>
  </si>
  <si>
    <t>ROJAS VELEZMORO FLOR VIRGINIA</t>
  </si>
  <si>
    <t>21548817</t>
  </si>
  <si>
    <t>ROLDAN PALOMINO MARIA ROSA</t>
  </si>
  <si>
    <t>72560479</t>
  </si>
  <si>
    <t>ROMAN NAVARRO ZOILA LUZ</t>
  </si>
  <si>
    <t>44405508</t>
  </si>
  <si>
    <t>ROMERO DEL AGUILA CARMEN ROSA</t>
  </si>
  <si>
    <t>76598513</t>
  </si>
  <si>
    <t>ROMERO OLLAIS RAQUEL MARLENE</t>
  </si>
  <si>
    <t>76433455</t>
  </si>
  <si>
    <t>ROMERO SUAZO PATRICIA KATHERINE</t>
  </si>
  <si>
    <t>42013258</t>
  </si>
  <si>
    <t>RUCOBA SAAVEDRA MARJORI</t>
  </si>
  <si>
    <t>00129300</t>
  </si>
  <si>
    <t>RUIZ CAMPOS FIDEL</t>
  </si>
  <si>
    <t>70406408</t>
  </si>
  <si>
    <t>RUIZ CARDENAS PAULO ANTONIO</t>
  </si>
  <si>
    <t>46042146</t>
  </si>
  <si>
    <t>RUIZ RENGIFO KARLA GABRIELA</t>
  </si>
  <si>
    <t>42171540</t>
  </si>
  <si>
    <t>RUIZ ROJAS NARDIS</t>
  </si>
  <si>
    <t>70009005</t>
  </si>
  <si>
    <t>RUIZ SANCHEZ ANGELL KASSANDRA</t>
  </si>
  <si>
    <t>46326379</t>
  </si>
  <si>
    <t>SABINO VILCA DEYSI YESICA</t>
  </si>
  <si>
    <t>44086300</t>
  </si>
  <si>
    <t>SALAS GONZALES RONY</t>
  </si>
  <si>
    <t>44572338</t>
  </si>
  <si>
    <t>SALAS LAVERIANO MONICA</t>
  </si>
  <si>
    <t>44400607</t>
  </si>
  <si>
    <t>SALAS VASQUEZ DIANA LIZ</t>
  </si>
  <si>
    <t>43911109</t>
  </si>
  <si>
    <t>SALDAÑA JARA SANDY IMELDA</t>
  </si>
  <si>
    <t>00085761</t>
  </si>
  <si>
    <t>SALDAÑA RAMIREZ NEYVA</t>
  </si>
  <si>
    <t>41272412</t>
  </si>
  <si>
    <t>SALDAÑA USHIÑAHUA ERICK MEYER</t>
  </si>
  <si>
    <t>43739212</t>
  </si>
  <si>
    <t>SANCHEZ LOPEZ HIRUYUKI</t>
  </si>
  <si>
    <t>00124392</t>
  </si>
  <si>
    <t>SANCHEZ RUIZ YRIS NEY</t>
  </si>
  <si>
    <t>41454341</t>
  </si>
  <si>
    <t>SANCHOMA CAHUAMARI JENRRY</t>
  </si>
  <si>
    <t>47271342</t>
  </si>
  <si>
    <t>SANDOVAL MENDOZA LETTY LEONOR</t>
  </si>
  <si>
    <t>44247291</t>
  </si>
  <si>
    <t>SANGAMA TUANAMA ADRIAN ELIAS</t>
  </si>
  <si>
    <t>00109502</t>
  </si>
  <si>
    <t>SANTAMARIA BARDALES LEISY</t>
  </si>
  <si>
    <t>32131168</t>
  </si>
  <si>
    <t>SEPERAK OSORIO MONICA DIANA</t>
  </si>
  <si>
    <t>ABOGADO(A)</t>
  </si>
  <si>
    <t>00013050</t>
  </si>
  <si>
    <t>SHAHUANO HUANIO DANIEL</t>
  </si>
  <si>
    <t>46516658</t>
  </si>
  <si>
    <t>SIFUENTES ACOSTA DEBORA</t>
  </si>
  <si>
    <t>41462573</t>
  </si>
  <si>
    <t>SIFUENTES PEREZ NIDIA GISSELA</t>
  </si>
  <si>
    <t>41292514</t>
  </si>
  <si>
    <t>SILVANO AGUILAR GUIZELLA</t>
  </si>
  <si>
    <t>40943465</t>
  </si>
  <si>
    <t>SOLIS CABRERA DE GUTIERREZ GRACIEL</t>
  </si>
  <si>
    <t>72219040</t>
  </si>
  <si>
    <t>SOTO ACUÑA ERICKA SOLEDAD</t>
  </si>
  <si>
    <t>43919889</t>
  </si>
  <si>
    <t>SOUZA GRANDEZ ZENON DANIEL</t>
  </si>
  <si>
    <t>46604126</t>
  </si>
  <si>
    <t>TELLO CARRASCO JULIO ALBERTO</t>
  </si>
  <si>
    <t>76838881</t>
  </si>
  <si>
    <t>TIPTO GORDON MIRELLA KATHERINE</t>
  </si>
  <si>
    <t>41774690</t>
  </si>
  <si>
    <t>TORRES AÑASCO HELLEN</t>
  </si>
  <si>
    <t>00032991</t>
  </si>
  <si>
    <t>TORRES RUIZ EDITH</t>
  </si>
  <si>
    <t>41699082</t>
  </si>
  <si>
    <t>TORRES RUIZ PAOLA DEL CARMEN</t>
  </si>
  <si>
    <t>46725513</t>
  </si>
  <si>
    <t>TRIGOZO MOZOMBITE CANDIDA MELISSA</t>
  </si>
  <si>
    <t>45622281</t>
  </si>
  <si>
    <t>TUESTA DAZA GINO PAOLO</t>
  </si>
  <si>
    <t>47050862</t>
  </si>
  <si>
    <t>TUESTA MACUYAMA ZAIDA</t>
  </si>
  <si>
    <t>41223379</t>
  </si>
  <si>
    <t>TUESTA PUSCAN EDUAR JESUS</t>
  </si>
  <si>
    <t>00078975</t>
  </si>
  <si>
    <t>TUESTA SANGAMA MIGUEL</t>
  </si>
  <si>
    <t>42155072</t>
  </si>
  <si>
    <t>URQUIA MONTELUISA ANGEL MILTON</t>
  </si>
  <si>
    <t>21146920</t>
  </si>
  <si>
    <t>VALLES OLIVEIRA IDALIA</t>
  </si>
  <si>
    <t>75586025</t>
  </si>
  <si>
    <t>VASQUEZ GUILLEN MAIDEMIS THAIS</t>
  </si>
  <si>
    <t>40610925</t>
  </si>
  <si>
    <t>VASQUEZ MELEDRES JIM KEMMY</t>
  </si>
  <si>
    <t>47809985</t>
  </si>
  <si>
    <t>VASQUEZ RIOS ISABEL BEATRIZ</t>
  </si>
  <si>
    <t>46282096</t>
  </si>
  <si>
    <t>VASQUEZ VASQUEZ CECILIA</t>
  </si>
  <si>
    <t>46264891</t>
  </si>
  <si>
    <t>VASQUEZ VASQUEZ JORGE ALONSO</t>
  </si>
  <si>
    <t>71381191</t>
  </si>
  <si>
    <t>VEGA GARCIA GIANMARCOS</t>
  </si>
  <si>
    <t>23008287</t>
  </si>
  <si>
    <t>VEGA HARO ALIA</t>
  </si>
  <si>
    <t>80171033</t>
  </si>
  <si>
    <t>VEGA RUIZ WILKINS</t>
  </si>
  <si>
    <t>40916653</t>
  </si>
  <si>
    <t>VELA RAMIREZ NEHEMIAS</t>
  </si>
  <si>
    <t>46012099</t>
  </si>
  <si>
    <t>VELA TORRES LUCIA KAROL</t>
  </si>
  <si>
    <t>45473302</t>
  </si>
  <si>
    <t>VELA ZEVALLOS GADY LENA</t>
  </si>
  <si>
    <t>40282397</t>
  </si>
  <si>
    <t>VELASQUEZ DONAYRE MARX LENIN</t>
  </si>
  <si>
    <t>43866960</t>
  </si>
  <si>
    <t>VELASQUEZ OSTOS CRISTIAN EVER</t>
  </si>
  <si>
    <t>43731647</t>
  </si>
  <si>
    <t>VENTURA VASQUEZ MILAGROS DEL CARMEN</t>
  </si>
  <si>
    <t>43801573</t>
  </si>
  <si>
    <t>ZEGARRA SAMPAYO JACQUELIN</t>
  </si>
  <si>
    <t>40991763</t>
  </si>
  <si>
    <t>ZUMAETA BONZANO JOSE</t>
  </si>
  <si>
    <t>70938778</t>
  </si>
  <si>
    <t>ZUMAETA HUANIO MARIA CLEYRI</t>
  </si>
  <si>
    <t>41539841</t>
  </si>
  <si>
    <t>ZUMAETA TAFUR BRAINER</t>
  </si>
  <si>
    <t>CAS - RDR</t>
  </si>
  <si>
    <t>00126829</t>
  </si>
  <si>
    <t>FLORES VELA ANGEL GABRIEL</t>
  </si>
  <si>
    <t>DIRECTOR EJECUTIVO</t>
  </si>
  <si>
    <t>06225069</t>
  </si>
  <si>
    <t>SALAS SUAREZ JUAN CARLOS</t>
  </si>
  <si>
    <t>DIRECTOR GENERAL</t>
  </si>
  <si>
    <t>CAS - COVID - VAC.</t>
  </si>
  <si>
    <t>45893645</t>
  </si>
  <si>
    <t>AGUILAR VALLE SAMY SULLY</t>
  </si>
  <si>
    <t>76755028</t>
  </si>
  <si>
    <t>ASPAJO TUESTA GERALDINE GESSY</t>
  </si>
  <si>
    <t>75866776</t>
  </si>
  <si>
    <t>CACHIQUE MORALES GREYCI LISBETH</t>
  </si>
  <si>
    <t>76444308</t>
  </si>
  <si>
    <t>CARDENAS CORDERO CANDY CLAUDIA</t>
  </si>
  <si>
    <t>76967407</t>
  </si>
  <si>
    <t>CUMAPA TAMANI TEDY</t>
  </si>
  <si>
    <t>45124834</t>
  </si>
  <si>
    <t>DAVILA TANGOA IRIS</t>
  </si>
  <si>
    <t>47173636</t>
  </si>
  <si>
    <t>DEL AGUILA CESPEDES LEYDI LAURA</t>
  </si>
  <si>
    <t>72301191</t>
  </si>
  <si>
    <t>DIAZ SHUÑA LESLY ALESANDRA</t>
  </si>
  <si>
    <t>40320926</t>
  </si>
  <si>
    <t>ESCOBEDO SINARAHUA SARA ANTONIA</t>
  </si>
  <si>
    <t>42604483</t>
  </si>
  <si>
    <t>GARCIA VASQUEZ LIGIA</t>
  </si>
  <si>
    <t>45957715</t>
  </si>
  <si>
    <t>HIDALGO TANANTA LUZ MILAGROS</t>
  </si>
  <si>
    <t>48519100</t>
  </si>
  <si>
    <t>HUAYABA IJUMA NILO</t>
  </si>
  <si>
    <t>44511656</t>
  </si>
  <si>
    <t>INGA CALISAYA VICTOR ALBERTO</t>
  </si>
  <si>
    <t>00127670</t>
  </si>
  <si>
    <t>ISUIZA ASPAJO IRMA</t>
  </si>
  <si>
    <t>75601320</t>
  </si>
  <si>
    <t>JAPA MAIZ MARTHA</t>
  </si>
  <si>
    <t>72104890</t>
  </si>
  <si>
    <t>LINARES HUAIMACARI TANIA</t>
  </si>
  <si>
    <t>73213911</t>
  </si>
  <si>
    <t>LOJA MUÑOZ NATALIA</t>
  </si>
  <si>
    <t>00116910</t>
  </si>
  <si>
    <t>LOPEZ ALCANTARA DE HUAMANI JENNY</t>
  </si>
  <si>
    <t>09853992</t>
  </si>
  <si>
    <t>MARINA GATICA ELENA</t>
  </si>
  <si>
    <t>73802923</t>
  </si>
  <si>
    <t>MAYNAS ROJAS YELKA MERARY</t>
  </si>
  <si>
    <t>80324468</t>
  </si>
  <si>
    <t>MORI CORDERO ADINA</t>
  </si>
  <si>
    <t>22401535</t>
  </si>
  <si>
    <t>MORY GONZALES VIA MARIA ELISA</t>
  </si>
  <si>
    <t>75676812</t>
  </si>
  <si>
    <t>OJANAMA PICON ESTEFANI LISBETH</t>
  </si>
  <si>
    <t>00101296</t>
  </si>
  <si>
    <t>ORBE PICON MARINA</t>
  </si>
  <si>
    <t>72367098</t>
  </si>
  <si>
    <t>PINEDO CARDENAS BRENDA SHANNA</t>
  </si>
  <si>
    <t>75933323</t>
  </si>
  <si>
    <t>PINZON MERCEDEZ MARILYN MAGDIEL</t>
  </si>
  <si>
    <t>48162532</t>
  </si>
  <si>
    <t>PRADA SINTI JESSENIA ADELITH</t>
  </si>
  <si>
    <t>42501104</t>
  </si>
  <si>
    <t>PUENTE CHAVEZ JOSE LUIS</t>
  </si>
  <si>
    <t>43079303</t>
  </si>
  <si>
    <t>QUIROZ MORENO LUIS</t>
  </si>
  <si>
    <t>42010863</t>
  </si>
  <si>
    <t>RAMIREZ SALINAS ROSA KARINA</t>
  </si>
  <si>
    <t>44359397</t>
  </si>
  <si>
    <t>RENGIFO URQUIA PATRICIA</t>
  </si>
  <si>
    <t>45560699</t>
  </si>
  <si>
    <t>RODRIGUEZ SANCHEZ LIBIA</t>
  </si>
  <si>
    <t>00127365</t>
  </si>
  <si>
    <t>SANTOS PINEDA LIVIA LEONIDES</t>
  </si>
  <si>
    <t>00105476</t>
  </si>
  <si>
    <t>SHUPINGAHUA MARTINEZ JANET</t>
  </si>
  <si>
    <t>45643296</t>
  </si>
  <si>
    <t>SOSA MOZOMBITE SUSAN</t>
  </si>
  <si>
    <t>77083569</t>
  </si>
  <si>
    <t>TITO BRICEÑO IVET</t>
  </si>
  <si>
    <t>46328671</t>
  </si>
  <si>
    <t>TORRES MURRIETA MARCIA ESTHER</t>
  </si>
  <si>
    <t>46470520</t>
  </si>
  <si>
    <t>TUESTA VASQUEZ DE ROMERO AMBAR VANESSA</t>
  </si>
  <si>
    <t>21145207</t>
  </si>
  <si>
    <t>WESEMBI MUÑOZ LIGIA</t>
  </si>
  <si>
    <t>00085524</t>
  </si>
  <si>
    <t>YUMBATO TAMANI ELIZABETH..</t>
  </si>
  <si>
    <t>47026706</t>
  </si>
  <si>
    <t>ZEGARRA JUMANGA LINDA PATRICIA</t>
  </si>
  <si>
    <t>CAS - COVID.</t>
  </si>
  <si>
    <t>44223402</t>
  </si>
  <si>
    <t>ABAD BALAREZO TERESA ADELA</t>
  </si>
  <si>
    <t>48206897</t>
  </si>
  <si>
    <t>ACARO MURAYARI ROBER</t>
  </si>
  <si>
    <t>80690068</t>
  </si>
  <si>
    <t>ACHO VASQUEZ MARLITH</t>
  </si>
  <si>
    <t>77280301</t>
  </si>
  <si>
    <t>ACUÑA MURAYARI RAQUEL</t>
  </si>
  <si>
    <t>ASISTENTE EN MONITOREO Y SOPOR</t>
  </si>
  <si>
    <t>71458713</t>
  </si>
  <si>
    <t>AGUIRRE EGOAVIL GUSTAVO ALFONSO</t>
  </si>
  <si>
    <t>42818746</t>
  </si>
  <si>
    <t>AGUSTIN CANAYO ROSA ALIDA</t>
  </si>
  <si>
    <t>41612884</t>
  </si>
  <si>
    <t>AHUANARI IRARICA YESSENIA</t>
  </si>
  <si>
    <t>44942963</t>
  </si>
  <si>
    <t>AHUANARI PIZANGO DIANA CAROLINA</t>
  </si>
  <si>
    <t>73868690</t>
  </si>
  <si>
    <t>ALEGRIA OSCO LUREN MARIA DE LOS ANGELES</t>
  </si>
  <si>
    <t>76340452</t>
  </si>
  <si>
    <t>ALEJOS GAMARRA DEBORA JAEL</t>
  </si>
  <si>
    <t>74687879</t>
  </si>
  <si>
    <t>ALVA RODAS BILL ANTONY</t>
  </si>
  <si>
    <t>42237458</t>
  </si>
  <si>
    <t>ALVARADO GARCIA LIGIA PAOLA</t>
  </si>
  <si>
    <t>23011429</t>
  </si>
  <si>
    <t>ALVAREZ PEZO VILMA</t>
  </si>
  <si>
    <t>70772604</t>
  </si>
  <si>
    <t>ALVIS MONTES GIOVANA JANNETH</t>
  </si>
  <si>
    <t>02261088</t>
  </si>
  <si>
    <t>ALZATE MUÑOZ SEBASTIAN</t>
  </si>
  <si>
    <t>AUXILIAR ASISTENCIAL</t>
  </si>
  <si>
    <t>47451576</t>
  </si>
  <si>
    <t>AMASIFUEN CURICO CINTHIA KAROL</t>
  </si>
  <si>
    <t>44012614</t>
  </si>
  <si>
    <t>AMASIFUEN SHUPINGAHUA JUANA</t>
  </si>
  <si>
    <t>73474655</t>
  </si>
  <si>
    <t>ANASTACIO VENANCIO YURI ELVIRA</t>
  </si>
  <si>
    <t>48155045</t>
  </si>
  <si>
    <t>ANDRADE AMASIFUEN JONATAN LIBARDO</t>
  </si>
  <si>
    <t>75893974</t>
  </si>
  <si>
    <t>ANGELES MURRIETA JIMMY IVAN</t>
  </si>
  <si>
    <t>41624521</t>
  </si>
  <si>
    <t>ANGULO MONTOYA PAUL</t>
  </si>
  <si>
    <t>AUXILIAR DE LABORATORIO</t>
  </si>
  <si>
    <t>00126587</t>
  </si>
  <si>
    <t>AÑASGO RENGIFO CARLOS</t>
  </si>
  <si>
    <t>71512968</t>
  </si>
  <si>
    <t>APONTE MARTEL LESLIE FORTUNATA</t>
  </si>
  <si>
    <t>45021901</t>
  </si>
  <si>
    <t>AQUINO AYALA BERTA</t>
  </si>
  <si>
    <t>44271206</t>
  </si>
  <si>
    <t>AQUINO HUANIO ROXANA</t>
  </si>
  <si>
    <t>AUXILIAR DE FARMACIA</t>
  </si>
  <si>
    <t>70563759</t>
  </si>
  <si>
    <t>ARANA TARICUARIMA KAROL HORTENCIA</t>
  </si>
  <si>
    <t>00038837</t>
  </si>
  <si>
    <t>ARANCIBIA MEGO LIBERATA</t>
  </si>
  <si>
    <t>AUXILIAR DE LIMPIEZA</t>
  </si>
  <si>
    <t>40960309</t>
  </si>
  <si>
    <t>ARAUJO LOPEZ ALBERTO</t>
  </si>
  <si>
    <t>43820608</t>
  </si>
  <si>
    <t>ARBILDO HUANIO IRIS</t>
  </si>
  <si>
    <t>75983385</t>
  </si>
  <si>
    <t>ARCE TAPULLIMA ALICIA MERCEDES</t>
  </si>
  <si>
    <t>76465402</t>
  </si>
  <si>
    <t>AREVALO AMPUDIA GERALD EDUARDO</t>
  </si>
  <si>
    <t>ESTADISTICO</t>
  </si>
  <si>
    <t>43645996</t>
  </si>
  <si>
    <t>AREVALO ARAUJO CARLOS</t>
  </si>
  <si>
    <t>80443075</t>
  </si>
  <si>
    <t>AREVALO MARQUEZ ANA ROSA</t>
  </si>
  <si>
    <t>70987125</t>
  </si>
  <si>
    <t>AREVALO ROBALINO SELMA GABRIELA</t>
  </si>
  <si>
    <t>74091872</t>
  </si>
  <si>
    <t>AREVALO VILLACORTA ALEXIS</t>
  </si>
  <si>
    <t>43616133</t>
  </si>
  <si>
    <t>AREVALO ZUMAETA PAOLO CESAR</t>
  </si>
  <si>
    <t>46326718</t>
  </si>
  <si>
    <t>ARNAO ACHIC GELSY.</t>
  </si>
  <si>
    <t>00129197</t>
  </si>
  <si>
    <t>ASPAJO DASILVA KEWIN SANDRO</t>
  </si>
  <si>
    <t>76693742</t>
  </si>
  <si>
    <t>ATRAVEYRO SAJAMI JAMES</t>
  </si>
  <si>
    <t>48427989</t>
  </si>
  <si>
    <t>AYALA MENDIETA DULCE CONSUELO</t>
  </si>
  <si>
    <t>41078009</t>
  </si>
  <si>
    <t>AYALA ROMANI JUAN JOSE</t>
  </si>
  <si>
    <t>46307850</t>
  </si>
  <si>
    <t>AYME MACEDO DE APAZA LIA</t>
  </si>
  <si>
    <t>00029039</t>
  </si>
  <si>
    <t>BARBARAN RENGIFO CARLOS ARMANDO</t>
  </si>
  <si>
    <t>40931554</t>
  </si>
  <si>
    <t>BARDALES BARDALES MARIA JOSEFINA</t>
  </si>
  <si>
    <t>46143214</t>
  </si>
  <si>
    <t>BARDALES GRANDEZ DAUSSY SILVIA</t>
  </si>
  <si>
    <t>44067155</t>
  </si>
  <si>
    <t>BARDALES HERNANDEZ MARCIAL</t>
  </si>
  <si>
    <t>40382825</t>
  </si>
  <si>
    <t>BARDALES MEGO MARCELA LIZBETH</t>
  </si>
  <si>
    <t>43809723</t>
  </si>
  <si>
    <t>BARRIA DAVILA ANDREA DEL CARMEN</t>
  </si>
  <si>
    <t>45401893</t>
  </si>
  <si>
    <t>BERAUN AMASIFUEN DEINY ANTONIA</t>
  </si>
  <si>
    <t>70938829</t>
  </si>
  <si>
    <t>BORBOR CHAVEZ LIZ CAROL</t>
  </si>
  <si>
    <t>44187190</t>
  </si>
  <si>
    <t>BRICEÑO VASQUEZ GIRALDA INGRID</t>
  </si>
  <si>
    <t>46749962</t>
  </si>
  <si>
    <t>BRITTO GONZALES NELLY NATHALLY</t>
  </si>
  <si>
    <t>47399809</t>
  </si>
  <si>
    <t>BROCK IZQUIERDO LUCERO CELESTE</t>
  </si>
  <si>
    <t>76069083</t>
  </si>
  <si>
    <t>BUENDIA YAVAR SHELIN XIOMARA</t>
  </si>
  <si>
    <t>40556056</t>
  </si>
  <si>
    <t>BUSTAMANTE RENGIFO ERIKA LLULIANI</t>
  </si>
  <si>
    <t>43852685</t>
  </si>
  <si>
    <t>CABALLERO NORIEGA ROMY MILAGROS</t>
  </si>
  <si>
    <t>41334882</t>
  </si>
  <si>
    <t>CABRERA ABAD OSCAR ELOY</t>
  </si>
  <si>
    <t>44195760</t>
  </si>
  <si>
    <t>CABRERA LOZANO NELLY VANESSA</t>
  </si>
  <si>
    <t>47544355</t>
  </si>
  <si>
    <t>CACERES REATEGUI MARITA VANESSA</t>
  </si>
  <si>
    <t>45033274</t>
  </si>
  <si>
    <t>CACHIQUE VARGAS LIDIA ROSITA</t>
  </si>
  <si>
    <t>45992144</t>
  </si>
  <si>
    <t>CACHIQUE VARGAS PAHOLA ROSARIO</t>
  </si>
  <si>
    <t>45446894</t>
  </si>
  <si>
    <t>CALAMPA CARRILLO KATYA MELISSA</t>
  </si>
  <si>
    <t>41958349</t>
  </si>
  <si>
    <t>CALLE VELA LUIS ALBERTO</t>
  </si>
  <si>
    <t>72308633</t>
  </si>
  <si>
    <t>CAMPOS ROJAS EDUARDO</t>
  </si>
  <si>
    <t>ASISTENTE EN GESTION ADMINISTR</t>
  </si>
  <si>
    <t>45796168</t>
  </si>
  <si>
    <t>CAMPOS SERRUCHE GISELA</t>
  </si>
  <si>
    <t>46856256</t>
  </si>
  <si>
    <t>CAMPOS TENAZOA SAYURI KEYLA</t>
  </si>
  <si>
    <t>42604491</t>
  </si>
  <si>
    <t>CARDENAS AHUANARI JUAN JOSE</t>
  </si>
  <si>
    <t>48429071</t>
  </si>
  <si>
    <t>CARDENAS MUYNA CELIA ANDREA</t>
  </si>
  <si>
    <t>70205138</t>
  </si>
  <si>
    <t>CARDENAS SALAS GINA LEONOR</t>
  </si>
  <si>
    <t>00111636</t>
  </si>
  <si>
    <t>CARRILLO AREVALO DE TELLO MAGALY</t>
  </si>
  <si>
    <t>62392256</t>
  </si>
  <si>
    <t>CARTAGENA TORRES JANICE PETRONILA</t>
  </si>
  <si>
    <t>45446431</t>
  </si>
  <si>
    <t>CARUAJULCA BRAVO JUNIOR</t>
  </si>
  <si>
    <t>61089461</t>
  </si>
  <si>
    <t>CASTILLEJOS FONSECA GUILLER</t>
  </si>
  <si>
    <t>41553414</t>
  </si>
  <si>
    <t>CASTRO FLORES ISAAC</t>
  </si>
  <si>
    <t>00127424</t>
  </si>
  <si>
    <t>ALMACENERO</t>
  </si>
  <si>
    <t>03926462</t>
  </si>
  <si>
    <t>CHACIN COLMENARES MAISELITH ESTHER</t>
  </si>
  <si>
    <t>76428155</t>
  </si>
  <si>
    <t>CHAVEZ ACENCIO MIRIAM GEMIMA</t>
  </si>
  <si>
    <t>71852951</t>
  </si>
  <si>
    <t>CHAVEZ GUTIERREZ FRANCY PENNY</t>
  </si>
  <si>
    <t>40552396</t>
  </si>
  <si>
    <t>CHAVEZ PIZANGO ERIKA</t>
  </si>
  <si>
    <t>00124518</t>
  </si>
  <si>
    <t>CHAVEZ PIZANGO LIBINSON BETHMAN</t>
  </si>
  <si>
    <t>41643480</t>
  </si>
  <si>
    <t>CHAVEZ RIOS JUAN CARLOS</t>
  </si>
  <si>
    <t>70579216</t>
  </si>
  <si>
    <t>CHAVEZ SANTILLAN MARLON</t>
  </si>
  <si>
    <t>40821118</t>
  </si>
  <si>
    <t>CHAVEZ TENAZOA JUAN</t>
  </si>
  <si>
    <t>76381310</t>
  </si>
  <si>
    <t>CHOTA AYALA NANCY BEATRIZ</t>
  </si>
  <si>
    <t>46524668</t>
  </si>
  <si>
    <t>CHOTA MORENO ANDY LUZ ROCIO</t>
  </si>
  <si>
    <t>42614886</t>
  </si>
  <si>
    <t>CHUMBE SCHRADER CLAUDIA LIZETH</t>
  </si>
  <si>
    <t>40803473</t>
  </si>
  <si>
    <t>CHUQUIBAL FABABA OSCAR</t>
  </si>
  <si>
    <t>45649716</t>
  </si>
  <si>
    <t>COLOMA RODRIGUEZ RICARDO</t>
  </si>
  <si>
    <t>42661266</t>
  </si>
  <si>
    <t>CONDORI ORTIZ ROMAN</t>
  </si>
  <si>
    <t>47497618</t>
  </si>
  <si>
    <t>CORAL GARCIA MARIELA LUISA</t>
  </si>
  <si>
    <t>00000623</t>
  </si>
  <si>
    <t>CORDERO CASTILLO EDDIER HEINZ</t>
  </si>
  <si>
    <t>61918244</t>
  </si>
  <si>
    <t>CORDOVA DE JESUS JERLIN SHERIDAYN</t>
  </si>
  <si>
    <t>70232248</t>
  </si>
  <si>
    <t>CORDOVA VILLA MERLI ANTONIA</t>
  </si>
  <si>
    <t>47385212</t>
  </si>
  <si>
    <t>CRISOSTOMO TORRES MELVI DEL PILAR</t>
  </si>
  <si>
    <t>00113128</t>
  </si>
  <si>
    <t>CRISTOBAL NOLASCO HECTOR NICOLAS</t>
  </si>
  <si>
    <t>INSPECTOR SANITARIO</t>
  </si>
  <si>
    <t>71920796</t>
  </si>
  <si>
    <t>CRUZ VALERA MARTIN</t>
  </si>
  <si>
    <t>71210274</t>
  </si>
  <si>
    <t>CUEVA CASAS FRANSUA YSABEL</t>
  </si>
  <si>
    <t>47012452</t>
  </si>
  <si>
    <t>CUEVA ESPINOZA ANNY LUCERO</t>
  </si>
  <si>
    <t>74367429</t>
  </si>
  <si>
    <t>DAVILA SILVA LANDERS ALLID</t>
  </si>
  <si>
    <t>41316401</t>
  </si>
  <si>
    <t>DAZA CAMPOS JOSE ANDRES</t>
  </si>
  <si>
    <t>41205937</t>
  </si>
  <si>
    <t>DE JESUS VASQUEZ DE DIAZ DEYSI MARGOT</t>
  </si>
  <si>
    <t>47568797</t>
  </si>
  <si>
    <t>DE LA ROSA PINEDO ERIKA.</t>
  </si>
  <si>
    <t>00125623</t>
  </si>
  <si>
    <t>DEL AGUILA AYACHI JUAN</t>
  </si>
  <si>
    <t>00014761</t>
  </si>
  <si>
    <t>DEL AGUILA CASHU RICARDO</t>
  </si>
  <si>
    <t>45881353</t>
  </si>
  <si>
    <t>DEL AGUILA CHOTA DORI LUZ</t>
  </si>
  <si>
    <t>45518058</t>
  </si>
  <si>
    <t>DEL AGUILA TORRES PRISCILA ROSARIO</t>
  </si>
  <si>
    <t>70915029</t>
  </si>
  <si>
    <t>DEL CASTILLO TORRES MARTHA</t>
  </si>
  <si>
    <t>44728843</t>
  </si>
  <si>
    <t>DELGADO CASTILLO FRANCO ISMAEL</t>
  </si>
  <si>
    <t>44719476</t>
  </si>
  <si>
    <t>DELGADO VILLEGAS ANGELICA ZILA</t>
  </si>
  <si>
    <t>45120755</t>
  </si>
  <si>
    <t>DIAZ GONZALES ALBERTO CRISTHIAN</t>
  </si>
  <si>
    <t>72437736</t>
  </si>
  <si>
    <t>DIAZ HIDALGO ANNICA DANIELA</t>
  </si>
  <si>
    <t>75337057</t>
  </si>
  <si>
    <t>DIAZ SILVA LETHY</t>
  </si>
  <si>
    <t>48156530</t>
  </si>
  <si>
    <t>DIAZ TANCHIVA CRESENCIO DANIEL</t>
  </si>
  <si>
    <t>71821548</t>
  </si>
  <si>
    <t>DONAYRE MENDOZA LENA RUTH</t>
  </si>
  <si>
    <t>71994281</t>
  </si>
  <si>
    <t>DOÑEZ DIAZ IVANA SCAPRICCIATELA</t>
  </si>
  <si>
    <t>75266429</t>
  </si>
  <si>
    <t>ECHEVARRIA HIDALGO ANGIE JAMILETH</t>
  </si>
  <si>
    <t>41498501</t>
  </si>
  <si>
    <t>ERAZO DUENDEZ SHERLEY GLADIS</t>
  </si>
  <si>
    <t>41760805</t>
  </si>
  <si>
    <t>ESCOBAR FLORES BETTY LICET</t>
  </si>
  <si>
    <t>76294147</t>
  </si>
  <si>
    <t>ESTRADA ALVARADO LIZETH</t>
  </si>
  <si>
    <t>40312545</t>
  </si>
  <si>
    <t>ESTRADA FLORES JENNY</t>
  </si>
  <si>
    <t>77504173</t>
  </si>
  <si>
    <t>ESTRADA MACEDO ECLINE IVETH</t>
  </si>
  <si>
    <t>43256276</t>
  </si>
  <si>
    <t>FABIAN SARZO LISBET</t>
  </si>
  <si>
    <t>48602793</t>
  </si>
  <si>
    <t>FACHIN SATALAYA KEY LINDSAYS</t>
  </si>
  <si>
    <t>71339536</t>
  </si>
  <si>
    <t>FASABI SALAS JESUS ERIKSON</t>
  </si>
  <si>
    <t>43220349</t>
  </si>
  <si>
    <t>FERNANDEZ CARRASCO DE RUIZ KELLY NOEMI</t>
  </si>
  <si>
    <t>00022740</t>
  </si>
  <si>
    <t>FLORES FABABA JORGE MANUEL</t>
  </si>
  <si>
    <t>40634360</t>
  </si>
  <si>
    <t>FLORES HUAYTA SANIVEL</t>
  </si>
  <si>
    <t>72437734</t>
  </si>
  <si>
    <t>FLORES MERA EMMANUEL</t>
  </si>
  <si>
    <t>04237844</t>
  </si>
  <si>
    <t>FLORES MIERES YORMAN OMAR</t>
  </si>
  <si>
    <t>47588759</t>
  </si>
  <si>
    <t>FLORES PARDAVE PEDRO IVAN</t>
  </si>
  <si>
    <t>44485824</t>
  </si>
  <si>
    <t>FLORES PINEDO OMAIRA MILAGROS.</t>
  </si>
  <si>
    <t>44395430</t>
  </si>
  <si>
    <t>FLORES SILVA JAIR</t>
  </si>
  <si>
    <t>80369444</t>
  </si>
  <si>
    <t>FRANCO AHUANARI JONAS</t>
  </si>
  <si>
    <t>43626998</t>
  </si>
  <si>
    <t>FREITAS SAJAMI GERARDO MANUEL</t>
  </si>
  <si>
    <t>41906914</t>
  </si>
  <si>
    <t>FUCHS ARBILDO PATRICIA LIZETH</t>
  </si>
  <si>
    <t>75088930</t>
  </si>
  <si>
    <t>GAMBINI FLORES AVELINA</t>
  </si>
  <si>
    <t>71821529</t>
  </si>
  <si>
    <t>GARCIA ATIZ DIEGO ALONZO</t>
  </si>
  <si>
    <t>42389165</t>
  </si>
  <si>
    <t>GARCIA BALCAZAR LUIS MIGUEL</t>
  </si>
  <si>
    <t>46202226</t>
  </si>
  <si>
    <t>GARCIA CIEZA EMELY</t>
  </si>
  <si>
    <t>73112196</t>
  </si>
  <si>
    <t>GARCIA FLORES LADY VICTORINA</t>
  </si>
  <si>
    <t>ASIST. AREA LAB. Y CTRL. AMB.</t>
  </si>
  <si>
    <t>46686257</t>
  </si>
  <si>
    <t>GARCIA JIMENEZ CLAUDIA STEPHANIE</t>
  </si>
  <si>
    <t>44837088</t>
  </si>
  <si>
    <t>GARCIA RUIZ ANGEL ALEXIS</t>
  </si>
  <si>
    <t>75741118</t>
  </si>
  <si>
    <t>GARCIA VALERA STIBER WAGNER</t>
  </si>
  <si>
    <t>70525160</t>
  </si>
  <si>
    <t>GARCIA YAMUNAQUE YANINA TERESA</t>
  </si>
  <si>
    <t>42974098</t>
  </si>
  <si>
    <t>GARCIA ZUMAETA ADITA ABIGAIL</t>
  </si>
  <si>
    <t>46801250</t>
  </si>
  <si>
    <t>GARCIA ZUMAETA FREDDY ROLAND</t>
  </si>
  <si>
    <t>42854222</t>
  </si>
  <si>
    <t>GAVILAN SALINAS EDIHT YAJAIRA</t>
  </si>
  <si>
    <t>43813866</t>
  </si>
  <si>
    <t>GAVIRIA MEGO SINDY GREY</t>
  </si>
  <si>
    <t>25769700</t>
  </si>
  <si>
    <t>GOMEZ BARRIA LUISA ISABEL</t>
  </si>
  <si>
    <t>44913534</t>
  </si>
  <si>
    <t>GOMEZ MINAYA JOSE LUIS</t>
  </si>
  <si>
    <t>73978762</t>
  </si>
  <si>
    <t>GOMEZ PACHAO CARLA ANDREA</t>
  </si>
  <si>
    <t>00085741</t>
  </si>
  <si>
    <t>GOMEZ PANDURO JAMES MILTON</t>
  </si>
  <si>
    <t>00079937</t>
  </si>
  <si>
    <t>GOMEZ RENGIFO WUARREN</t>
  </si>
  <si>
    <t>76879970</t>
  </si>
  <si>
    <t>GOMEZ SHUPINGAHUA YAGAIRA</t>
  </si>
  <si>
    <t>73142569</t>
  </si>
  <si>
    <t>GOMEZ ZUMAETA DE BARDALES LUCERO</t>
  </si>
  <si>
    <t>00129530</t>
  </si>
  <si>
    <t>GONGORA SAURI DE VENEGAS GLORI GILMITH</t>
  </si>
  <si>
    <t>41404233</t>
  </si>
  <si>
    <t>GONGORA SAURI JUDITH SMITH</t>
  </si>
  <si>
    <t>00091604</t>
  </si>
  <si>
    <t>GONZALES ALVIS PEDRO SEGUNDO</t>
  </si>
  <si>
    <t>45771751</t>
  </si>
  <si>
    <t>GONZALES GOMEZ ERIKA LIZETTE</t>
  </si>
  <si>
    <t>45533710</t>
  </si>
  <si>
    <t>GONZALES MURRIETA JHAN</t>
  </si>
  <si>
    <t>46866051</t>
  </si>
  <si>
    <t>GONZALES RODRIGUEZ DEIVIS ARMANDO</t>
  </si>
  <si>
    <t>00106023</t>
  </si>
  <si>
    <t>GONZALES TENAZOA MIRIAM</t>
  </si>
  <si>
    <t>47540226</t>
  </si>
  <si>
    <t>GONZALEZ LEON SANDRA PIERINA</t>
  </si>
  <si>
    <t>45327837</t>
  </si>
  <si>
    <t>GOZAR VELA ERWIN DANIEL</t>
  </si>
  <si>
    <t>43928782</t>
  </si>
  <si>
    <t>GRANDEZ RENGIFO SARA JANINA</t>
  </si>
  <si>
    <t>01141469</t>
  </si>
  <si>
    <t>GUERRA DA SILVA ROY ROGER</t>
  </si>
  <si>
    <t>40471426</t>
  </si>
  <si>
    <t>GUERRA RENGIFO JESSICA IRIS</t>
  </si>
  <si>
    <t>46916390</t>
  </si>
  <si>
    <t>GUERRA RUIZ ELGIN EDUARDO</t>
  </si>
  <si>
    <t>46194641</t>
  </si>
  <si>
    <t>GUIDO TORRES JENNY MARGOT</t>
  </si>
  <si>
    <t>42297476</t>
  </si>
  <si>
    <t>GUTIERREZ FLORES CHRISTIAN PAUL</t>
  </si>
  <si>
    <t>44470015</t>
  </si>
  <si>
    <t>HERNANDEZ SABOYA KARLA PAOLA</t>
  </si>
  <si>
    <t>74122426</t>
  </si>
  <si>
    <t>HERRERA ESPINOZA LUZMILA MARDONIA</t>
  </si>
  <si>
    <t>72122219</t>
  </si>
  <si>
    <t>HIDALGO PAREDES CINTYA LUZ</t>
  </si>
  <si>
    <t>42516732</t>
  </si>
  <si>
    <t>HIGINIO ESTELA LUZLINDA KATY</t>
  </si>
  <si>
    <t>44794691</t>
  </si>
  <si>
    <t>HUANUIRI VENANCINO DANNI CRISTIAN</t>
  </si>
  <si>
    <t>45425676</t>
  </si>
  <si>
    <t>HUARSE ORDOÑEZ LEYDI MAGALI</t>
  </si>
  <si>
    <t>44498887</t>
  </si>
  <si>
    <t>HUAYTA GARCIA LEMERY MARLITT</t>
  </si>
  <si>
    <t>44351675</t>
  </si>
  <si>
    <t>ICOMENA AHUANARI MEXITA</t>
  </si>
  <si>
    <t>43601373</t>
  </si>
  <si>
    <t>IZQUIERDO SALDAÑA ELITA</t>
  </si>
  <si>
    <t>71053242</t>
  </si>
  <si>
    <t>JAIME RUIZ JOHAN FARETTY</t>
  </si>
  <si>
    <t>72486650</t>
  </si>
  <si>
    <t>JALCA ROJAS ANGEL ARNOLD AMARO</t>
  </si>
  <si>
    <t>71994345</t>
  </si>
  <si>
    <t>JARAMILLO RUIZ IRWIN CLEVER</t>
  </si>
  <si>
    <t>42513438</t>
  </si>
  <si>
    <t>JEAN LOPEZ ERIKA VANESSA</t>
  </si>
  <si>
    <t>45624872</t>
  </si>
  <si>
    <t>JIBAJA TANTAJULCA HECDA</t>
  </si>
  <si>
    <t>44050911</t>
  </si>
  <si>
    <t>JIMENEZ LOPEZ CARLOS AUGUSTO</t>
  </si>
  <si>
    <t>20595356</t>
  </si>
  <si>
    <t>JORGE QUISPE RONALD MICHAEL</t>
  </si>
  <si>
    <t>48110516</t>
  </si>
  <si>
    <t>KONG FLORES MONICA GREYS</t>
  </si>
  <si>
    <t>21145604</t>
  </si>
  <si>
    <t>LACHIN MAYNAS PURIFICACION</t>
  </si>
  <si>
    <t>47717490</t>
  </si>
  <si>
    <t>LASTRA SHEPUTT JONATHAN RUDY</t>
  </si>
  <si>
    <t>48596764</t>
  </si>
  <si>
    <t>LAUREL CHINO FELIX LENIN</t>
  </si>
  <si>
    <t>77115198</t>
  </si>
  <si>
    <t>LEON CHAVEZ JHON</t>
  </si>
  <si>
    <t>75721588</t>
  </si>
  <si>
    <t>LEON MONTALVAN SOLANGE</t>
  </si>
  <si>
    <t>72609697</t>
  </si>
  <si>
    <t>LINO GIL TAISS</t>
  </si>
  <si>
    <t>47705777</t>
  </si>
  <si>
    <t>LLACSAHUANGA TUANAMA VIVIANA</t>
  </si>
  <si>
    <t>71447587</t>
  </si>
  <si>
    <t>LLAJA ARBILDO GLENDIS</t>
  </si>
  <si>
    <t>ASISTENTE DENTAL</t>
  </si>
  <si>
    <t>42021621</t>
  </si>
  <si>
    <t>LONGA VARGAS NORMA MARTHA.</t>
  </si>
  <si>
    <t>72734532</t>
  </si>
  <si>
    <t>LOPEZ BARDALES MARITZA KATHERINE</t>
  </si>
  <si>
    <t>41009060</t>
  </si>
  <si>
    <t>LOPEZ CHOTA SEGUNDO JONAS</t>
  </si>
  <si>
    <t>47555541</t>
  </si>
  <si>
    <t>LOPEZ GAMBOA LENNIN BRYHAYAR</t>
  </si>
  <si>
    <t>45317724</t>
  </si>
  <si>
    <t>LOPEZ GRANDEZ ROSALIA</t>
  </si>
  <si>
    <t>02383983</t>
  </si>
  <si>
    <t>LOPEZ SAVARINO PAOLA TERESA DEL VALLE</t>
  </si>
  <si>
    <t>48208427</t>
  </si>
  <si>
    <t>LORO AREVALO ALEXANDER</t>
  </si>
  <si>
    <t>47504669</t>
  </si>
  <si>
    <t>LOZANO ANGELINO LUIS ENRIQUE</t>
  </si>
  <si>
    <t>71937652</t>
  </si>
  <si>
    <t>LOZANO DIAZ LYNER</t>
  </si>
  <si>
    <t>42630165</t>
  </si>
  <si>
    <t>LOZANO NUVE JUANITA</t>
  </si>
  <si>
    <t>41540059</t>
  </si>
  <si>
    <t>LOZANO ROMERO MILA</t>
  </si>
  <si>
    <t>70766391</t>
  </si>
  <si>
    <t>MAC DOWALL TUTUSIMA LARRY LOR</t>
  </si>
  <si>
    <t>43220831</t>
  </si>
  <si>
    <t>MACAHUACHI ALVEZ JEHU ALIRIO</t>
  </si>
  <si>
    <t>70747254</t>
  </si>
  <si>
    <t>MACAHUACHI CARDENAS WILDER YOSSIPH</t>
  </si>
  <si>
    <t>44965509</t>
  </si>
  <si>
    <t>MACAHUACHI DIAZ CLEYTON</t>
  </si>
  <si>
    <t>00107238</t>
  </si>
  <si>
    <t>MACEDO GONZALES MONICA</t>
  </si>
  <si>
    <t>76162728</t>
  </si>
  <si>
    <t>MACEDO MORENO WALTER JAVIER</t>
  </si>
  <si>
    <t>61006435</t>
  </si>
  <si>
    <t>MACEDO SANCHEZ GREYSI LUCIA</t>
  </si>
  <si>
    <t>76699830</t>
  </si>
  <si>
    <t>MACEDO VELA SEGUNDO CESAR</t>
  </si>
  <si>
    <t>45750885</t>
  </si>
  <si>
    <t>MACUYAMA ALCA EVA LIZ</t>
  </si>
  <si>
    <t>43800359</t>
  </si>
  <si>
    <t>MAITA VASQUEZ JESSICA JEANETH</t>
  </si>
  <si>
    <t>41886757</t>
  </si>
  <si>
    <t>MALPARTIDA VILLACORTA WICKLER</t>
  </si>
  <si>
    <t>80219073</t>
  </si>
  <si>
    <t>MANIHUARI TAMANI CARLOS</t>
  </si>
  <si>
    <t>75830087</t>
  </si>
  <si>
    <t>MAQUERA RIVAS DIANA CAROLINA</t>
  </si>
  <si>
    <t>70602022</t>
  </si>
  <si>
    <t>MARCHAND GONZALES MARIO MILTON</t>
  </si>
  <si>
    <t>43051356</t>
  </si>
  <si>
    <t>MARCHENA CAMPOS KELLY</t>
  </si>
  <si>
    <t>70467582</t>
  </si>
  <si>
    <t>MARIN CHUQUIZUTA ROYER ARTEMIO</t>
  </si>
  <si>
    <t>76697020</t>
  </si>
  <si>
    <t>MARIN MUÑOZ MIRELIA ISABEL</t>
  </si>
  <si>
    <t>45155412</t>
  </si>
  <si>
    <t>MARIN SISLEY GLENDY MILDRETH</t>
  </si>
  <si>
    <t>48054412</t>
  </si>
  <si>
    <t>MARIN TABA DE TORRES MARIA DEL PILAR</t>
  </si>
  <si>
    <t>76465448</t>
  </si>
  <si>
    <t>MARQUEZ GARCIA FERNANDO NOE</t>
  </si>
  <si>
    <t>43957781</t>
  </si>
  <si>
    <t>MARQUEZ YAHUARCANI MERY ROSA.</t>
  </si>
  <si>
    <t>42085860</t>
  </si>
  <si>
    <t>MARRACHE REATEGUI GINA</t>
  </si>
  <si>
    <t>76693206</t>
  </si>
  <si>
    <t>MARTINEZ DIAZ LESLIES STEFANY</t>
  </si>
  <si>
    <t>47251745</t>
  </si>
  <si>
    <t>MARTINEZ NAVARRO LUIS GILBERT</t>
  </si>
  <si>
    <t>42260163</t>
  </si>
  <si>
    <t>MATHEWS SILVA LEONARD ENRIQUE</t>
  </si>
  <si>
    <t>40907532</t>
  </si>
  <si>
    <t>MATIAS TRAVEZAÑO OSCAR ARTURO</t>
  </si>
  <si>
    <t>75360477</t>
  </si>
  <si>
    <t>MAURICIO GUZMAN JESSILISS BEDITH</t>
  </si>
  <si>
    <t>48217304</t>
  </si>
  <si>
    <t>MENDEZ MARCELO KAREN ELIZABETH</t>
  </si>
  <si>
    <t>48110525</t>
  </si>
  <si>
    <t>MENDEZ TUANAMA JUDITH AMELIA</t>
  </si>
  <si>
    <t>72487884</t>
  </si>
  <si>
    <t>MENDOZA BAUTISTA JESUS</t>
  </si>
  <si>
    <t>71339034</t>
  </si>
  <si>
    <t>MENDOZA MATTA ALCIRA INES</t>
  </si>
  <si>
    <t>46222795</t>
  </si>
  <si>
    <t>MENDOZA MATTA MARCIA</t>
  </si>
  <si>
    <t>46471961</t>
  </si>
  <si>
    <t>MERA RUIZ JHON ARTHUR</t>
  </si>
  <si>
    <t>47187547</t>
  </si>
  <si>
    <t>MEZA GARCIA JONATHAN GABRIEL</t>
  </si>
  <si>
    <t>41567505</t>
  </si>
  <si>
    <t>MEZA MARTEL FIORELLA ALEXANDRA</t>
  </si>
  <si>
    <t>04047133</t>
  </si>
  <si>
    <t>MIRANDA HENRIQUEZ ANA LAURA DEL CARMEN</t>
  </si>
  <si>
    <t>09832899</t>
  </si>
  <si>
    <t>MONARES CHAVEZ SONIA BERTHA</t>
  </si>
  <si>
    <t>46996517</t>
  </si>
  <si>
    <t>MONDALUISA RUIZ OSBEL</t>
  </si>
  <si>
    <t>71023091</t>
  </si>
  <si>
    <t>MONTERO NORIEGA KAREN WENDY</t>
  </si>
  <si>
    <t>21574711</t>
  </si>
  <si>
    <t>MONTEVERDE DAZA OCTAVIO AUGUSTO</t>
  </si>
  <si>
    <t>75802244</t>
  </si>
  <si>
    <t>MORENO HUAMAN MARCO ANTONIO</t>
  </si>
  <si>
    <t>41341627</t>
  </si>
  <si>
    <t>MORI BARDALES CARLOS MARTIN</t>
  </si>
  <si>
    <t>00125541</t>
  </si>
  <si>
    <t>MORI PLAZA DE CACERES MONICA ELIZABETH</t>
  </si>
  <si>
    <t>72707304</t>
  </si>
  <si>
    <t>MORRIS OCHOA MEREDITH INGRITH</t>
  </si>
  <si>
    <t>05347662</t>
  </si>
  <si>
    <t>MOZOMBITE GARCIA CARMEN ROSA</t>
  </si>
  <si>
    <t>42540636</t>
  </si>
  <si>
    <t>MUÑOZ GONZALES CESI JOAN</t>
  </si>
  <si>
    <t>72547071</t>
  </si>
  <si>
    <t>MUÑOZ PINCHI YRAZEMA</t>
  </si>
  <si>
    <t>47504791</t>
  </si>
  <si>
    <t>NACIMENTO PICON LUCY MARILENA.</t>
  </si>
  <si>
    <t>47318812</t>
  </si>
  <si>
    <t>NAPUCHI TAMINCHI KELI ADAINA</t>
  </si>
  <si>
    <t>46680759</t>
  </si>
  <si>
    <t>NARANJOS HUARMIYURI JUAN CARLOS</t>
  </si>
  <si>
    <t>44774071</t>
  </si>
  <si>
    <t>NINAQUISPE AGUIRRE LUISA YUZCELINE</t>
  </si>
  <si>
    <t>40340322</t>
  </si>
  <si>
    <t>NITZUMA RENGIFO JENNY</t>
  </si>
  <si>
    <t>06158579</t>
  </si>
  <si>
    <t>NOREÑA CONCHUCOS ERNESTO NEPTALI</t>
  </si>
  <si>
    <t>40305953</t>
  </si>
  <si>
    <t>OLAYA TAFUR CESAR AUGUSTO</t>
  </si>
  <si>
    <t>43770535</t>
  </si>
  <si>
    <t>OLIVEIRA BARBARAN JHONATHAN</t>
  </si>
  <si>
    <t>40258921</t>
  </si>
  <si>
    <t>OLIVOS BARDALES CHRISTIAN</t>
  </si>
  <si>
    <t>07178134</t>
  </si>
  <si>
    <t>ORTEGA CADENILLAS FIDEL ARCADIO</t>
  </si>
  <si>
    <t>04084809</t>
  </si>
  <si>
    <t>PABLO HUARICANCHA RICARDO</t>
  </si>
  <si>
    <t>44839743</t>
  </si>
  <si>
    <t>PACAYA LAULATE CESAR AUGUSTO</t>
  </si>
  <si>
    <t>47237834</t>
  </si>
  <si>
    <t>PACAYA LAULATE ESTHER</t>
  </si>
  <si>
    <t>73615916</t>
  </si>
  <si>
    <t>PACHECO HERNANDEZ BLANCA</t>
  </si>
  <si>
    <t>71023110</t>
  </si>
  <si>
    <t>PAICO BERNALES PIER FRANCIS</t>
  </si>
  <si>
    <t>74853419</t>
  </si>
  <si>
    <t>PAIMA OJANAMA PIERO</t>
  </si>
  <si>
    <t>46810647</t>
  </si>
  <si>
    <t>PALOMINO GUERRA NOEMI KARIN</t>
  </si>
  <si>
    <t>42988530</t>
  </si>
  <si>
    <t>PANDURO DIAZ KAREN PATRICIA</t>
  </si>
  <si>
    <t>80416395</t>
  </si>
  <si>
    <t>PANDURO GARCIA JOVITA</t>
  </si>
  <si>
    <t>43027914</t>
  </si>
  <si>
    <t>PANDURO PINEDA SILVIA PATRICIA</t>
  </si>
  <si>
    <t>43820628</t>
  </si>
  <si>
    <t>PANDURO PITTA LANDER</t>
  </si>
  <si>
    <t>42945794</t>
  </si>
  <si>
    <t>PANDURO RAMIREZ LIZ CAROL</t>
  </si>
  <si>
    <t>43540736</t>
  </si>
  <si>
    <t>PANDURO ZUMBA ZORINA</t>
  </si>
  <si>
    <t>46930838</t>
  </si>
  <si>
    <t>PAREDES DAVILA DIANA CATERINE</t>
  </si>
  <si>
    <t>73652598</t>
  </si>
  <si>
    <t>PAREDES FLORES RICHARD BEYMER</t>
  </si>
  <si>
    <t>45291427</t>
  </si>
  <si>
    <t>PAREDES HIDALGO LEYDI CONNIG</t>
  </si>
  <si>
    <t>42010871</t>
  </si>
  <si>
    <t>PAREDES INGA MARCOS</t>
  </si>
  <si>
    <t>48020879</t>
  </si>
  <si>
    <t>PAREDES MAS VENUS AMALIA</t>
  </si>
  <si>
    <t>00019700</t>
  </si>
  <si>
    <t>PASQUEL LUNA MIGUEL IVAN</t>
  </si>
  <si>
    <t>41606179</t>
  </si>
  <si>
    <t>PAULINO INGA FREDY CESAR</t>
  </si>
  <si>
    <t>44391251</t>
  </si>
  <si>
    <t>PAZ SOLDAN BONIFACIO JOFFRE</t>
  </si>
  <si>
    <t>44324927</t>
  </si>
  <si>
    <t>PEÑA MOYA FIORELA ANATILA</t>
  </si>
  <si>
    <t>41276165</t>
  </si>
  <si>
    <t>PEÑA RENGIFO JAMES JIM</t>
  </si>
  <si>
    <t>42446276</t>
  </si>
  <si>
    <t>PEREA VASQUEZ JESUS SIMON</t>
  </si>
  <si>
    <t>46560174</t>
  </si>
  <si>
    <t>PEREYRA GORDON JHONATAN ARSENIO</t>
  </si>
  <si>
    <t>00110961</t>
  </si>
  <si>
    <t>PEREYRA ORTIZ KETTY LUZ</t>
  </si>
  <si>
    <t>03573994</t>
  </si>
  <si>
    <t>PEREZ - MIGUEL JOSE</t>
  </si>
  <si>
    <t>44888954</t>
  </si>
  <si>
    <t>PEREZ ALARCON OSMAR DAJAN</t>
  </si>
  <si>
    <t>76259268</t>
  </si>
  <si>
    <t>PEREZ ARCE GREMA DESIREE</t>
  </si>
  <si>
    <t>00126383</t>
  </si>
  <si>
    <t>PEREZ CENEPO SONIA ELENA</t>
  </si>
  <si>
    <t>40763928</t>
  </si>
  <si>
    <t>PEREZ GARCIA JOSE ROLDAN</t>
  </si>
  <si>
    <t>47272749</t>
  </si>
  <si>
    <t>PEREZ HUAZANGA JEAN PIERRE</t>
  </si>
  <si>
    <t>45920464</t>
  </si>
  <si>
    <t>PEREZ MORI FLOR OLINDA</t>
  </si>
  <si>
    <t>00035754</t>
  </si>
  <si>
    <t>PEREZ PINEDO WALTER</t>
  </si>
  <si>
    <t>46206454</t>
  </si>
  <si>
    <t>PEREZ REATEGUI KLAUSS</t>
  </si>
  <si>
    <t>47844426</t>
  </si>
  <si>
    <t>PINEDO CAMPOS MIRTHIA</t>
  </si>
  <si>
    <t>76441658</t>
  </si>
  <si>
    <t>PIÑA PONCE ROYKO WATKIN</t>
  </si>
  <si>
    <t>44062262</t>
  </si>
  <si>
    <t>PIÑEIRO DEL AGUILA POOL ANTHONY</t>
  </si>
  <si>
    <t>41653285</t>
  </si>
  <si>
    <t>PIZANGO HUAMAN MARIA JUANA</t>
  </si>
  <si>
    <t>40750765</t>
  </si>
  <si>
    <t>PIZANGO HUAMAN NARLY MARIA</t>
  </si>
  <si>
    <t>00079689</t>
  </si>
  <si>
    <t>PLAZA MOZOMBITE FRANCISCO</t>
  </si>
  <si>
    <t>02622023</t>
  </si>
  <si>
    <t>POCHE ROJAS THAIS KARINA</t>
  </si>
  <si>
    <t>72479290</t>
  </si>
  <si>
    <t>PUYO CASHU SANDRITA ELIZETH</t>
  </si>
  <si>
    <t>41778280</t>
  </si>
  <si>
    <t>QUEVEDO LOPEZ JOSE ANTONIO</t>
  </si>
  <si>
    <t>42224431</t>
  </si>
  <si>
    <t>RAMIREZ AGUSTIN DELICIA</t>
  </si>
  <si>
    <t>43502063</t>
  </si>
  <si>
    <t>RAMIREZ AGUSTIN DENISSE MERCEDES</t>
  </si>
  <si>
    <t>60832130</t>
  </si>
  <si>
    <t>RAMIREZ FALCON FREDY</t>
  </si>
  <si>
    <t>71098511</t>
  </si>
  <si>
    <t>RAMIREZ SOTO MIRIAM ROXANA</t>
  </si>
  <si>
    <t>43698513</t>
  </si>
  <si>
    <t>RAMIREZ TANANTA ABEL</t>
  </si>
  <si>
    <t>45532084</t>
  </si>
  <si>
    <t>RAMIREZ TANANTA LILIA ESTHER</t>
  </si>
  <si>
    <t>21144752</t>
  </si>
  <si>
    <t>RAMIREZ VELA RAUL DANOVI</t>
  </si>
  <si>
    <t>45741378</t>
  </si>
  <si>
    <t>RAMOS DEL AGUILA KAREN NATIVIDAD</t>
  </si>
  <si>
    <t>46839632</t>
  </si>
  <si>
    <t>REATEGUI MACIEL JENNYFFER PRISCILA</t>
  </si>
  <si>
    <t>72636607</t>
  </si>
  <si>
    <t>REATEGUI PEREZ ZULLY LUCERO</t>
  </si>
  <si>
    <t>74697858</t>
  </si>
  <si>
    <t>RENGIFO CALAMPA NIMIA MERCEDES</t>
  </si>
  <si>
    <t>47187297</t>
  </si>
  <si>
    <t>RENGIFO CHAVEZ DARCY CAROLINA</t>
  </si>
  <si>
    <t>00007521</t>
  </si>
  <si>
    <t>RENGIFO DE MELENDEZ MILAGROS</t>
  </si>
  <si>
    <t>00157032</t>
  </si>
  <si>
    <t>RENGIFO EYZAGUIRRE CLAY FERNANDO</t>
  </si>
  <si>
    <t>73784220</t>
  </si>
  <si>
    <t>RENGIFO GARCIA MYA GRACE</t>
  </si>
  <si>
    <t>07403435</t>
  </si>
  <si>
    <t>RENGIFO LAULATE CLEYRA</t>
  </si>
  <si>
    <t>45120472</t>
  </si>
  <si>
    <t>RENGIFO MACEDO NEIL ANISTRONG</t>
  </si>
  <si>
    <t>00129151</t>
  </si>
  <si>
    <t>RENGIFO MELENDEZ JANINA LIZETH</t>
  </si>
  <si>
    <t>72904695</t>
  </si>
  <si>
    <t>REYES LAUREL ESTEPHANIA</t>
  </si>
  <si>
    <t>47124266</t>
  </si>
  <si>
    <t>REYES PANDURO ARTHUR EMELY</t>
  </si>
  <si>
    <t>71048340</t>
  </si>
  <si>
    <t>RIMACHI IZQUIERDO YELTSIN IRENE</t>
  </si>
  <si>
    <t>62319935</t>
  </si>
  <si>
    <t>RIOS CABALLERO JEAN CLAUDIO</t>
  </si>
  <si>
    <t>44742390</t>
  </si>
  <si>
    <t>RIOS LOPEZ DE GRANDEZ LUZ ESTRELLA</t>
  </si>
  <si>
    <t>00087010</t>
  </si>
  <si>
    <t>RIOS LOZANO ROBER</t>
  </si>
  <si>
    <t>70801279</t>
  </si>
  <si>
    <t>RIOS MORENO JHONIL RIDER</t>
  </si>
  <si>
    <t>46547169</t>
  </si>
  <si>
    <t>RIOS OROZCO SARA</t>
  </si>
  <si>
    <t>71317254</t>
  </si>
  <si>
    <t>RIOS VEGA ERVIN BRIAN</t>
  </si>
  <si>
    <t>72556466</t>
  </si>
  <si>
    <t>RIOS ZEVALLOS NELLY MERCEDES</t>
  </si>
  <si>
    <t>45313195</t>
  </si>
  <si>
    <t>RIVAS SALLES IRMA VICTORIA</t>
  </si>
  <si>
    <t>44986980</t>
  </si>
  <si>
    <t>RIVAS VELAYARCE JOSE</t>
  </si>
  <si>
    <t>46503201</t>
  </si>
  <si>
    <t>RIVERA BUSTAMANTE NESTOR EDUARDO</t>
  </si>
  <si>
    <t>72485187</t>
  </si>
  <si>
    <t>RIVERA PEREA STEFFANY PAOLA</t>
  </si>
  <si>
    <t>44875145</t>
  </si>
  <si>
    <t>ROCA MAYORA JOSE MARIA</t>
  </si>
  <si>
    <t>46326204</t>
  </si>
  <si>
    <t>RODAS HORNA ROBERT</t>
  </si>
  <si>
    <t>00124494</t>
  </si>
  <si>
    <t>RODRIGUEZ AREVALO MABEL</t>
  </si>
  <si>
    <t>40522515</t>
  </si>
  <si>
    <t>RODRIGUEZ GARCIA MISLIN</t>
  </si>
  <si>
    <t>03344640</t>
  </si>
  <si>
    <t>RODRIGUEZ GIMENEZ YOLEIDA JOSEFINA</t>
  </si>
  <si>
    <t>45870246</t>
  </si>
  <si>
    <t>RODRIGUEZ GUERRA INGRID MERCEDES</t>
  </si>
  <si>
    <t>46721142</t>
  </si>
  <si>
    <t>RODRIGUEZ KATAYAMA ALBER NICOLAS</t>
  </si>
  <si>
    <t>77222377</t>
  </si>
  <si>
    <t>RODRIGUEZ NIETO SHARON NAHOMY</t>
  </si>
  <si>
    <t>00101937</t>
  </si>
  <si>
    <t>RODRIGUEZ PEREZ LAURA MARITZA</t>
  </si>
  <si>
    <t>72861201</t>
  </si>
  <si>
    <t>RODRIGUEZ VELA KHARLEN KATHELEEN</t>
  </si>
  <si>
    <t>71565220</t>
  </si>
  <si>
    <t>ROJAS ESPINOZA BENELLY SHIRLY</t>
  </si>
  <si>
    <t>46120694</t>
  </si>
  <si>
    <t>ROJAS MONTES NEIL</t>
  </si>
  <si>
    <t>45751555</t>
  </si>
  <si>
    <t>ROJAS RODRIGUEZ KARLITA VANNESSA</t>
  </si>
  <si>
    <t>45026439</t>
  </si>
  <si>
    <t>ROMANI ROJAS FRANZ VLADIMIR</t>
  </si>
  <si>
    <t>21146536</t>
  </si>
  <si>
    <t>RUCOBA TORRES LAURA LUZ</t>
  </si>
  <si>
    <t>43391315</t>
  </si>
  <si>
    <t>RUIZ ALVARADO CHRISTIAN ANDRES</t>
  </si>
  <si>
    <t>41607988</t>
  </si>
  <si>
    <t>RUIZ LUNA DANNY</t>
  </si>
  <si>
    <t>43646015</t>
  </si>
  <si>
    <t>SAAVEDRA CHUQUIPIONDO ELBER ALAN</t>
  </si>
  <si>
    <t>43098307</t>
  </si>
  <si>
    <t>SABOYA ALVARADO LOISITH SIMITH</t>
  </si>
  <si>
    <t>72132002</t>
  </si>
  <si>
    <t>SABOYA VASQUEZ TERESA DE JESUS</t>
  </si>
  <si>
    <t>09778332</t>
  </si>
  <si>
    <t>SAJAMI SORIA CARLOS ALBERTO</t>
  </si>
  <si>
    <t>40844089</t>
  </si>
  <si>
    <t>SALAZAR HUANIO MARLO</t>
  </si>
  <si>
    <t>47363131</t>
  </si>
  <si>
    <t>SALDAÑA FLORES FIORELLA ASTRID</t>
  </si>
  <si>
    <t>42825877</t>
  </si>
  <si>
    <t>SALDAÑA INUMA ELIANA MARIBEL</t>
  </si>
  <si>
    <t>45212654</t>
  </si>
  <si>
    <t>SALDAÑA RAMIREZ BETSY JULIANA</t>
  </si>
  <si>
    <t>74069241</t>
  </si>
  <si>
    <t>SANCHEZ ALFARO SHAYURI ESTEFANI</t>
  </si>
  <si>
    <t>46976224</t>
  </si>
  <si>
    <t>SANCHEZ CENTENO LUCIA ELENA.</t>
  </si>
  <si>
    <t>72202076</t>
  </si>
  <si>
    <t>SANCHEZ CHOTA HELLEN KAROLAY</t>
  </si>
  <si>
    <t>41418206</t>
  </si>
  <si>
    <t>SANCHEZ DE SOUZA DAXIER ANGEL</t>
  </si>
  <si>
    <t>43759785</t>
  </si>
  <si>
    <t>SANCHEZ MANANITA EMILDA RAQUEL</t>
  </si>
  <si>
    <t>21143571</t>
  </si>
  <si>
    <t>SANCHEZ VASQUEZ NIDIA</t>
  </si>
  <si>
    <t>00116930</t>
  </si>
  <si>
    <t>SANGAMA QUINTEROS KATTY</t>
  </si>
  <si>
    <t>45641682</t>
  </si>
  <si>
    <t>SANGAMA VENANCINO ZENITH</t>
  </si>
  <si>
    <t>48171388</t>
  </si>
  <si>
    <t>SANTA CRUZ ACHIN PATTY YERALDIN</t>
  </si>
  <si>
    <t>00110331</t>
  </si>
  <si>
    <t>SATALAYA AREVALO ELIZABETH</t>
  </si>
  <si>
    <t>76730261</t>
  </si>
  <si>
    <t>SAURINO MORENO SINDY</t>
  </si>
  <si>
    <t>44486417</t>
  </si>
  <si>
    <t>SHAHUANO CHUJUTALLI PAULITA ROSAURA</t>
  </si>
  <si>
    <t>42385173</t>
  </si>
  <si>
    <t>SHAPIAMA PRADA JOAO</t>
  </si>
  <si>
    <t>00181850</t>
  </si>
  <si>
    <t>SHICA SANCHEZ ANTERO</t>
  </si>
  <si>
    <t>00023871</t>
  </si>
  <si>
    <t>SHUÑA TAPULLIMA JULIO</t>
  </si>
  <si>
    <t>72368282</t>
  </si>
  <si>
    <t>SILVA MACEDO LELIS FERNANDO</t>
  </si>
  <si>
    <t>73706887</t>
  </si>
  <si>
    <t>SILVA TELLO JHON JHOSEP</t>
  </si>
  <si>
    <t>44235978</t>
  </si>
  <si>
    <t>SILVA VELA CHRISTOPHER</t>
  </si>
  <si>
    <t>41877212</t>
  </si>
  <si>
    <t>SIMON BAZAN CARMEN ESTHER</t>
  </si>
  <si>
    <t>76545460</t>
  </si>
  <si>
    <t>SINUIRE RODRIGUEZ DIONICIO</t>
  </si>
  <si>
    <t>00128333</t>
  </si>
  <si>
    <t>SINUIRI PANDURO EVALINA</t>
  </si>
  <si>
    <t>42202359</t>
  </si>
  <si>
    <t>SOLANO SHUÑA ROSA ANA</t>
  </si>
  <si>
    <t>73118562</t>
  </si>
  <si>
    <t>SORIA GARCIA ELIZABETH</t>
  </si>
  <si>
    <t>75610220</t>
  </si>
  <si>
    <t>SOZA HIDALGO MANUEL ALFREDO</t>
  </si>
  <si>
    <t>48473085</t>
  </si>
  <si>
    <t>SUAREZ IDROGO DEANNE KAROL</t>
  </si>
  <si>
    <t>00076403</t>
  </si>
  <si>
    <t>SUAREZ OROCHE JAIME JAVIER</t>
  </si>
  <si>
    <t>76316383</t>
  </si>
  <si>
    <t>SUAREZ VALLES MILADY</t>
  </si>
  <si>
    <t>48560719</t>
  </si>
  <si>
    <t>SUMARAN AQUINO YANETH</t>
  </si>
  <si>
    <t>72909773</t>
  </si>
  <si>
    <t>TACUCHI LOPEZ JUAN FRANCISCO</t>
  </si>
  <si>
    <t>75349107</t>
  </si>
  <si>
    <t>TAFUR SALDAÑA AMBAR MISHEL</t>
  </si>
  <si>
    <t>40826382</t>
  </si>
  <si>
    <t>TALEPCIO ROMERO ROY</t>
  </si>
  <si>
    <t>42194470</t>
  </si>
  <si>
    <t>TAPIA PEREZ ALBINO.</t>
  </si>
  <si>
    <t>45518073</t>
  </si>
  <si>
    <t>TAPULLIMA PONCE JHORBIL</t>
  </si>
  <si>
    <t>00109870</t>
  </si>
  <si>
    <t>TARICUARIMA LLERENA JUAN</t>
  </si>
  <si>
    <t>42352977</t>
  </si>
  <si>
    <t>TARICUARIMA PEREZ CAROLINA</t>
  </si>
  <si>
    <t>00118156</t>
  </si>
  <si>
    <t>TELLO GARCIA JAIME ROGER</t>
  </si>
  <si>
    <t>46369332</t>
  </si>
  <si>
    <t>TELLO SARMIENTO GERALD JOTWANI</t>
  </si>
  <si>
    <t>42937711</t>
  </si>
  <si>
    <t>TINEO ISLA ZIMI ZARINA</t>
  </si>
  <si>
    <t>46449130</t>
  </si>
  <si>
    <t>TIPA RODRIGUEZ MARVIN</t>
  </si>
  <si>
    <t>44681379</t>
  </si>
  <si>
    <t>TORIBIO FAUSTINO DANIEL</t>
  </si>
  <si>
    <t>00084546</t>
  </si>
  <si>
    <t>TORREJON PAREDES TONY</t>
  </si>
  <si>
    <t>44116058</t>
  </si>
  <si>
    <t>TORRES CACERES JOHN CHARLES</t>
  </si>
  <si>
    <t>71012195</t>
  </si>
  <si>
    <t>TORRES GARCIA RODERICK DANIEL</t>
  </si>
  <si>
    <t>43978690</t>
  </si>
  <si>
    <t>TORRES NAVARRO MANUEL SMITH</t>
  </si>
  <si>
    <t>77706500</t>
  </si>
  <si>
    <t>TRAUCO MORALES CLAUDIA VANESSA</t>
  </si>
  <si>
    <t>72675321</t>
  </si>
  <si>
    <t>TRUJILLO ALVARADO VIVIANHI KATERINA</t>
  </si>
  <si>
    <t>45576261</t>
  </si>
  <si>
    <t>TUCTO AMBROSIO FLOR MARIELA</t>
  </si>
  <si>
    <t>45627000</t>
  </si>
  <si>
    <t>TUNJAR RODRIGUEZ ANA MARIA</t>
  </si>
  <si>
    <t>04081239</t>
  </si>
  <si>
    <t>UGARTE ROJAS ALFONSO ROBERTO</t>
  </si>
  <si>
    <t>61872415</t>
  </si>
  <si>
    <t>URQUIA MURAYARI KAREN</t>
  </si>
  <si>
    <t>05252251</t>
  </si>
  <si>
    <t>USHIÑAHUA BARTRA DARVIN</t>
  </si>
  <si>
    <t>45982685</t>
  </si>
  <si>
    <t>USHÑAHUA DEGREGORI CLAUDIA ZANELLI</t>
  </si>
  <si>
    <t>47187529</t>
  </si>
  <si>
    <t>VALDERRAMA MONZON NOEMI.</t>
  </si>
  <si>
    <t>00090947</t>
  </si>
  <si>
    <t>VALERA BRITO PABLO</t>
  </si>
  <si>
    <t>75933327</t>
  </si>
  <si>
    <t>VALERA FLORES DORIS DEY</t>
  </si>
  <si>
    <t>70659906</t>
  </si>
  <si>
    <t>VALERA GARCIA KATTYA ELIZABETH</t>
  </si>
  <si>
    <t>70938782</t>
  </si>
  <si>
    <t>VALERO GARCIA PRISCILLA CORINNE</t>
  </si>
  <si>
    <t>41196172</t>
  </si>
  <si>
    <t>VALLES OLIVEYRA WILDER</t>
  </si>
  <si>
    <t>41586950</t>
  </si>
  <si>
    <t>VARGAS ARRIETA JUSTINIANO</t>
  </si>
  <si>
    <t>42642319</t>
  </si>
  <si>
    <t>VARGAS LINARES MARIA VERONICA</t>
  </si>
  <si>
    <t>46426050</t>
  </si>
  <si>
    <t>VARGAS PANDURO DE DAVILA MIRIAM IVONNE</t>
  </si>
  <si>
    <t>74410977</t>
  </si>
  <si>
    <t>VASQUEZ ALTAMIRANO DILMA</t>
  </si>
  <si>
    <t>72786507</t>
  </si>
  <si>
    <t>VASQUEZ FLORES ISAMAR GIOVANA</t>
  </si>
  <si>
    <t>48254693</t>
  </si>
  <si>
    <t>VASQUEZ SANCHEZ ARASELY</t>
  </si>
  <si>
    <t>46909593</t>
  </si>
  <si>
    <t>VEGA ROMERO CESAR</t>
  </si>
  <si>
    <t>44072551</t>
  </si>
  <si>
    <t>VELA SANDOVAL MARITA</t>
  </si>
  <si>
    <t>41564709</t>
  </si>
  <si>
    <t>VELA SHEPUTT MISLY KAREN</t>
  </si>
  <si>
    <t>42932312</t>
  </si>
  <si>
    <t>VELARDE ESTRELLA ALAN BORIS</t>
  </si>
  <si>
    <t>00115910</t>
  </si>
  <si>
    <t>VELASQUEZ LLERENA ELVIRA MERCEDES</t>
  </si>
  <si>
    <t>48237884</t>
  </si>
  <si>
    <t>VIENA GONZALES GLORIA</t>
  </si>
  <si>
    <t>44952098</t>
  </si>
  <si>
    <t>VILLALOBOS CAHUAZA IRIS VANESSA</t>
  </si>
  <si>
    <t>48265714</t>
  </si>
  <si>
    <t>VILLAVERDE OCMIN MAURO</t>
  </si>
  <si>
    <t>71060088</t>
  </si>
  <si>
    <t>WONG ASPAJO TRICIAN ELVIRA</t>
  </si>
  <si>
    <t>76298211</t>
  </si>
  <si>
    <t>YAMUNAQUE CASTRO LUIS ANTONIO</t>
  </si>
  <si>
    <t>21141138</t>
  </si>
  <si>
    <t>YAYCATE GUELLI DE TUANAMA MARILIN</t>
  </si>
  <si>
    <t>76318596</t>
  </si>
  <si>
    <t>YCAHUATE TAPULLIMA RENZO</t>
  </si>
  <si>
    <t>09739518</t>
  </si>
  <si>
    <t>YCOCHEA VALDEZ JUDITH MIRTHA</t>
  </si>
  <si>
    <t>72907150</t>
  </si>
  <si>
    <t>ZAGACETA ROJAS ALEXANDRA</t>
  </si>
  <si>
    <t>45836884</t>
  </si>
  <si>
    <t>ZEGARRA REATEGUI JOSH GILBERTO</t>
  </si>
  <si>
    <t>42673650</t>
  </si>
  <si>
    <t>ZEVALLOS RIOS ANGEL AUGUSTO</t>
  </si>
  <si>
    <t>44845420</t>
  </si>
  <si>
    <t>ZORRILLA VARGAS KAREN FIORELLA</t>
  </si>
  <si>
    <t>80050384</t>
  </si>
  <si>
    <t>ZUÑIGA HUARICAPCHA ANY</t>
  </si>
  <si>
    <t>CAS - COVID - P.INDIG.</t>
  </si>
  <si>
    <t>42700846</t>
  </si>
  <si>
    <t>ACOSTA TORRES LUCY</t>
  </si>
  <si>
    <t>71053087</t>
  </si>
  <si>
    <t>BRIONES SHUPINGAHUA NURIA</t>
  </si>
  <si>
    <t>48194730</t>
  </si>
  <si>
    <t>CARRION ZAVALA PAMELA LIZBETH</t>
  </si>
  <si>
    <t>43586413</t>
  </si>
  <si>
    <t>FLORES GONZALES JHANINA ARITA</t>
  </si>
  <si>
    <t>46199800</t>
  </si>
  <si>
    <t>IDELFONSO SANCHEZ KATIA ELIANA</t>
  </si>
  <si>
    <t>05957404</t>
  </si>
  <si>
    <t>PIÑA VILLACREZ ARIELA</t>
  </si>
  <si>
    <t>42024177</t>
  </si>
  <si>
    <t>SAAVEDRA VASQUEZ NANCY</t>
  </si>
  <si>
    <t>74377622</t>
  </si>
  <si>
    <t>SATALAYA TUANAMA RUTH</t>
  </si>
  <si>
    <t>401- HOSPITAL REGIONAL DE PUCALLPA</t>
  </si>
  <si>
    <t>42510528</t>
  </si>
  <si>
    <t>IRARICA MACAHUACHI MARILYN LUZ</t>
  </si>
  <si>
    <t>71053223</t>
  </si>
  <si>
    <t>SALAS MACEDO KEMY JOHANA</t>
  </si>
  <si>
    <t>00098004</t>
  </si>
  <si>
    <t>USAQUI BARBARAN EDWARD</t>
  </si>
  <si>
    <t>00082571</t>
  </si>
  <si>
    <t>DONAYRE GUERRERO SANTIAGO</t>
  </si>
  <si>
    <t>00127083</t>
  </si>
  <si>
    <t>ZAMORA ACHO IDELSO</t>
  </si>
  <si>
    <t>46164663</t>
  </si>
  <si>
    <t>TUESTA GRATELLY BRANCO</t>
  </si>
  <si>
    <t>70810529</t>
  </si>
  <si>
    <t>BERNALES FLORES KATERIN JAHAYRA</t>
  </si>
  <si>
    <t>45878194</t>
  </si>
  <si>
    <t>AGUIRRE LOPEZ VICTOR RAUL</t>
  </si>
  <si>
    <t>00117668</t>
  </si>
  <si>
    <t>SABINO AREVALO CARLOS HUGO</t>
  </si>
  <si>
    <t>73218606</t>
  </si>
  <si>
    <t>AVILA MUÑOZ FAVIO ANTHONY</t>
  </si>
  <si>
    <t>TEC. ADMINISTRACIÓN</t>
  </si>
  <si>
    <t>TITULO TECNICO</t>
  </si>
  <si>
    <t>44442248</t>
  </si>
  <si>
    <t>AZPUR PALOMINO WILDER</t>
  </si>
  <si>
    <t>43901155</t>
  </si>
  <si>
    <t>BARDALES USHIÑAHUA HELEN KAREN</t>
  </si>
  <si>
    <t>BACH, CONTABILIDAD</t>
  </si>
  <si>
    <t>45005017</t>
  </si>
  <si>
    <t>DIAZ MENDOZA MARIELL LEYSSI</t>
  </si>
  <si>
    <t>TEC. EN COMPUTACIÓN</t>
  </si>
  <si>
    <t>72467142</t>
  </si>
  <si>
    <t>EGOAVIL RENGIFO BERTHA</t>
  </si>
  <si>
    <t>42397209</t>
  </si>
  <si>
    <t>GOMEZ SORIA EDER WILLIAM</t>
  </si>
  <si>
    <t>TEC. LABORATORIO</t>
  </si>
  <si>
    <t>47064797</t>
  </si>
  <si>
    <t>JARA HUAYNACARI JENNY SOFIA</t>
  </si>
  <si>
    <t>46820690</t>
  </si>
  <si>
    <t>LAO LOBO LUCIA ELISA</t>
  </si>
  <si>
    <t>00016518</t>
  </si>
  <si>
    <t>LIMA CARDENAS HUGO ARTURO</t>
  </si>
  <si>
    <t>00106245</t>
  </si>
  <si>
    <t>LLACSAHUACHE SIERRA ROSA ELENA</t>
  </si>
  <si>
    <t>44750565</t>
  </si>
  <si>
    <t>MEJIA MACEDO HENRY WALTER</t>
  </si>
  <si>
    <t>71564552</t>
  </si>
  <si>
    <t>PECHO PANDURO BILDA ALEJANDRA</t>
  </si>
  <si>
    <t>40374141</t>
  </si>
  <si>
    <t>PEREZ NAVARRO LUZ ELITA</t>
  </si>
  <si>
    <t>46575536</t>
  </si>
  <si>
    <t>PEREZ VASQUEZ YASSER OMAR</t>
  </si>
  <si>
    <t>76390072</t>
  </si>
  <si>
    <t>PEZO RENGIFO MANUELA BEATRIZ</t>
  </si>
  <si>
    <t>BACH. ABOGACIA</t>
  </si>
  <si>
    <t>71650165</t>
  </si>
  <si>
    <t>RAYMUNDO SIFUENTES DEMBERLY</t>
  </si>
  <si>
    <t>71043171</t>
  </si>
  <si>
    <t>RIVERA FLORES CARLOS ANDRE</t>
  </si>
  <si>
    <t>70801447</t>
  </si>
  <si>
    <t>RODRIGUEZ SALDAÑA MIREYHA SARHAY</t>
  </si>
  <si>
    <t>72838463</t>
  </si>
  <si>
    <t>SALAS CHUQUIPIONDO SULENCA JAZMIN</t>
  </si>
  <si>
    <t>43305444</t>
  </si>
  <si>
    <t>SALAZAR CHAVEZ KAROL VIVIANA</t>
  </si>
  <si>
    <t>EGRE. ADMINISTRACIÓN</t>
  </si>
  <si>
    <t>43847137</t>
  </si>
  <si>
    <t>SALDAÑA PANDURO MAEN SEDALI</t>
  </si>
  <si>
    <t>43781805</t>
  </si>
  <si>
    <t>SILVA DAVILA DAVID</t>
  </si>
  <si>
    <t>00020178</t>
  </si>
  <si>
    <t>SORIA RAMIREZ TERESITA DE JESUS</t>
  </si>
  <si>
    <t>00091863</t>
  </si>
  <si>
    <t>TUANAMA CACHIQUE NELSON</t>
  </si>
  <si>
    <t>44119600</t>
  </si>
  <si>
    <t>VARGAS MEZA CARLOS ANTONIO</t>
  </si>
  <si>
    <t>41391510</t>
  </si>
  <si>
    <t>VELA GARCIA BORIS ALEJANDRO</t>
  </si>
  <si>
    <t>41448178</t>
  </si>
  <si>
    <t>VILLANUEVA RENGIFO ANA</t>
  </si>
  <si>
    <t>47316195</t>
  </si>
  <si>
    <t>GRANDEZ MORI SAULO JOEL</t>
  </si>
  <si>
    <t>42130233</t>
  </si>
  <si>
    <t>BOCANEGRA CHUMBE MARIBE</t>
  </si>
  <si>
    <t>TEC.FARMACIA</t>
  </si>
  <si>
    <t>00126803</t>
  </si>
  <si>
    <t>RENGIFO PIZARRO MARIELA</t>
  </si>
  <si>
    <t>ORIENTADOR</t>
  </si>
  <si>
    <t>00040351</t>
  </si>
  <si>
    <t>VENANCINO YPUSHIMA DANIEL</t>
  </si>
  <si>
    <t>21142437</t>
  </si>
  <si>
    <t>GUZMAN GUZMAN TEDDY</t>
  </si>
  <si>
    <t>40901308</t>
  </si>
  <si>
    <t>BECERRA VIENA DEYVIS</t>
  </si>
  <si>
    <t>80433004</t>
  </si>
  <si>
    <t>IZQUIERDO VARGAS MARIBEL</t>
  </si>
  <si>
    <t>47975849</t>
  </si>
  <si>
    <t>LOPEZ TAPULLIMA ABIGAIL</t>
  </si>
  <si>
    <t>70112899</t>
  </si>
  <si>
    <t>MORRIS LARRAÑAGA PRISCILLA ANTUANET</t>
  </si>
  <si>
    <t>41693618</t>
  </si>
  <si>
    <t>ORELLANA RENGIFO PAOLA ESTEFANIA</t>
  </si>
  <si>
    <t>07643684</t>
  </si>
  <si>
    <t>PAREDES LOPEZ JANNYE</t>
  </si>
  <si>
    <t>77471664</t>
  </si>
  <si>
    <t>PAUCAR CALAMPA GINA LUZ</t>
  </si>
  <si>
    <t>47173664</t>
  </si>
  <si>
    <t>VASQUEZ MORENO IVELTH MAURICIA</t>
  </si>
  <si>
    <t>47108677</t>
  </si>
  <si>
    <t>VELA DIAZ RUDY XIMENA</t>
  </si>
  <si>
    <t>44719858</t>
  </si>
  <si>
    <t>CHAVEZ SHUÑA LORENA</t>
  </si>
  <si>
    <t>45629481</t>
  </si>
  <si>
    <t>FERNANDEZ MELENDEZ CLAUDIO PAOLO MARTIN</t>
  </si>
  <si>
    <t>42797222</t>
  </si>
  <si>
    <t>SOLANO VASQUEZ ERIKA</t>
  </si>
  <si>
    <t>05935868</t>
  </si>
  <si>
    <t>PACAYA VELA GLORIA MERCEDES</t>
  </si>
  <si>
    <t>74227278</t>
  </si>
  <si>
    <t>DEVIA RUIZ YSRAEL JONATAN</t>
  </si>
  <si>
    <t>47336179</t>
  </si>
  <si>
    <t>LLERENA YAY KEVIN</t>
  </si>
  <si>
    <t>72370812</t>
  </si>
  <si>
    <t>OLLAIS GUZMAN KEVIN ROBERTH</t>
  </si>
  <si>
    <t>45149423</t>
  </si>
  <si>
    <t>PEREA TAFUR CINDY YURICO</t>
  </si>
  <si>
    <t>41710546</t>
  </si>
  <si>
    <t>PEZO YOUNG ANA ROSALMIRA</t>
  </si>
  <si>
    <t>40250515</t>
  </si>
  <si>
    <t>QUIROZ VASQUEZ RONALD</t>
  </si>
  <si>
    <t>00110225</t>
  </si>
  <si>
    <t>REYNA VASQUEZ BRATT</t>
  </si>
  <si>
    <t>00111731</t>
  </si>
  <si>
    <t>SANDOVAL DOMINGUEZ MERY EDITH</t>
  </si>
  <si>
    <t>47414333</t>
  </si>
  <si>
    <t>SORIA PARANA LILIANA</t>
  </si>
  <si>
    <t>47648067</t>
  </si>
  <si>
    <t>USHÑAHUA DEGREGORI CHARLES GERHARD</t>
  </si>
  <si>
    <t>44060241</t>
  </si>
  <si>
    <t>AREVALO PEÑAHERRERA CINTHIA JULIANA</t>
  </si>
  <si>
    <t>72304528</t>
  </si>
  <si>
    <t>BARDALES CHAVEZ ELKANA NICOLLE</t>
  </si>
  <si>
    <t>10561064</t>
  </si>
  <si>
    <t>BONILLA RODRIGUEZ FLOR CECILIA</t>
  </si>
  <si>
    <t>71020153</t>
  </si>
  <si>
    <t>CALVO CASTILLO BRAYAN SMITH</t>
  </si>
  <si>
    <t>46207345</t>
  </si>
  <si>
    <t>CARDENAS ESPINOZA ROSAURA</t>
  </si>
  <si>
    <t>00113007</t>
  </si>
  <si>
    <t>ESTRELLA BRAVO YONNY FRANCISCO</t>
  </si>
  <si>
    <t>45824745</t>
  </si>
  <si>
    <t>FERREYRA MERA KATHERINE VALERIA</t>
  </si>
  <si>
    <t>22487806</t>
  </si>
  <si>
    <t>GONZALES TARAZONA LUZ HERMILA</t>
  </si>
  <si>
    <t>41820197</t>
  </si>
  <si>
    <t>MANCISIDOR CAUPER GIOVANA</t>
  </si>
  <si>
    <t>04451725</t>
  </si>
  <si>
    <t>MARCHAN ARIAS ROSA MARIA</t>
  </si>
  <si>
    <t>70231209</t>
  </si>
  <si>
    <t>MAYTA LAGOS KATIUSKA DEL PILAR</t>
  </si>
  <si>
    <t>03968963</t>
  </si>
  <si>
    <t>MONROE . YUCELIA DEL CARMEN</t>
  </si>
  <si>
    <t>44687092</t>
  </si>
  <si>
    <t>PALOMO LEON GUEYBI</t>
  </si>
  <si>
    <t>43752978</t>
  </si>
  <si>
    <t>PINEDO CARDENAS DANISA JULIANE</t>
  </si>
  <si>
    <t>72162833</t>
  </si>
  <si>
    <t>PRIETO BARDALES KRISLEY MADRID</t>
  </si>
  <si>
    <t>41755508</t>
  </si>
  <si>
    <t>REATEGUI PAUCAR PAOLO CESAR</t>
  </si>
  <si>
    <t>44405491</t>
  </si>
  <si>
    <t>ROJAS DAZA JOE DABNY</t>
  </si>
  <si>
    <t>46078124</t>
  </si>
  <si>
    <t>RUIZ CARDENAS VICTORIA ELIZABETH</t>
  </si>
  <si>
    <t>44383159</t>
  </si>
  <si>
    <t>SALLES ROJAS MERCY KARINA</t>
  </si>
  <si>
    <t>72497447</t>
  </si>
  <si>
    <t>VELA JAVE ANA LUISA</t>
  </si>
  <si>
    <t>70801458</t>
  </si>
  <si>
    <t>FLORES SIFUENTES CRISTIAN JEFERSON</t>
  </si>
  <si>
    <t>76126871</t>
  </si>
  <si>
    <t>JUAREZ JUAREZ PAULINA ALILI</t>
  </si>
  <si>
    <t>47497708</t>
  </si>
  <si>
    <t>CARDENAS PORTOCARRERO JENNY</t>
  </si>
  <si>
    <t>73017216</t>
  </si>
  <si>
    <t>NACIMENTO RUIZ NARDA LUCIA</t>
  </si>
  <si>
    <t>46582082</t>
  </si>
  <si>
    <t>SALDAÑA SOUZA SELENE</t>
  </si>
  <si>
    <t>46868990</t>
  </si>
  <si>
    <t>SUAREZ SANTA CRUZ DANIEL</t>
  </si>
  <si>
    <t>44774567</t>
  </si>
  <si>
    <t>YEPEZ RIMARI SADITH ERLITA</t>
  </si>
  <si>
    <t>70987132</t>
  </si>
  <si>
    <t>ESPINOZA BAZAN VINER LIMBER</t>
  </si>
  <si>
    <t>44148541</t>
  </si>
  <si>
    <t>AREVALO CARRERA FRANCO ORLANDO</t>
  </si>
  <si>
    <t>40491040</t>
  </si>
  <si>
    <t>BARDALES AREVALO JANDER</t>
  </si>
  <si>
    <t>10381822</t>
  </si>
  <si>
    <t>CAMPOS PEZO EDGARDO HUSSEIN</t>
  </si>
  <si>
    <t>46641218</t>
  </si>
  <si>
    <t>CARRION ZAVALA CINTHYA MELISSA</t>
  </si>
  <si>
    <t>42878718</t>
  </si>
  <si>
    <t>CHOTA RIOS VICTOR JOEL</t>
  </si>
  <si>
    <t>49018272</t>
  </si>
  <si>
    <t>ESPINOZA LAMBERTINI DE ESTRADA PATRICIA CAROL</t>
  </si>
  <si>
    <t>00124886</t>
  </si>
  <si>
    <t>FLORES DA SILVA ERWIN</t>
  </si>
  <si>
    <t>42276304</t>
  </si>
  <si>
    <t>HUAYLINOS PANDURO ANTONIO</t>
  </si>
  <si>
    <t>40010993</t>
  </si>
  <si>
    <t>MELGAREJO MORON OSCAR RODRIGO</t>
  </si>
  <si>
    <t>40681495</t>
  </si>
  <si>
    <t>MORENO BOCANEGRA JOHN CLARK</t>
  </si>
  <si>
    <t>40195662</t>
  </si>
  <si>
    <t>SANDOVAL MENDOZA GASTON ALBERTO</t>
  </si>
  <si>
    <t>00105043</t>
  </si>
  <si>
    <t>SCHARFF GUEVARA LUIS FERNANDO</t>
  </si>
  <si>
    <t>42615622</t>
  </si>
  <si>
    <t>ZURITA DIAZ JULIANA ROCIO</t>
  </si>
  <si>
    <t>43807035</t>
  </si>
  <si>
    <t>GUTIERREZ QUISPE ANDY GABRIEL</t>
  </si>
  <si>
    <t>41511977</t>
  </si>
  <si>
    <t>CASTRO ARMAS NANCY LUZMILA</t>
  </si>
  <si>
    <t>00029657</t>
  </si>
  <si>
    <t>GARCIA TORRES ELWIN</t>
  </si>
  <si>
    <t>06695039</t>
  </si>
  <si>
    <t>MITIDIERI GARCIA RONALD ALBERTO</t>
  </si>
  <si>
    <t>45827688</t>
  </si>
  <si>
    <t>AREVALO PEREZ PABLO NOEL</t>
  </si>
  <si>
    <t>71447672</t>
  </si>
  <si>
    <t>BLAS GUTIERREZ DIANA LIZ</t>
  </si>
  <si>
    <t>45433249</t>
  </si>
  <si>
    <t>CHUQUIPIONDO PINCHI PAUL</t>
  </si>
  <si>
    <t>41657300</t>
  </si>
  <si>
    <t>LEON ROQUE GIANCARLO NICOLAY</t>
  </si>
  <si>
    <t>45275375</t>
  </si>
  <si>
    <t>MENDEZ NAVARRO ANGIE PAMELA</t>
  </si>
  <si>
    <t>46290971</t>
  </si>
  <si>
    <t>PAREDES MESTANZA LILIANA LUISA</t>
  </si>
  <si>
    <t>45554834</t>
  </si>
  <si>
    <t>RAMIREZ GONZALES DIANA SUMY</t>
  </si>
  <si>
    <t>44091909</t>
  </si>
  <si>
    <t>RIVERA MALLQUI CLEDDY</t>
  </si>
  <si>
    <t>41443140</t>
  </si>
  <si>
    <t>SIVERIO SALCEDO SHERIT MOYRA</t>
  </si>
  <si>
    <t>70173800</t>
  </si>
  <si>
    <t>VALENTIN PEÑA DE GUERRERO MARIELLA ESTEFANNY</t>
  </si>
  <si>
    <t>47283305</t>
  </si>
  <si>
    <t>VALERA RIOS JOSE LUIS</t>
  </si>
  <si>
    <t>70987143</t>
  </si>
  <si>
    <t>VILLACORTA DAVILA MELISSA AMPARITO</t>
  </si>
  <si>
    <t>45505470</t>
  </si>
  <si>
    <t>ZELADA GARCIA JUAN PABLO</t>
  </si>
  <si>
    <t>73990678</t>
  </si>
  <si>
    <t>REYNA MALPARTIDA SEGUNDO</t>
  </si>
  <si>
    <t>44044679</t>
  </si>
  <si>
    <t>RUIZ PANDURO BETSI LIZBETH</t>
  </si>
  <si>
    <t>49042263</t>
  </si>
  <si>
    <t>ALVAREZ GARCIA YOSLANDY</t>
  </si>
  <si>
    <t>45230583</t>
  </si>
  <si>
    <t>AZAN HINOSTROZA ELIANA EMILI</t>
  </si>
  <si>
    <t>43154404</t>
  </si>
  <si>
    <t>BORGOS PAREDES KATIA RACHEL</t>
  </si>
  <si>
    <t>44073443</t>
  </si>
  <si>
    <t>BRAVO FLORES EMILING</t>
  </si>
  <si>
    <t>44302734</t>
  </si>
  <si>
    <t>CALVO FRANCO LEICY MILAGRITO</t>
  </si>
  <si>
    <t>48157403</t>
  </si>
  <si>
    <t>CAPTO GONZALES JESSY JERALDIN</t>
  </si>
  <si>
    <t>41683458</t>
  </si>
  <si>
    <t>CARCAUSTO HUAYLLAHUA JULISSA VIVIANA</t>
  </si>
  <si>
    <t>75360394</t>
  </si>
  <si>
    <t>CHAVEZ RAMIREZ JANNY</t>
  </si>
  <si>
    <t>22499073</t>
  </si>
  <si>
    <t>CRISANTO SALINAS DE VILCA YENE SOLEDAD</t>
  </si>
  <si>
    <t>73006750</t>
  </si>
  <si>
    <t>DEL AGUILA GONZALES ROBERT ANGEL</t>
  </si>
  <si>
    <t>71994222</t>
  </si>
  <si>
    <t>ESTRELLA ACHO BETTSY ISAMAR</t>
  </si>
  <si>
    <t>40269186</t>
  </si>
  <si>
    <t>GRANDEZ CARDEÑA TANIA</t>
  </si>
  <si>
    <t>41722764</t>
  </si>
  <si>
    <t>MACEDO LOZANO YNES URCINA</t>
  </si>
  <si>
    <t>43963667</t>
  </si>
  <si>
    <t>MUSAC TARICUARIMA REYNA</t>
  </si>
  <si>
    <t>00127980</t>
  </si>
  <si>
    <t>NAVARRO CHUJANDAMA CARMINIA GIOVANI</t>
  </si>
  <si>
    <t>00094688</t>
  </si>
  <si>
    <t>PEREZ SHUÑA OLINDA</t>
  </si>
  <si>
    <t>00127435</t>
  </si>
  <si>
    <t>PIZAN UGARTE CARLOS</t>
  </si>
  <si>
    <t>80134333</t>
  </si>
  <si>
    <t>REATEGUI PINEDO ROSARIO AURORA</t>
  </si>
  <si>
    <t>00035345</t>
  </si>
  <si>
    <t>RENGIFO TELLO EMILDA</t>
  </si>
  <si>
    <t>77082619</t>
  </si>
  <si>
    <t>ROMERO RIOS IRIS GABRIELA</t>
  </si>
  <si>
    <t>74778137</t>
  </si>
  <si>
    <t>SALDAÑA VENANCINO LUZ CLARA</t>
  </si>
  <si>
    <t>46363361</t>
  </si>
  <si>
    <t>SANCHEZ AHUANARI MADAI</t>
  </si>
  <si>
    <t>40303323</t>
  </si>
  <si>
    <t>SANTA MARIA RAMIREZ DORIS</t>
  </si>
  <si>
    <t>47445940</t>
  </si>
  <si>
    <t>SILVANO SATALAYA CLAUDIA</t>
  </si>
  <si>
    <t>47927431</t>
  </si>
  <si>
    <t>SIMON VENTURA ROSAURA</t>
  </si>
  <si>
    <t>00124683</t>
  </si>
  <si>
    <t>SOSA PASMIÑO KELLY LIZETH</t>
  </si>
  <si>
    <t>00117623</t>
  </si>
  <si>
    <t>VILLACORTA MANGIA NATALIA</t>
  </si>
  <si>
    <t>44182266</t>
  </si>
  <si>
    <t>BAYLON ARANA KARINA LIZBETH</t>
  </si>
  <si>
    <t>46235765</t>
  </si>
  <si>
    <t>DIAZ MENDOZA MARILIZ LEYDI</t>
  </si>
  <si>
    <t>43800792</t>
  </si>
  <si>
    <t>FLORES HUAMAN GRISELDA LILLY</t>
  </si>
  <si>
    <t>40894148</t>
  </si>
  <si>
    <t>CHOY RENGIFO ELVA MAGALY</t>
  </si>
  <si>
    <t>44750566</t>
  </si>
  <si>
    <t>DEL AGUILA PEREZ ADRIAN GUY</t>
  </si>
  <si>
    <t>45301509</t>
  </si>
  <si>
    <t>DIAZ PANDURO ALVER ESPIRITU</t>
  </si>
  <si>
    <t>46354717</t>
  </si>
  <si>
    <t>GAYMA NUÑEZ EVELIN PRICILIA</t>
  </si>
  <si>
    <t>09714950</t>
  </si>
  <si>
    <t>GOMEZ NORIEGA NORY EIDI</t>
  </si>
  <si>
    <t>47568881</t>
  </si>
  <si>
    <t>RAMIREZ PACAYA JERSON HUGO</t>
  </si>
  <si>
    <t>43440879</t>
  </si>
  <si>
    <t>TRINIDAD LEANDRO RUTH DAMARIS</t>
  </si>
  <si>
    <t>43963654</t>
  </si>
  <si>
    <t>TRUJILLO HOYOS JANE JESUS</t>
  </si>
  <si>
    <t>41561288</t>
  </si>
  <si>
    <t>VELA FLORES RENE</t>
  </si>
  <si>
    <t>44036663</t>
  </si>
  <si>
    <t>VIA LIMA MACCO</t>
  </si>
  <si>
    <t>TECNICO EN REHABIL. Y FISIOT.</t>
  </si>
  <si>
    <t>10814255</t>
  </si>
  <si>
    <t>VELASQUEZ BARRON NADIA NATALIA</t>
  </si>
  <si>
    <t>40891187</t>
  </si>
  <si>
    <t>ALVARADO SORIA JOSE LUIS</t>
  </si>
  <si>
    <t>42990769</t>
  </si>
  <si>
    <t>BERRU CORDOVA ROBIN CARLOS</t>
  </si>
  <si>
    <t>47022713</t>
  </si>
  <si>
    <t>FREITAS IZUIZA JEAN CARLO</t>
  </si>
  <si>
    <t>40464843</t>
  </si>
  <si>
    <t>HUANIO MONTES DOILYTH MARISOL</t>
  </si>
  <si>
    <t>00127793</t>
  </si>
  <si>
    <t>LAUREL PAREDES JORGE</t>
  </si>
  <si>
    <t>00089077</t>
  </si>
  <si>
    <t>RAMIREZ VALERA ANGEL</t>
  </si>
  <si>
    <t>08945318</t>
  </si>
  <si>
    <t>RODRIGUEZ RUIZ RAUL HERNAN</t>
  </si>
  <si>
    <t>00086181</t>
  </si>
  <si>
    <t>RODRIGUEZ SALDAÑA SOFIA LUDVINA</t>
  </si>
  <si>
    <t>40906213</t>
  </si>
  <si>
    <t>ROSSEL SINUIRE ROBINSON AQUILES</t>
  </si>
  <si>
    <t>70138903</t>
  </si>
  <si>
    <t>TAPULLIMA VASQUEZ MARIA EDELMIRA</t>
  </si>
  <si>
    <t>21142461</t>
  </si>
  <si>
    <t>TICONA SEVILLANO DELCY LUZ</t>
  </si>
  <si>
    <t>00123870</t>
  </si>
  <si>
    <t>VELASQUEZ FACHIN LENER</t>
  </si>
  <si>
    <t>00085611</t>
  </si>
  <si>
    <t>YAYCATE YAHUARCANI MARIO</t>
  </si>
  <si>
    <t>00076155</t>
  </si>
  <si>
    <t>BANEO ARMAS SILVIA</t>
  </si>
  <si>
    <t>00092575</t>
  </si>
  <si>
    <t>BOLIVAR BARDALES MARCO ANTONIO</t>
  </si>
  <si>
    <t>05395022</t>
  </si>
  <si>
    <t>FLORES NUÑEZ MARIA ELENA</t>
  </si>
  <si>
    <t>40235010</t>
  </si>
  <si>
    <t>GUILLEN GONZALEZ JHOYSI ESMERALDA</t>
  </si>
  <si>
    <t>00975464</t>
  </si>
  <si>
    <t>ISUIZA SATALAYA DORA</t>
  </si>
  <si>
    <t>00104002</t>
  </si>
  <si>
    <t>MIRANDA FLORES LAURA</t>
  </si>
  <si>
    <t>42297927</t>
  </si>
  <si>
    <t>NUVE TAPULLIMA SENITH</t>
  </si>
  <si>
    <t>42474803</t>
  </si>
  <si>
    <t>RAMIREZ CASAS AMANDA</t>
  </si>
  <si>
    <t>40250508</t>
  </si>
  <si>
    <t>RENGIFO CASTRO CLAYRE</t>
  </si>
  <si>
    <t>10782272</t>
  </si>
  <si>
    <t>RIOS VARGAS LIZBETH</t>
  </si>
  <si>
    <t>21140474</t>
  </si>
  <si>
    <t>GUTIERREZ RIOS JUAN CARLOS</t>
  </si>
  <si>
    <t>40433946</t>
  </si>
  <si>
    <t>PAREDES TELLO EDUARDO</t>
  </si>
  <si>
    <t>00096464</t>
  </si>
  <si>
    <t>VENANCINO GALAN MARCIANO</t>
  </si>
  <si>
    <t>44508911</t>
  </si>
  <si>
    <t>ABREGU VELASQUEZ JHON ANGEL</t>
  </si>
  <si>
    <t>08690132</t>
  </si>
  <si>
    <t>AREVALO REATEGUI LENER</t>
  </si>
  <si>
    <t>41043047</t>
  </si>
  <si>
    <t>FASABI MENDOZA RICHARD MICHAEL</t>
  </si>
  <si>
    <t>73701920</t>
  </si>
  <si>
    <t>HUAPAYA PEZO ERNESTO ALONSO</t>
  </si>
  <si>
    <t>40425649</t>
  </si>
  <si>
    <t>MACEDO CORAL DANIEL ODILO</t>
  </si>
  <si>
    <t>48126577</t>
  </si>
  <si>
    <t>RODRIGUEZ DAZA GINO</t>
  </si>
  <si>
    <t>00103669</t>
  </si>
  <si>
    <t>ROJAS COMETIVOS RAFAEL</t>
  </si>
  <si>
    <t>41368191</t>
  </si>
  <si>
    <t>SATALAYA AREVALO OSCAR</t>
  </si>
  <si>
    <t>17444068</t>
  </si>
  <si>
    <t>SERNAQUE MORILLO JOSE FRANCISCO</t>
  </si>
  <si>
    <t>00015191</t>
  </si>
  <si>
    <t>YUMBATO TAMANI DAVID</t>
  </si>
  <si>
    <t>RECURSO ORDINARIO</t>
  </si>
  <si>
    <t>MEZA RENGIFO PERLA MILAGROS</t>
  </si>
  <si>
    <t>UNIVERSIDAD</t>
  </si>
  <si>
    <t>AUX. ENF.</t>
  </si>
  <si>
    <t>CETPRO</t>
  </si>
  <si>
    <t>TEC. ENF.</t>
  </si>
  <si>
    <t>INSTITUTO</t>
  </si>
  <si>
    <t>TEC. LABORAT.</t>
  </si>
  <si>
    <t>TEC. LAB.</t>
  </si>
  <si>
    <t>45341153</t>
  </si>
  <si>
    <t>MORI TUESTA DIANA FIORELLA</t>
  </si>
  <si>
    <t>LIC. ENF.</t>
  </si>
  <si>
    <t>OPER. MAQUINA</t>
  </si>
  <si>
    <t>41950300</t>
  </si>
  <si>
    <t>CHUMBE MORI GABRIEL</t>
  </si>
  <si>
    <t>SECUNDARIA COMP.</t>
  </si>
  <si>
    <t>73494545</t>
  </si>
  <si>
    <t>TUANAMA FASABI HILDA LUPE</t>
  </si>
  <si>
    <t>00107285</t>
  </si>
  <si>
    <t>NUÑEZ VILLACREZ LIZBETH</t>
  </si>
  <si>
    <t>43026556</t>
  </si>
  <si>
    <t>MAYNAS SANCHEZ JUANITA ORFITA</t>
  </si>
  <si>
    <t>42954447</t>
  </si>
  <si>
    <t>VASQUEZ RUIZ CESAR ANTONIO</t>
  </si>
  <si>
    <t>CHEF</t>
  </si>
  <si>
    <t>00005821</t>
  </si>
  <si>
    <t>GONZALES RIOS ZOILA AMANDA</t>
  </si>
  <si>
    <t>46088491</t>
  </si>
  <si>
    <t>IHUARAQUI ARICARI NICIDA MAGALI</t>
  </si>
  <si>
    <t>45005011</t>
  </si>
  <si>
    <t>GOMEZ DANTAS CELINA</t>
  </si>
  <si>
    <t>00021429</t>
  </si>
  <si>
    <t>RENGIFO NAVARRETE LUIS HUMBERTO</t>
  </si>
  <si>
    <t>45004974</t>
  </si>
  <si>
    <t>VILCHEZ GOMEZ ROCIO JANETH</t>
  </si>
  <si>
    <t>45291407</t>
  </si>
  <si>
    <t>TOMINAGA GARCIA TONY</t>
  </si>
  <si>
    <t>45350782</t>
  </si>
  <si>
    <t>GUEVARA CARBAJAL ANIBAL VLADIMIR</t>
  </si>
  <si>
    <t>44723325</t>
  </si>
  <si>
    <t>MACEDO VILLASIS LEO DINO</t>
  </si>
  <si>
    <t>GUILLEN GONZALES JHOYSI ESMERALDA</t>
  </si>
  <si>
    <t>45218510</t>
  </si>
  <si>
    <t>PEREZ CRISTOBAL HELEN MARILYN</t>
  </si>
  <si>
    <t>41872745</t>
  </si>
  <si>
    <t>BALDEON VARGAS CINDY PAMELA</t>
  </si>
  <si>
    <t>COSTURERA</t>
  </si>
  <si>
    <t>45651539</t>
  </si>
  <si>
    <t>JIMENEZ PEREZ GILMER SMITH</t>
  </si>
  <si>
    <t>41739516</t>
  </si>
  <si>
    <t>ROCHA LA TORRE GEANMARCO</t>
  </si>
  <si>
    <t>72632052</t>
  </si>
  <si>
    <t>ROJAS ALIAGA JUNIOR</t>
  </si>
  <si>
    <t>AUDITOR</t>
  </si>
  <si>
    <t>RECURSO DIRECTAMENTE RECAUDADO</t>
  </si>
  <si>
    <t>46713471</t>
  </si>
  <si>
    <t>BERRU CORDOVA STIWART LENIN</t>
  </si>
  <si>
    <t>00087792</t>
  </si>
  <si>
    <t>PORTUGAL TENAZOA ARMANDO</t>
  </si>
  <si>
    <t>APOYO ADM.</t>
  </si>
  <si>
    <t>BACH. ADM.</t>
  </si>
  <si>
    <t>05413371</t>
  </si>
  <si>
    <t>MERA AMASIFUEN LUIS ALBERTO</t>
  </si>
  <si>
    <t>CAJERA</t>
  </si>
  <si>
    <t>70752243</t>
  </si>
  <si>
    <t>FASANANDO DEL AGUILA JEDIDA CELESTE</t>
  </si>
  <si>
    <t>TEC. CONT.</t>
  </si>
  <si>
    <t>TEC. CONTABLE</t>
  </si>
  <si>
    <t>41228598</t>
  </si>
  <si>
    <t>RENGIFO VASQUEZ JUAN MANUEL</t>
  </si>
  <si>
    <t>21146830</t>
  </si>
  <si>
    <t>WONG SUASNABAS IRKA ARLETI</t>
  </si>
  <si>
    <t>44740129</t>
  </si>
  <si>
    <t>CHAVEZ BARTRA JACKELINE LINSEY</t>
  </si>
  <si>
    <t>ODONTOLOGA</t>
  </si>
  <si>
    <t>42063074</t>
  </si>
  <si>
    <t>LOPEZ PEREZ MANUEL ALFONSO</t>
  </si>
  <si>
    <t>TEC. COMP. INFORM.</t>
  </si>
  <si>
    <t>41516445</t>
  </si>
  <si>
    <t>PACAYA RIVERA NARDA DELY</t>
  </si>
  <si>
    <t>00099822</t>
  </si>
  <si>
    <t>PEREZ MACHOA ANITH MARILIZ</t>
  </si>
  <si>
    <t>46361843</t>
  </si>
  <si>
    <t>SANDY PEREZ CLAUDIA MARILYA</t>
  </si>
  <si>
    <t>80148090</t>
  </si>
  <si>
    <t>VILLACORTA SANCHEZ ROESLER</t>
  </si>
  <si>
    <t>47019432</t>
  </si>
  <si>
    <t>TRUJILLO VELASQUEZ JUAN CARLOS</t>
  </si>
  <si>
    <t>41630874</t>
  </si>
  <si>
    <t>PISCO ARMAS DANNY ALEXANDER</t>
  </si>
  <si>
    <t>DONACIONES Y TRANSFERENCIAS</t>
  </si>
  <si>
    <t>40383701</t>
  </si>
  <si>
    <t>LOPEZ RIVEIRO LIANA LIZETH</t>
  </si>
  <si>
    <t>75100762</t>
  </si>
  <si>
    <t>HOYOS BARDALES VICTORIA MILAGROS</t>
  </si>
  <si>
    <t>71550957</t>
  </si>
  <si>
    <t>CASTILLO GUTIERREZ KYARA ANAIS</t>
  </si>
  <si>
    <t>75474574</t>
  </si>
  <si>
    <t>AREVALO RUCOBA CHERLY ELISA</t>
  </si>
  <si>
    <t>45684696</t>
  </si>
  <si>
    <t>ARISMENDIS LOVERA JACKELINE JOHANA</t>
  </si>
  <si>
    <t>44375795</t>
  </si>
  <si>
    <t>GARCIA DIAZ CRISTIAN ANDY</t>
  </si>
  <si>
    <t>76174563</t>
  </si>
  <si>
    <t>PANDURO RENGIFO ISABEL FRI</t>
  </si>
  <si>
    <t>46670151</t>
  </si>
  <si>
    <t>DA'SILVA CAMACHO EMMA ISABEL</t>
  </si>
  <si>
    <t>72504526</t>
  </si>
  <si>
    <t>REATEGUI GUZMAN JEAN CARLO</t>
  </si>
  <si>
    <t>43824762</t>
  </si>
  <si>
    <t>CABANILLAS FASANANDO GABY IVONE</t>
  </si>
  <si>
    <t>46014796</t>
  </si>
  <si>
    <t>SAAVEDRA ZUÑIGA JESSICA</t>
  </si>
  <si>
    <t>75889448</t>
  </si>
  <si>
    <t>LARRANIAGA PANDURO WALTER JOSE</t>
  </si>
  <si>
    <t>42711522</t>
  </si>
  <si>
    <t>VELA ALVAREZ DENISSIE GRETHEL</t>
  </si>
  <si>
    <t>71043301</t>
  </si>
  <si>
    <t>NUÑEZ CASHU JOSE LUIS</t>
  </si>
  <si>
    <t>HOSPITAL AMAZONICO DE YARINACOCHA</t>
  </si>
  <si>
    <t>402- HOSPITAL AMAZONICO DE YARINACOCHA</t>
  </si>
  <si>
    <t>00024311</t>
  </si>
  <si>
    <t>FLORES DAVILA CLARA ROSA</t>
  </si>
  <si>
    <t>TRABAJADOR DE SERVICIOS</t>
  </si>
  <si>
    <t>Auxiliares</t>
  </si>
  <si>
    <t>21141466</t>
  </si>
  <si>
    <t>CHAVEZ SOLORSANO PATY QUIRCHIN</t>
  </si>
  <si>
    <t>80118936</t>
  </si>
  <si>
    <t>DAVILA SINUIRI JUNER</t>
  </si>
  <si>
    <t>00123416</t>
  </si>
  <si>
    <t>FLORES DAVILA ARLES</t>
  </si>
  <si>
    <t>Tecnicos</t>
  </si>
  <si>
    <t>45305063</t>
  </si>
  <si>
    <t>CHANG VELA MIGUEL HUMBERTO</t>
  </si>
  <si>
    <t>73069141</t>
  </si>
  <si>
    <t>PANDURO MORENO EULER ENRIQUE</t>
  </si>
  <si>
    <t>AUXILIAR DE CONTABILIDAD</t>
  </si>
  <si>
    <t>41337513</t>
  </si>
  <si>
    <t>GONZALES GRANDEZ OSCAR ENRIQUE</t>
  </si>
  <si>
    <t>43120940</t>
  </si>
  <si>
    <t>BARDALES PACAYA EIDY JANE</t>
  </si>
  <si>
    <t>SECRETARIA/O</t>
  </si>
  <si>
    <t>18907501</t>
  </si>
  <si>
    <t>BUENO SANDOVAL SILVERIO CESAR</t>
  </si>
  <si>
    <t>46465170</t>
  </si>
  <si>
    <t>SILVA RAMIREZ EMILY</t>
  </si>
  <si>
    <t>TECNICO EN ENFERMERIA I</t>
  </si>
  <si>
    <t>41318643</t>
  </si>
  <si>
    <t>PAIMA PAIMA MIGUEL</t>
  </si>
  <si>
    <t>TECNICO EN MANTENIMIENTO I</t>
  </si>
  <si>
    <t>48508753</t>
  </si>
  <si>
    <t>RIOS SALAS BIANCA</t>
  </si>
  <si>
    <t>42974084</t>
  </si>
  <si>
    <t>CACHIQUE AHUANARI LENNY</t>
  </si>
  <si>
    <t>70775910</t>
  </si>
  <si>
    <t>ETENE TUESTA ANA ESTHER</t>
  </si>
  <si>
    <t>ENFERMERA/O</t>
  </si>
  <si>
    <t>Profesionales de la Salud</t>
  </si>
  <si>
    <t>00112734</t>
  </si>
  <si>
    <t>GIPA PEREZ MADITH GROFELI</t>
  </si>
  <si>
    <t>43307631</t>
  </si>
  <si>
    <t>HUANIO REATEGUI JOSE IVORI</t>
  </si>
  <si>
    <t>47081117</t>
  </si>
  <si>
    <t>HERNANDEZ VELA ANA CECILIA</t>
  </si>
  <si>
    <t>00074416</t>
  </si>
  <si>
    <t>PUTAPAÑA PACAYA NOEMI MARISOL</t>
  </si>
  <si>
    <t>42464679</t>
  </si>
  <si>
    <t>SINUIRI LLUMI ELENA</t>
  </si>
  <si>
    <t>00105397</t>
  </si>
  <si>
    <t>LOPEZ RENGIFO CARLOS MAGNO</t>
  </si>
  <si>
    <t>40709257</t>
  </si>
  <si>
    <t>MORI RIVAS GABY</t>
  </si>
  <si>
    <t>40692529</t>
  </si>
  <si>
    <t>VASQUEZ DOMINGUEZ NANSY APILARITA</t>
  </si>
  <si>
    <t>43181645</t>
  </si>
  <si>
    <t>SANCHEZ NORIEGA SERGIO FRANCO</t>
  </si>
  <si>
    <t>Profesionales</t>
  </si>
  <si>
    <t>00052335</t>
  </si>
  <si>
    <t>BARRETO ALVARADO JUAN MANUEL</t>
  </si>
  <si>
    <t>00074768</t>
  </si>
  <si>
    <t>ROJAS VALLES MIGUEL ERNESTO</t>
  </si>
  <si>
    <t>21144722</t>
  </si>
  <si>
    <t>FLORES AREVALO WELING</t>
  </si>
  <si>
    <t>45645701</t>
  </si>
  <si>
    <t>MACUYAMA VELA JESSICA LORENA</t>
  </si>
  <si>
    <t>44755004</t>
  </si>
  <si>
    <t>MONZON DAVILA CARLA EVANS</t>
  </si>
  <si>
    <t>41469069</t>
  </si>
  <si>
    <t>DAHUA ARANDA MARIA DEYDI</t>
  </si>
  <si>
    <t>43541547</t>
  </si>
  <si>
    <t>RAMIREZ REYNA CARMEN</t>
  </si>
  <si>
    <t>47616334</t>
  </si>
  <si>
    <t>LOMAS VALLES LEYSI THALIA</t>
  </si>
  <si>
    <t>46374825</t>
  </si>
  <si>
    <t>PEZO SAAVEDRA LISSI MARIELA</t>
  </si>
  <si>
    <t>80140316</t>
  </si>
  <si>
    <t>FLORES RIOS MARLITH</t>
  </si>
  <si>
    <t>80595113</t>
  </si>
  <si>
    <t>CHAVEZ MANUYAMA DALILA</t>
  </si>
  <si>
    <t>43919914</t>
  </si>
  <si>
    <t>FUCHS ALVAN KLAUS</t>
  </si>
  <si>
    <t>42644942</t>
  </si>
  <si>
    <t>VERA PEREZ NANCY VIOLETA</t>
  </si>
  <si>
    <t>41683796</t>
  </si>
  <si>
    <t>MARTINEZ MALDONADO ELI</t>
  </si>
  <si>
    <t>00107703</t>
  </si>
  <si>
    <t>HOYOS GONZALES JULIO REYES</t>
  </si>
  <si>
    <t>40741697</t>
  </si>
  <si>
    <t>SANCHEZ SOLSOL GRISELDA RUBI</t>
  </si>
  <si>
    <t>43138151</t>
  </si>
  <si>
    <t>MACA SATALAY WALTER MIGUEL</t>
  </si>
  <si>
    <t>00053175</t>
  </si>
  <si>
    <t>MARIN PIZANGO TORIBIO</t>
  </si>
  <si>
    <t>47323726</t>
  </si>
  <si>
    <t>MANIHUARI LOPEZ DIEGO ARMANDO</t>
  </si>
  <si>
    <t>80337908</t>
  </si>
  <si>
    <t>AHUANARI GONZALES WILMER</t>
  </si>
  <si>
    <t>42642334</t>
  </si>
  <si>
    <t>LOPEZ VASQUEZ CECILIA</t>
  </si>
  <si>
    <t>45864331</t>
  </si>
  <si>
    <t>MERA USSEGLIO ANGELICA JESUS</t>
  </si>
  <si>
    <t>00092282</t>
  </si>
  <si>
    <t>DAVILA AHUITE ROCIO DEL PILAR</t>
  </si>
  <si>
    <t>22426196</t>
  </si>
  <si>
    <t>DURAND LEON LUCILA</t>
  </si>
  <si>
    <t>00089611</t>
  </si>
  <si>
    <t>RODRIGUEZ ALEGRIA TERCERO</t>
  </si>
  <si>
    <t>OPERADOR DE EQUIPO</t>
  </si>
  <si>
    <t>18073057</t>
  </si>
  <si>
    <t>BURGOS ESPEJO MARIA EUGENIA</t>
  </si>
  <si>
    <t>00084946</t>
  </si>
  <si>
    <t>SANGAMA RUIZ HERNAN</t>
  </si>
  <si>
    <t>44255907</t>
  </si>
  <si>
    <t>FLORES CABRERA ALBERTO</t>
  </si>
  <si>
    <t>00114348</t>
  </si>
  <si>
    <t>TARICUARIMA TAMANI DE GONZALES ROSA</t>
  </si>
  <si>
    <t>45301524</t>
  </si>
  <si>
    <t>TELLO AGUILAR ENRIQUE EMILIO</t>
  </si>
  <si>
    <t>00130444</t>
  </si>
  <si>
    <t>VASQUEZ PEZO DENIS LEYDER</t>
  </si>
  <si>
    <t>18163074</t>
  </si>
  <si>
    <t>DE LA CRUZ TORRES NANCY MARGARITA</t>
  </si>
  <si>
    <t>41304860</t>
  </si>
  <si>
    <t>TORRES RIOS NATALIE</t>
  </si>
  <si>
    <t>40755580</t>
  </si>
  <si>
    <t>GIL APONTE DELIA DALILA</t>
  </si>
  <si>
    <t>41462590</t>
  </si>
  <si>
    <t>PEÑALOZA TAIPE ROSA ANGELA</t>
  </si>
  <si>
    <t>00092434</t>
  </si>
  <si>
    <t>LEON PIÑA ELIZABETH</t>
  </si>
  <si>
    <t>43824792</t>
  </si>
  <si>
    <t>REATEGUI HUARMIYURI GRETA</t>
  </si>
  <si>
    <t>45312136</t>
  </si>
  <si>
    <t>PACAYA HUANCHI MARI ISABEL</t>
  </si>
  <si>
    <t>44589097</t>
  </si>
  <si>
    <t>ORTIZ COBLENTZ HILDA DEL ROSARIO</t>
  </si>
  <si>
    <t>43400112</t>
  </si>
  <si>
    <t>SANCHEZ BENAVIDES LUIS</t>
  </si>
  <si>
    <t>43332568</t>
  </si>
  <si>
    <t>LOPEZ RIVA PIERO MARTIN</t>
  </si>
  <si>
    <t>00115996</t>
  </si>
  <si>
    <t>ORMEÑO SANGAMA CARMEN ROSA</t>
  </si>
  <si>
    <t>43638129</t>
  </si>
  <si>
    <t>FALCON LOZANO KAREN FIORELA</t>
  </si>
  <si>
    <t>40585660</t>
  </si>
  <si>
    <t>QUINTANA TORRES CARLA VANESSA</t>
  </si>
  <si>
    <t>00102322</t>
  </si>
  <si>
    <t>BARRETO ALVARADO LITA</t>
  </si>
  <si>
    <t>76453977</t>
  </si>
  <si>
    <t>BADA LOMAS MILY JUDITH</t>
  </si>
  <si>
    <t>44195809</t>
  </si>
  <si>
    <t>CHAVEZ ARMAS CARLOS OSWALDO</t>
  </si>
  <si>
    <t>TECNICO ADMINISTRATIVO I</t>
  </si>
  <si>
    <t>45231318</t>
  </si>
  <si>
    <t>ZAMORA AGUILAR SERGIO ANDRES</t>
  </si>
  <si>
    <t>17936884</t>
  </si>
  <si>
    <t>PEZO GUERRA LAURA MARITZA</t>
  </si>
  <si>
    <t>45278061</t>
  </si>
  <si>
    <t>NOVOA MACEDO SANDRA</t>
  </si>
  <si>
    <t>00072540</t>
  </si>
  <si>
    <t>VELASQUEZ LLERENA ANGELA JOSEFINA</t>
  </si>
  <si>
    <t>46933843</t>
  </si>
  <si>
    <t>RAMIREZ TAMINCHI DANY</t>
  </si>
  <si>
    <t>45863401</t>
  </si>
  <si>
    <t>FEBRES MALDONADO YNGRID JANET</t>
  </si>
  <si>
    <t>44295258</t>
  </si>
  <si>
    <t>GONZALES CHOTA PAOLA</t>
  </si>
  <si>
    <t>44773252</t>
  </si>
  <si>
    <t>ACOSTA CISNEROS ALFREDO GIULIANO</t>
  </si>
  <si>
    <t>73075626</t>
  </si>
  <si>
    <t>GRANDEZ GRANDEZ CHRISTIAN KENNY</t>
  </si>
  <si>
    <t>48702152</t>
  </si>
  <si>
    <t>QUISPE INQUILTUPA ALEXANDER</t>
  </si>
  <si>
    <t>70998531</t>
  </si>
  <si>
    <t>GALVEZ SOTO ARTURO</t>
  </si>
  <si>
    <t>43365938</t>
  </si>
  <si>
    <t>VASQUEZ AREVALO ABRAHAM EMILIO</t>
  </si>
  <si>
    <t>00088557</t>
  </si>
  <si>
    <t>TORRES SOUSA MADELEYNE</t>
  </si>
  <si>
    <t>45115312</t>
  </si>
  <si>
    <t>ARCE NUNTA ROSA ANITA</t>
  </si>
  <si>
    <t>00074203</t>
  </si>
  <si>
    <t>TAMANI RICOPA DE CUMAPA NORMA ISABEL</t>
  </si>
  <si>
    <t>46466805</t>
  </si>
  <si>
    <t>RUIZ ATRAVERO DAYGRO</t>
  </si>
  <si>
    <t>45482643</t>
  </si>
  <si>
    <t>FLORES VELA ROMY JULIANA</t>
  </si>
  <si>
    <t>05393523</t>
  </si>
  <si>
    <t>TORRES RIOS ELKA</t>
  </si>
  <si>
    <t>48182993</t>
  </si>
  <si>
    <t>TORRES PILCO MILTON JOEL</t>
  </si>
  <si>
    <t>47833397</t>
  </si>
  <si>
    <t>LABAJOS OTERO RELFA MARIA</t>
  </si>
  <si>
    <t>00101075</t>
  </si>
  <si>
    <t>VELA CLAROS GRACIELA</t>
  </si>
  <si>
    <t>42143821</t>
  </si>
  <si>
    <t>GONZALES SALAZAR DE LAUREANO JESSICA KARIN</t>
  </si>
  <si>
    <t>46389479</t>
  </si>
  <si>
    <t>CASTILLO SARAVIA GIULIANA JENNIFER</t>
  </si>
  <si>
    <t>44692525</t>
  </si>
  <si>
    <t>CHOTA ORSI KATHIA HEKERLINN</t>
  </si>
  <si>
    <t>40037785</t>
  </si>
  <si>
    <t>MORENO AGUAYO RICARDO MARTIN</t>
  </si>
  <si>
    <t>43730164</t>
  </si>
  <si>
    <t>ARANDA SANCHEZ JANETH</t>
  </si>
  <si>
    <t>40400646</t>
  </si>
  <si>
    <t>CAMPOS HUAMAN JOHAN ARTURO</t>
  </si>
  <si>
    <t>76219550</t>
  </si>
  <si>
    <t>ENCISO MURRIETA MARIA ACELA DEL CARMEN</t>
  </si>
  <si>
    <t>46929366</t>
  </si>
  <si>
    <t>QUIO RUCOBA DILSA LILY</t>
  </si>
  <si>
    <t>001473957</t>
  </si>
  <si>
    <t>LEMUS MARTINEZ LAZARO</t>
  </si>
  <si>
    <t>41919406</t>
  </si>
  <si>
    <t>GOSSIN CACHAY JUNIOR HEIMER</t>
  </si>
  <si>
    <t>45645688</t>
  </si>
  <si>
    <t>RONCAL NIEVES FRANK CARLOS</t>
  </si>
  <si>
    <t>47201144</t>
  </si>
  <si>
    <t>GONZALES FASABI DIEGO</t>
  </si>
  <si>
    <t>45864357</t>
  </si>
  <si>
    <t>RUIZ NORIEGA NORMA</t>
  </si>
  <si>
    <t>47004860</t>
  </si>
  <si>
    <t>ROJAS ELESPURO ROSMERY</t>
  </si>
  <si>
    <t>44752779</t>
  </si>
  <si>
    <t>BANEO MORALES JOHANA KARINA</t>
  </si>
  <si>
    <t>21143424</t>
  </si>
  <si>
    <t>ROMERO PINEDO MELISSA</t>
  </si>
  <si>
    <t>41390036</t>
  </si>
  <si>
    <t>HERNANDEZ MORON VICTORIA MARCELINA</t>
  </si>
  <si>
    <t>40732299</t>
  </si>
  <si>
    <t>DEL AGUILA RENGIFO TANIA</t>
  </si>
  <si>
    <t>45566442</t>
  </si>
  <si>
    <t>CUZCANO ESCOBEDO VIELCA FIORELLA</t>
  </si>
  <si>
    <t>41918789</t>
  </si>
  <si>
    <t>MUNDINI CARDENAS GIANNINA</t>
  </si>
  <si>
    <t>42900016</t>
  </si>
  <si>
    <t>UCHOFEN SECLEN JUDITH JOANA</t>
  </si>
  <si>
    <t>46175837</t>
  </si>
  <si>
    <t>PEREZ FLORES MERLY RUTH</t>
  </si>
  <si>
    <t>47313695</t>
  </si>
  <si>
    <t>MACEDO MARTINEZ MELISSA</t>
  </si>
  <si>
    <t>46451741</t>
  </si>
  <si>
    <t>CORONADO VILLACORTA GINA MARIA</t>
  </si>
  <si>
    <t>46720100</t>
  </si>
  <si>
    <t>RIVERA INOCENTE YANETH ANDREA</t>
  </si>
  <si>
    <t>47050889</t>
  </si>
  <si>
    <t>SHAPIAMA CALLO TANIA PATRICIA</t>
  </si>
  <si>
    <t>40624922</t>
  </si>
  <si>
    <t>TRUJILLO PIZANGO LENNA MELY</t>
  </si>
  <si>
    <t>40647902</t>
  </si>
  <si>
    <t>LLAPAPASCA GARCIA ISABEL TALIA</t>
  </si>
  <si>
    <t>45270110</t>
  </si>
  <si>
    <t>ARMAS QUISPE INETH MELCHORA</t>
  </si>
  <si>
    <t>41387790</t>
  </si>
  <si>
    <t>BONZANO DEL AGUILA ERIKA BELEN</t>
  </si>
  <si>
    <t>41304848</t>
  </si>
  <si>
    <t>RIVEYRO RENGIFO HILMER MILAGROS</t>
  </si>
  <si>
    <t>70938805</t>
  </si>
  <si>
    <t>PEREZ ZUMAETA CECI SARAIT</t>
  </si>
  <si>
    <t>72351504</t>
  </si>
  <si>
    <t>SALDAÑA RAMIREZ NATALY NOELIA</t>
  </si>
  <si>
    <t>43489973</t>
  </si>
  <si>
    <t>SVAGELJ ESPEJO JORGE ANTONIO</t>
  </si>
  <si>
    <t>70987133</t>
  </si>
  <si>
    <t>GONZALES VALERA ROCIO</t>
  </si>
  <si>
    <t>71475253</t>
  </si>
  <si>
    <t>LAURENTE ARGANDOÑA EDGAR EULOGIO</t>
  </si>
  <si>
    <t>09758998</t>
  </si>
  <si>
    <t>MILIAN MENDOZA LUIS ALBERTO</t>
  </si>
  <si>
    <t>46178949</t>
  </si>
  <si>
    <t>SANDOVAL CORDOVA PRISCILA</t>
  </si>
  <si>
    <t>43987106</t>
  </si>
  <si>
    <t>GARCIA VARGAS JOHANNA MILAGROS</t>
  </si>
  <si>
    <t>42531329</t>
  </si>
  <si>
    <t>LUNA VASQUEZ SUSAM DOLIBETH</t>
  </si>
  <si>
    <t>46578713</t>
  </si>
  <si>
    <t>TENAZOA VEGA ANA MILAGROS</t>
  </si>
  <si>
    <t>44123457</t>
  </si>
  <si>
    <t>REATEGUI TUESTA DEIVI</t>
  </si>
  <si>
    <t>41483607</t>
  </si>
  <si>
    <t>RODRIGUEZ AMBROSIO LELIZ</t>
  </si>
  <si>
    <t>46136202</t>
  </si>
  <si>
    <t>ESCOBEDO SANCHEZ JACKELINE PRISCILA</t>
  </si>
  <si>
    <t>40070482</t>
  </si>
  <si>
    <t>FASABI VENANCINO MARISI</t>
  </si>
  <si>
    <t>48651688</t>
  </si>
  <si>
    <t>HIDALGO SOLANO CONNY</t>
  </si>
  <si>
    <t>41921312</t>
  </si>
  <si>
    <t>MELENDEZ HINOSTROZA WILMER</t>
  </si>
  <si>
    <t>71024117</t>
  </si>
  <si>
    <t>MORI PANAYFO CINDY MILAGROS</t>
  </si>
  <si>
    <t>45327807</t>
  </si>
  <si>
    <t>PEREYRA GONZALES ZARONA CHABELY</t>
  </si>
  <si>
    <t>45691019</t>
  </si>
  <si>
    <t>DEL AGUILA SOSA DOROTHY</t>
  </si>
  <si>
    <t>46351477</t>
  </si>
  <si>
    <t>AMASIFUEN ROJAS LALY FLORENTINA</t>
  </si>
  <si>
    <t>46361131</t>
  </si>
  <si>
    <t>ORIHUELA IZQUIERDO EDINA BLANCA</t>
  </si>
  <si>
    <t>46141457</t>
  </si>
  <si>
    <t>VARGAS RUIZ DANIEL</t>
  </si>
  <si>
    <t>45747020</t>
  </si>
  <si>
    <t>VERA CORAL CHRISTIAN DIOR</t>
  </si>
  <si>
    <t>46621014</t>
  </si>
  <si>
    <t>NUÑEZ LAO LIZETH MILAGROS</t>
  </si>
  <si>
    <t>76453973</t>
  </si>
  <si>
    <t>BADA LOMAS MARIBEL ADELINA</t>
  </si>
  <si>
    <t>73500259</t>
  </si>
  <si>
    <t>SALDAÑA PEREZ LEYDY ANDREA</t>
  </si>
  <si>
    <t>40848417</t>
  </si>
  <si>
    <t>DIAZ SUAREZ JOSY CLEDY</t>
  </si>
  <si>
    <t>ADMISIONISTA II</t>
  </si>
  <si>
    <t>LECCA BARDALES, ISABEL.</t>
  </si>
  <si>
    <t>AUXILIAR ADINISTRATIVO</t>
  </si>
  <si>
    <t>TRIGOSO ISUIZA, NELITA KARINA</t>
  </si>
  <si>
    <t>NAVARRO MUÑOZ, NILA MILAGROS</t>
  </si>
  <si>
    <t>DIGITADOR</t>
  </si>
  <si>
    <t>SANDOVAL CARDENAS, HERNANDO.</t>
  </si>
  <si>
    <t>CARDENAS BARDALES, FRANK EDGAR</t>
  </si>
  <si>
    <t>LOZANO OJANAMA, ANDERSON.</t>
  </si>
  <si>
    <t>PLAZA HIDALGO,OLGA</t>
  </si>
  <si>
    <t>ADMISIONISTA II (ACREDITADOR DE EMERGENCIA)</t>
  </si>
  <si>
    <t>PRADA RENGIFO, JOEL ANDERSON</t>
  </si>
  <si>
    <t>MOZOMBITE AZAÑA, LUIS FRANCISCO.</t>
  </si>
  <si>
    <t>VALDEIGLESIAS  ARROYO, ARELI KATTERINE</t>
  </si>
  <si>
    <t>PRIETO MOZOMBITE, PAUL.</t>
  </si>
  <si>
    <t>QUISPE GUIMARAES, ANDREA ISABEL</t>
  </si>
  <si>
    <t>APOYO ADMINISTRATIVO III</t>
  </si>
  <si>
    <t>OCHAVANO REATEGUI, BRUNO DARIO</t>
  </si>
  <si>
    <t>MARIN RENGIFO,JUAN NICANOR</t>
  </si>
  <si>
    <t>BUSTOS IPUSHIMA, JUAN JESUS</t>
  </si>
  <si>
    <t>TORRES DIAZ, PAUL ANDRE</t>
  </si>
  <si>
    <t xml:space="preserve">ADMISIONISTA I-ACREDITACION DE CONSULTORIOS. </t>
  </si>
  <si>
    <t>CRIOLLO HIDALGO, GISELLA</t>
  </si>
  <si>
    <t>MG. CONTABILDAD</t>
  </si>
  <si>
    <t>REFERENCIA Y CONTRA-REFERENCIA</t>
  </si>
  <si>
    <t>FERNANDEZ MAYNAS, MELISSA</t>
  </si>
  <si>
    <t>SEPELIO</t>
  </si>
  <si>
    <t>RUIZ SORIA,CILITA</t>
  </si>
  <si>
    <t>RAMIREZ VELA,GLORIA STEFANY</t>
  </si>
  <si>
    <t xml:space="preserve">BACHILLER EN ECONOMIA </t>
  </si>
  <si>
    <t>TELESALUD</t>
  </si>
  <si>
    <t>FERNANDEZ DEL AGUILA, KARLA</t>
  </si>
  <si>
    <t>AGUIRRE SIAS, JEANE ANDREA.</t>
  </si>
  <si>
    <t xml:space="preserve">BACHILER EN ECONOMIA </t>
  </si>
  <si>
    <t>ALIAGA QUISPE, MARIA ISABEL</t>
  </si>
  <si>
    <t>CORDINADOR DE SOAT Y CONVENIOS</t>
  </si>
  <si>
    <t>CALAMPA DASILVA, CARLO MAGNO</t>
  </si>
  <si>
    <t>303: EDUCACION CORONEL PORTILLO</t>
  </si>
  <si>
    <t>GUZMAN PEZO, BREYNER HANS</t>
  </si>
  <si>
    <t>17 DE MAYO CONTRATO HASTA 31 DE DICIEMBRE</t>
  </si>
  <si>
    <t xml:space="preserve">S/. 1,300.00 </t>
  </si>
  <si>
    <t>ZEGARRA VELA, JOAO SADATH</t>
  </si>
  <si>
    <t>01 DE MAYO CONTRATO HASTA 31 DE DICIEMBRE</t>
  </si>
  <si>
    <t xml:space="preserve">S/. 1,194.00 </t>
  </si>
  <si>
    <t>ZEGARRA LOPEZ, KAREN JHOANA</t>
  </si>
  <si>
    <t>SILVA ALVARADO, PAOLA ROXANA</t>
  </si>
  <si>
    <t xml:space="preserve">S/. 1,500.00 </t>
  </si>
  <si>
    <t>PERSONAL DE SERVICIO</t>
  </si>
  <si>
    <t>00111064</t>
  </si>
  <si>
    <t>PEREZ FLORES, SILVIA</t>
  </si>
  <si>
    <t xml:space="preserve">S/. 1,200.00 </t>
  </si>
  <si>
    <t>ESPECIALISTA DE SUPERVICION</t>
  </si>
  <si>
    <t>ROJAS QUINTANA, WILLIAM ROOSEVELT</t>
  </si>
  <si>
    <t xml:space="preserve">S/. 3,000.00 </t>
  </si>
  <si>
    <t>SECRETARIA EN RR.HH</t>
  </si>
  <si>
    <t>00093393</t>
  </si>
  <si>
    <t>INFANTES DEL AGUILA, JADE YANET</t>
  </si>
  <si>
    <t>TECNICO EN ASESORIA</t>
  </si>
  <si>
    <t>071024138</t>
  </si>
  <si>
    <t xml:space="preserve"> LANCHI ORTIZ, ABIGAIL</t>
  </si>
  <si>
    <t>12 DE FEBRERO CONTRATO INDETERMINADO</t>
  </si>
  <si>
    <t>OFICINISTA</t>
  </si>
  <si>
    <t>000097239</t>
  </si>
  <si>
    <t>FALCON ROMAINA, ADELINA</t>
  </si>
  <si>
    <t xml:space="preserve">01 DE MAYO  CONTRATO INDETERMINADO </t>
  </si>
  <si>
    <t>ESPECIALISTA CONTABLE</t>
  </si>
  <si>
    <t>046354505</t>
  </si>
  <si>
    <t>ORTIZ RODRIGUEZ, ARALID MIRELLI</t>
  </si>
  <si>
    <t>046083708</t>
  </si>
  <si>
    <t>ACOSTA HUANSI, CAROLAY SUSSAN</t>
  </si>
  <si>
    <t>GIRADOR CONTABLE</t>
  </si>
  <si>
    <t>046561597</t>
  </si>
  <si>
    <t>DAVILA MENDOZA, CINDY</t>
  </si>
  <si>
    <t xml:space="preserve">12 DE FEBRERO CONTRATO INDETERMINADO </t>
  </si>
  <si>
    <t>074761539</t>
  </si>
  <si>
    <t>DEL AGUILA OLIVERA, CINTHIA</t>
  </si>
  <si>
    <t xml:space="preserve">01 DE MAYO CONTRATO INDETERMINADO </t>
  </si>
  <si>
    <t>ASISTENTE LEGAL I</t>
  </si>
  <si>
    <t>072732291</t>
  </si>
  <si>
    <t>RUIZ PEREZ, CRISTIAN DIEGO</t>
  </si>
  <si>
    <t>071595857</t>
  </si>
  <si>
    <t>CARDENAS GARCIA, CRISTINA SARITA</t>
  </si>
  <si>
    <t xml:space="preserve">12 DE FEBRERO  CONTRATO INDETERMINADO </t>
  </si>
  <si>
    <t>TECNICO  ADMINISTRATIVO NEXUS</t>
  </si>
  <si>
    <t>073306329</t>
  </si>
  <si>
    <t>GOMEZ TORRES, ERICKA ESTEFANI</t>
  </si>
  <si>
    <t>OFICINISTA OCI</t>
  </si>
  <si>
    <t>043567155</t>
  </si>
  <si>
    <t>BARDALES MONCADA, FRANCIS MARIEL</t>
  </si>
  <si>
    <t xml:space="preserve">12 DE ABRIL CONTRATO INDETERMINADO </t>
  </si>
  <si>
    <t>VIGILANTE 02</t>
  </si>
  <si>
    <t>000091935</t>
  </si>
  <si>
    <t>SANDOVAL PEREZ, HUMBERTO</t>
  </si>
  <si>
    <t>000123329</t>
  </si>
  <si>
    <t>AHUANARI RENGIFO, IVETH CAROLINA</t>
  </si>
  <si>
    <t>INGINIERO DE SISTEMAS</t>
  </si>
  <si>
    <t>047234999</t>
  </si>
  <si>
    <t>HUAYUNGA MATTOS, JEAN CARLOS</t>
  </si>
  <si>
    <t>042592582</t>
  </si>
  <si>
    <t>BARDALES GONZALES, JENNIFER ISABEL</t>
  </si>
  <si>
    <t xml:space="preserve">TECNICO ADM. I CONTABLE </t>
  </si>
  <si>
    <t>044508913</t>
  </si>
  <si>
    <t>CARDENAS CHU, JESSY LORENA</t>
  </si>
  <si>
    <t>ESPECIALISTA EN CONTABILIDAD</t>
  </si>
  <si>
    <t>047166515</t>
  </si>
  <si>
    <t>DURAND CACERES, JHONATAN JHOSIAS</t>
  </si>
  <si>
    <t>TECNICO ADM. I LOGISTICA</t>
  </si>
  <si>
    <t>070020146</t>
  </si>
  <si>
    <t>QUINTANA ARAGON, JIMMY FRANK</t>
  </si>
  <si>
    <t>AUXILIAR LOGISTICA</t>
  </si>
  <si>
    <t>048174080</t>
  </si>
  <si>
    <t>ALVAREZ CALLE, JOSUE TIMOTEO</t>
  </si>
  <si>
    <t xml:space="preserve">OFICINISTA </t>
  </si>
  <si>
    <t>000096405</t>
  </si>
  <si>
    <t>VASQUEZ LAZO, KATIA</t>
  </si>
  <si>
    <t>TECNICO EN PLANILLAS</t>
  </si>
  <si>
    <t>080245448</t>
  </si>
  <si>
    <t>KAYSER EFRAIN TORRES PEREZ</t>
  </si>
  <si>
    <t>VIGILANTE 03</t>
  </si>
  <si>
    <t>000126515</t>
  </si>
  <si>
    <t>DELGADO HOYOS, LEONIDAS</t>
  </si>
  <si>
    <t>071051370</t>
  </si>
  <si>
    <t>CHOTA ORSI, MANUEL</t>
  </si>
  <si>
    <t>ASISTENTE LOGISTICO</t>
  </si>
  <si>
    <t>041841735</t>
  </si>
  <si>
    <t>RIGACCI ARRUNATEGUI, MARIA LUIASA</t>
  </si>
  <si>
    <t>OFICINISTA PARA EL ORGANO DE LA DIRECCION</t>
  </si>
  <si>
    <t>073791196</t>
  </si>
  <si>
    <t>RENGIFO MAHUA, MARLINA</t>
  </si>
  <si>
    <t>ESPECIALISTA ADM.</t>
  </si>
  <si>
    <t>022665558</t>
  </si>
  <si>
    <t>ARROYO COTRINA, MAURO</t>
  </si>
  <si>
    <t>TECNICO ADMINISTIVO I</t>
  </si>
  <si>
    <t>075484532</t>
  </si>
  <si>
    <t>MEZA LOPEZ, MAYCOL LUIS</t>
  </si>
  <si>
    <t>046366833</t>
  </si>
  <si>
    <t xml:space="preserve">CHAVEZ HOYOS, MILAGROS </t>
  </si>
  <si>
    <t>047935951</t>
  </si>
  <si>
    <t>CORDOVA CARRASCO, MILENA</t>
  </si>
  <si>
    <t>ABOGADO I</t>
  </si>
  <si>
    <t>022421082</t>
  </si>
  <si>
    <t>CABALLERO CORDOVA, NELSON VICTOR</t>
  </si>
  <si>
    <t>ESPECIALISTA ADM. I</t>
  </si>
  <si>
    <t>041695229</t>
  </si>
  <si>
    <t>VASQUEZ LIMA, PERCY DAVID</t>
  </si>
  <si>
    <t>OFICINISTA II</t>
  </si>
  <si>
    <t>047752579</t>
  </si>
  <si>
    <t>MIRANDA URREA DE VELA, PIERINA DEL PILAR</t>
  </si>
  <si>
    <t>073929778</t>
  </si>
  <si>
    <t>RAMOS SOTO, ROXANA RUBI</t>
  </si>
  <si>
    <t>076431125</t>
  </si>
  <si>
    <t>GONZALES PUMA, SAYDA ROSA</t>
  </si>
  <si>
    <t>000187361</t>
  </si>
  <si>
    <t>GONZALES ORDOÑEZ, VICTOR ALBERTO</t>
  </si>
  <si>
    <t>041737733</t>
  </si>
  <si>
    <t>AREVALO NAJAR, VICTOR ERNESTO</t>
  </si>
  <si>
    <t>000129601</t>
  </si>
  <si>
    <t>LOPEZ DEL AGUILA, VIRGINIA ANGELA</t>
  </si>
  <si>
    <t>070751277</t>
  </si>
  <si>
    <t>PINEDO SCHUNKE, WILMER JHOSEP</t>
  </si>
  <si>
    <t>044318256</t>
  </si>
  <si>
    <t>LOPEZ ORELLANA, MIGUEL OSCAR</t>
  </si>
  <si>
    <t>03 DE MAYO CONTRATO HASTA 31 DE DICIEMBRE</t>
  </si>
  <si>
    <t>048373348</t>
  </si>
  <si>
    <t>TUESTA VASQUEZ, MAR Y ESTRELLA</t>
  </si>
  <si>
    <t>ESPECIALISTA EN DERECHO</t>
  </si>
  <si>
    <t>047601165</t>
  </si>
  <si>
    <t>LOZANO SANCHEZ, KIMBERLY JAZMIN</t>
  </si>
  <si>
    <t>TECNICO ADMINISTIVO</t>
  </si>
  <si>
    <t>075694923</t>
  </si>
  <si>
    <t>RAMIREZ GAMA, KARLA LIVIS</t>
  </si>
  <si>
    <t>30 DE MAYO CONTRATO HASTA 31 DE DICIEMBRE</t>
  </si>
  <si>
    <t>TECNICO ADM. II</t>
  </si>
  <si>
    <t>O46449142</t>
  </si>
  <si>
    <t>SAAVEDRA FASAFI, JENNY JOHAN</t>
  </si>
  <si>
    <t>OFICINISTA ASE.JURIDIC</t>
  </si>
  <si>
    <t>O45985566</t>
  </si>
  <si>
    <t>PAREDES SALAZAR, GINA</t>
  </si>
  <si>
    <t>TECNICO EN REMUNER.</t>
  </si>
  <si>
    <t>077027449</t>
  </si>
  <si>
    <t>AREVALO RUIZ, HEYNI SHARON</t>
  </si>
  <si>
    <t>ESPECIALISTA ADMINISTRATIVO I</t>
  </si>
  <si>
    <t>O43692209</t>
  </si>
  <si>
    <t>JIMENEZ TUESTA, ENRIQUE MARCIAL</t>
  </si>
  <si>
    <t>TECNICO  ADMINISTRATIVO</t>
  </si>
  <si>
    <t>048428005</t>
  </si>
  <si>
    <t>SALAS CARRION, CINTHYA JOHANNA</t>
  </si>
  <si>
    <t>OFICINISTA ADMINISTRATIVO</t>
  </si>
  <si>
    <t>045737886</t>
  </si>
  <si>
    <t>PAREDES TALEXIS DE RIOS, ARIANITA BLAYR</t>
  </si>
  <si>
    <t>041649086</t>
  </si>
  <si>
    <t>PATRICIA GIOVANA DEL CASTILLO SABOYA</t>
  </si>
  <si>
    <t>ESPECIALISTA EN PROCESOS ADMINISTRATIVOS</t>
  </si>
  <si>
    <t>VELA ROMERO,ROMMY SENDY</t>
  </si>
  <si>
    <t>02 DE FEBRERO CONTRATO HASTA 31 DE DICIEMBRE</t>
  </si>
  <si>
    <r>
      <t xml:space="preserve"> </t>
    </r>
    <r>
      <rPr>
        <sz val="9"/>
        <rFont val="Calibri"/>
        <family val="2"/>
        <scheme val="minor"/>
      </rPr>
      <t xml:space="preserve">S/. 2,900.00 </t>
    </r>
  </si>
  <si>
    <t>ESPECIALISTA EN INFRAESTRUCTURA</t>
  </si>
  <si>
    <t>ZARZOSA LABINTO,FRANCIS</t>
  </si>
  <si>
    <t>S/. 2,900.00</t>
  </si>
  <si>
    <t>ESPECIALISTA EN ABASTECIMIENTO</t>
  </si>
  <si>
    <t>ROSAS MALLQUI,VIDAL</t>
  </si>
  <si>
    <t>TESORERO</t>
  </si>
  <si>
    <t>40963206</t>
  </si>
  <si>
    <t>RODOLFO HEZLIN ROJAS GOMEZ</t>
  </si>
  <si>
    <t>SIN TITULO</t>
  </si>
  <si>
    <t>JEFE DE PRESUPUESTO</t>
  </si>
  <si>
    <t>00099992</t>
  </si>
  <si>
    <t>EMETERIO TARRILLO RUIZ</t>
  </si>
  <si>
    <t>72374669</t>
  </si>
  <si>
    <t>MELINA GISSEL SANCHEZ RODRIGUEZ</t>
  </si>
  <si>
    <t>CON TITULO</t>
  </si>
  <si>
    <t>JEFE DE ALMACEN</t>
  </si>
  <si>
    <t>73903591</t>
  </si>
  <si>
    <t>KELLY PAOLA TORRES SAAVEDRA</t>
  </si>
  <si>
    <t>EXPERTO EN SIGA</t>
  </si>
  <si>
    <t>70245540</t>
  </si>
  <si>
    <t>LLERCY JAZMIR DEL AGUILA DEL AGUILA</t>
  </si>
  <si>
    <t>TECNICO EN INFORMATICA</t>
  </si>
  <si>
    <t xml:space="preserve">TECNICO INFORMATICO </t>
  </si>
  <si>
    <t>ESPECIALISTA EN REMUNERACIONES</t>
  </si>
  <si>
    <t>45088035</t>
  </si>
  <si>
    <t>EDWIN WILSON MENDEZ ECHEVARRIA</t>
  </si>
  <si>
    <t>41494111</t>
  </si>
  <si>
    <t>JUAN MARCOS RODRIGUEZ MARQUEZ</t>
  </si>
  <si>
    <t>ESPECIALISTA EN MONITOREO Y EVALUACIÓN</t>
  </si>
  <si>
    <t>72388601</t>
  </si>
  <si>
    <t>ADILIA RIOS RIVERA</t>
  </si>
  <si>
    <t>ESPECIALISTA EN IMAGEN INSTITUCIONAL</t>
  </si>
  <si>
    <t>JIMNER ALTAMIRANO CORAL</t>
  </si>
  <si>
    <t>ASISTENTE DE TESORERIA</t>
  </si>
  <si>
    <t>41191317</t>
  </si>
  <si>
    <t>JANNET DANITZA PINO ALEGRIA</t>
  </si>
  <si>
    <t>TECNICO EN SECRETARIADO</t>
  </si>
  <si>
    <t>ASISTENTE DE PLANEAMIENTO I</t>
  </si>
  <si>
    <t>44373588</t>
  </si>
  <si>
    <t>KATTYA DEL PILAR GARCIA GUTIERREZ</t>
  </si>
  <si>
    <t>46956725</t>
  </si>
  <si>
    <t>ALVIN ROJAS HUAYTA</t>
  </si>
  <si>
    <t>ASISTENTE SOCIAL</t>
  </si>
  <si>
    <t>00100968</t>
  </si>
  <si>
    <t>BETHY RUBI RIVAS DEL AGUILA</t>
  </si>
  <si>
    <t>ASISTENTE DE PERSONAL</t>
  </si>
  <si>
    <t>77707759</t>
  </si>
  <si>
    <t>ANDRIXS YOMIRA QUINTERO MIGUEL</t>
  </si>
  <si>
    <t>ESTUDIANTE TECNICO CONTABLE</t>
  </si>
  <si>
    <t>75888061</t>
  </si>
  <si>
    <t>LUIS ANGEL SOPLIN TORRES</t>
  </si>
  <si>
    <t>41786786</t>
  </si>
  <si>
    <t>MAYK JEOSELIH NUÑEZ RIOS</t>
  </si>
  <si>
    <t>75060216</t>
  </si>
  <si>
    <t>DORA MILAGROS MEZA MACEDO</t>
  </si>
  <si>
    <t>62751117</t>
  </si>
  <si>
    <t>RUTH FIORELA NOVOA LAUREANO</t>
  </si>
  <si>
    <t>EGRESADA EN TECNICO CONTABLE</t>
  </si>
  <si>
    <t>73603887</t>
  </si>
  <si>
    <t>LUZ CLARITA MEZA HUAMANI</t>
  </si>
  <si>
    <t>72256739</t>
  </si>
  <si>
    <t>MARIA CRISTINA DIAZ PIMENTEL</t>
  </si>
  <si>
    <t>ESTUDIANTE EN SECRETARIADO EJECUTIVO</t>
  </si>
  <si>
    <t>47265374</t>
  </si>
  <si>
    <t>JHANNIR MAYRET PEZO SILVA</t>
  </si>
  <si>
    <t>ESPECIALISTA EN PROCESO ADMINISTRATIVO DISCIPLINARIO</t>
  </si>
  <si>
    <t>22514304</t>
  </si>
  <si>
    <t>EFREN BILL PAUCAR ROJAS</t>
  </si>
  <si>
    <t>JEFE DE GESTIÓN INSTITUCIONAL</t>
  </si>
  <si>
    <t>CESAR ANTONIO RAMOS RAMIREZ</t>
  </si>
  <si>
    <t>LICENCIADO EN CONTABILIDAD</t>
  </si>
  <si>
    <t>70754951</t>
  </si>
  <si>
    <t>JOSE ANGEL VIGO VASQUEZ</t>
  </si>
  <si>
    <t>301 - EDUCACION PURUS</t>
  </si>
  <si>
    <t xml:space="preserve">R.O. </t>
  </si>
  <si>
    <t>CAS SEDE</t>
  </si>
  <si>
    <t>PAREDES RIOS EDMUNDO</t>
  </si>
  <si>
    <t>N°0002-2021</t>
  </si>
  <si>
    <t>GOMEZ TUESTA DIANA CAROLINA</t>
  </si>
  <si>
    <t>ENCARGADO DEL SIGA</t>
  </si>
  <si>
    <t>QUIROZ SAENZ GABRIEL</t>
  </si>
  <si>
    <t>SUPERIORES NO CONLUIDOS</t>
  </si>
  <si>
    <t>N°0002-2022</t>
  </si>
  <si>
    <t>RIVEYRO GRANDES PILAR</t>
  </si>
  <si>
    <t>N°0002-2023</t>
  </si>
  <si>
    <t>13 MESES</t>
  </si>
  <si>
    <t>GUZMAN PEZO MIRELI</t>
  </si>
  <si>
    <t>ASISTENTE DE PPTO.</t>
  </si>
  <si>
    <t>PEREZ ROJAS LEONARD LUIS</t>
  </si>
  <si>
    <t>SUPERIORES NO CONCLUIDOS</t>
  </si>
  <si>
    <t>ENCARGADO DEL AIRSHP</t>
  </si>
  <si>
    <t>BERNEDO CORNEJO JUAN CARLOS</t>
  </si>
  <si>
    <t>ALMACEN</t>
  </si>
  <si>
    <t>LOZANO CHAVEZ BERTIER</t>
  </si>
  <si>
    <t>DIAZ GONZALES DE ESTRELLA CAROL</t>
  </si>
  <si>
    <t>ESTADISTICA</t>
  </si>
  <si>
    <t>REATEGUI LABAJOS TEDDY</t>
  </si>
  <si>
    <t>ESPECIALISTA EN MONITOREO</t>
  </si>
  <si>
    <t>ISUIZA TUANAMA DELMER</t>
  </si>
  <si>
    <t>DOCENTE</t>
  </si>
  <si>
    <t>N°00011-2020</t>
  </si>
  <si>
    <t>ESPECIALISTA EN PROCESOS ADM.</t>
  </si>
  <si>
    <t>MENDOZA SALAS MARIANELA</t>
  </si>
  <si>
    <t>N°00010-2020</t>
  </si>
  <si>
    <t>ANALISTA ADMINISTRATIVO</t>
  </si>
  <si>
    <t>VILLACORTA LINARES MARCO ANTONIO</t>
  </si>
  <si>
    <t>N°00022-2019</t>
  </si>
  <si>
    <t>CAVERO EGUSQUIZA ESTANISLAO JOSE ESTANISLAO</t>
  </si>
  <si>
    <t>N° 00009-2020</t>
  </si>
  <si>
    <t>ALVARADO THENCHERA JORGE LUIS</t>
  </si>
  <si>
    <t>ASISTENTE DE PRESUPUESTO</t>
  </si>
  <si>
    <t>ANDION RUIZ CLAUDIA MISHEL</t>
  </si>
  <si>
    <t>ESTUDIO SUPERIORES NO CONCLUIDOS</t>
  </si>
  <si>
    <t>AREVALO VASQUEZ NOELIA</t>
  </si>
  <si>
    <t>FLORES RENGIFO ERIKA</t>
  </si>
  <si>
    <t>ESTUDIOS SECUNDARIOS COMPLETO</t>
  </si>
  <si>
    <t>PATRIMONIO</t>
  </si>
  <si>
    <t>GARCI AOCHOA MIGUEL ANGEL</t>
  </si>
  <si>
    <t>ASITENTE DE REMUNERACIONES</t>
  </si>
  <si>
    <t>PORTOCARRERO SINACAY JENRRY</t>
  </si>
  <si>
    <t>SALAS PAREDES ANTONIA</t>
  </si>
  <si>
    <t>MESA DE PARTES</t>
  </si>
  <si>
    <t>SALDAÑA RAMIREZ GINNA PAOLA</t>
  </si>
  <si>
    <t>CAS PRONOEI</t>
  </si>
  <si>
    <t>ALFABETIZADORES</t>
  </si>
  <si>
    <t>AGUSTIN SENTENO VANIA DEBORA</t>
  </si>
  <si>
    <t>PROGRAMA</t>
  </si>
  <si>
    <t>ARTURO CAMILO TANIA</t>
  </si>
  <si>
    <t>DEL AGUILA LOPEZ MARITZA</t>
  </si>
  <si>
    <t>DEL AGUILA SOMAJI MELANIE</t>
  </si>
  <si>
    <t>KIRINO RODRIGUEZ NILDA</t>
  </si>
  <si>
    <t>MELENDEZ RAMIREZ ISABEL</t>
  </si>
  <si>
    <t>MINAURO SALAS ROSA DEL CARMEN</t>
  </si>
  <si>
    <t>MONTES MONTES CINTHIA</t>
  </si>
  <si>
    <t>PEREZ HUANCHO SULEMA SOILA</t>
  </si>
  <si>
    <t>PINEDO ROQUE SANDRA</t>
  </si>
  <si>
    <t>OINEDO KIRINO CARMEN</t>
  </si>
  <si>
    <t>PUGA CHOTA LEOVINA</t>
  </si>
  <si>
    <t>RODRIGUEZ SANCHEZ CLIOFE GABI</t>
  </si>
  <si>
    <t>TORRES CONQUI CARMEN ESTELA</t>
  </si>
  <si>
    <t>TORRES TACHIANA OLGA</t>
  </si>
  <si>
    <t>CAS RER</t>
  </si>
  <si>
    <t>DOCENCIA</t>
  </si>
  <si>
    <t>FERNNADEZ LIMA ILDA MANUELA</t>
  </si>
  <si>
    <t xml:space="preserve">DOCENTES </t>
  </si>
  <si>
    <t>DIAZ AREVALO DARVIS</t>
  </si>
  <si>
    <t>PANDURO MEZA MATEO ALEXIS</t>
  </si>
  <si>
    <t>HERNANDEZ RAMIREZ MARIELA BEATRIZ</t>
  </si>
  <si>
    <t>RIOS FLORES RUTH ESTER</t>
  </si>
  <si>
    <t>MOTTA GOZMAN ROBET DAVID</t>
  </si>
  <si>
    <t>PINCHI ROMAIMA SOBEIDA</t>
  </si>
  <si>
    <t>PINEDO SIFUENTES MARLON</t>
  </si>
  <si>
    <t>PONCE YUIMACHE OSACAR FREDDY</t>
  </si>
  <si>
    <t>SALAZAR CERRON MITSY FIORELLA</t>
  </si>
  <si>
    <t>CAS PELA</t>
  </si>
  <si>
    <t>TORRES TORRES AGUSTIN</t>
  </si>
  <si>
    <t>IZQUIERDO RUIZ SULY ESTELA</t>
  </si>
  <si>
    <t>FAQUIN FRANCO LUZ GEOVANNA</t>
  </si>
  <si>
    <t>CAS ESGAI</t>
  </si>
  <si>
    <t>RACIONALIZACION</t>
  </si>
  <si>
    <t>JEFE ABASTECIMIENTO</t>
  </si>
  <si>
    <t>RR.HH.</t>
  </si>
  <si>
    <t>COORDINADOR DE COMPROMISOS</t>
  </si>
  <si>
    <t>PSICOLOGA</t>
  </si>
  <si>
    <t>CHIJUTALLI MEGO CECILIA</t>
  </si>
  <si>
    <t>CAS COONVI. ESCOLAR</t>
  </si>
  <si>
    <t>VALENZUELA ALVAREZ LUIS MIGUEL</t>
  </si>
  <si>
    <t>CAS RES. CAL. INFOR.</t>
  </si>
  <si>
    <t>ENCARGADO DEL SIAGI</t>
  </si>
  <si>
    <t>MUÑOZ PEREZ MARCO ALBERTO</t>
  </si>
  <si>
    <t>SISTEMAS</t>
  </si>
  <si>
    <t>CAS FOR. TUTOR</t>
  </si>
  <si>
    <t>IZQUIERDO RUIZ ZULY ESTHELA</t>
  </si>
  <si>
    <t>KIRINO RODRIGUEZ GEOVANNI</t>
  </si>
  <si>
    <t>TAYPE CHAVEZ JUDITH</t>
  </si>
  <si>
    <t>TELLO SEGARRA JUAN ANTONIO</t>
  </si>
  <si>
    <t>RED DE SALUD DE CORONEL PORTILLO</t>
  </si>
  <si>
    <t xml:space="preserve">OTROS </t>
  </si>
  <si>
    <t>CAS REGULAR</t>
  </si>
  <si>
    <t>43276071</t>
  </si>
  <si>
    <t>ACARO MURAYARI EDY</t>
  </si>
  <si>
    <t>Superior completo</t>
  </si>
  <si>
    <t>40692512</t>
  </si>
  <si>
    <t>ACHO TAFUR SHIRLEY JHONHANE</t>
  </si>
  <si>
    <t>Técnico superior completo</t>
  </si>
  <si>
    <t>44257006</t>
  </si>
  <si>
    <t>AGUIRRE REATEGUI MARDEN JUNIOR NEDRAM</t>
  </si>
  <si>
    <t>40685604</t>
  </si>
  <si>
    <t>ALCA GAMBOA SULME</t>
  </si>
  <si>
    <t>47061340</t>
  </si>
  <si>
    <t>ALVARADO CERDAN LUCELI</t>
  </si>
  <si>
    <t>40799985</t>
  </si>
  <si>
    <t>ANADON BOCANEGRA DE RIME LUZMILA</t>
  </si>
  <si>
    <t>70469320</t>
  </si>
  <si>
    <t>ANDRADE CHUQUIPIONDO LEIDY MARGOT</t>
  </si>
  <si>
    <t>* SIN PROFESIÓN NI CARRERA TÉCNICA</t>
  </si>
  <si>
    <t>Primaria completa</t>
  </si>
  <si>
    <t>44726233</t>
  </si>
  <si>
    <t>APAGÜEÑO MARTINEZ ESHDID NISGREY</t>
  </si>
  <si>
    <t>43297160</t>
  </si>
  <si>
    <t>AREVALO GUEVARA VICTOR DANIEL</t>
  </si>
  <si>
    <t>MEDICO CIRUJANO</t>
  </si>
  <si>
    <t>46207355</t>
  </si>
  <si>
    <t>AREVALO LINARES DE DIAZ KATRHYN VALERY</t>
  </si>
  <si>
    <t>45351814</t>
  </si>
  <si>
    <t>AYACHI LOVERA MARTHA LUZ</t>
  </si>
  <si>
    <t>45586977</t>
  </si>
  <si>
    <t>BARRIONUEVO FLORES JOSSELY ADDERLY</t>
  </si>
  <si>
    <t>PROFESOR EDUCACION SECUNDARIA</t>
  </si>
  <si>
    <t>43043375</t>
  </si>
  <si>
    <t>BLAS BLAS JHON ERIK</t>
  </si>
  <si>
    <t>INGENIERO SISTEMAS INFORMATICOS</t>
  </si>
  <si>
    <t>Superior incompleto</t>
  </si>
  <si>
    <t>46200897</t>
  </si>
  <si>
    <t>CAJO MARTINEZ KATIA ISABEL</t>
  </si>
  <si>
    <t>45077614</t>
  </si>
  <si>
    <t>CAMPOS GALAN CINDY</t>
  </si>
  <si>
    <t>46032573</t>
  </si>
  <si>
    <t>CANO ANCHIMANYA WANDER ELMER</t>
  </si>
  <si>
    <t>45384340</t>
  </si>
  <si>
    <t>CARDENAS TORRES MARIEL ANELY</t>
  </si>
  <si>
    <t>80127031</t>
  </si>
  <si>
    <t>CARRANZA TUESTA ELITHA</t>
  </si>
  <si>
    <t>Secundaria completa</t>
  </si>
  <si>
    <t>43129823</t>
  </si>
  <si>
    <t>CHAVEZ DELGADO JUAN JESUS MARTIN</t>
  </si>
  <si>
    <t>42565000</t>
  </si>
  <si>
    <t>CHUMBE VELA VICTOR HUGO</t>
  </si>
  <si>
    <t>47044138</t>
  </si>
  <si>
    <t>CORDOVA PINEDO VANIA VANESA</t>
  </si>
  <si>
    <t>45929483</t>
  </si>
  <si>
    <t>CORI CAMPOO TEREZA ZILEDY</t>
  </si>
  <si>
    <t>09962671</t>
  </si>
  <si>
    <t>COSME VENTURA DIANA LUZ</t>
  </si>
  <si>
    <t>44670278</t>
  </si>
  <si>
    <t>CUNIVO RAMOS SANDRA</t>
  </si>
  <si>
    <t>41616462</t>
  </si>
  <si>
    <t>DAVILA PEREZ PERCY WILLY</t>
  </si>
  <si>
    <t>TECNICO EN COMPUTACION E INFORMATICA/EN COMPUTADORAS</t>
  </si>
  <si>
    <t>70791286</t>
  </si>
  <si>
    <t>DE LA CRUZ TUESTA KAROLY</t>
  </si>
  <si>
    <t>42975230</t>
  </si>
  <si>
    <t>DEL AGUILA PANDURO GLORIA MARIA</t>
  </si>
  <si>
    <t>44135176</t>
  </si>
  <si>
    <t>DEL CASTILLO CUMAPA GINO</t>
  </si>
  <si>
    <t>48184762</t>
  </si>
  <si>
    <t>DIAZ CAMACHO KAREN LILIANA</t>
  </si>
  <si>
    <t>41204548</t>
  </si>
  <si>
    <t>ESPINOZA VIN HILDA ROSARIO</t>
  </si>
  <si>
    <t>21127601</t>
  </si>
  <si>
    <t>ESPINOZA ALANIA WILDER MARCOS</t>
  </si>
  <si>
    <t>ADMINISTRADOR</t>
  </si>
  <si>
    <t>22527591</t>
  </si>
  <si>
    <t>FERMIN TARAZONA WILMER</t>
  </si>
  <si>
    <t>48125965</t>
  </si>
  <si>
    <t>FERNANDEZ MORI ESTHER</t>
  </si>
  <si>
    <t>45320695</t>
  </si>
  <si>
    <t>FLORES DIAZ ANITA ELIZABETH</t>
  </si>
  <si>
    <t>40527169</t>
  </si>
  <si>
    <t>FLORES RODRIGUEZ JUAN TOMAS</t>
  </si>
  <si>
    <t>Secundaria incompleta</t>
  </si>
  <si>
    <t>45774714</t>
  </si>
  <si>
    <t>FLORES RENGIFO ARTURO</t>
  </si>
  <si>
    <t>47193939</t>
  </si>
  <si>
    <t>FLORES YAHUARCANI CARLOS EDUARDO</t>
  </si>
  <si>
    <t>44785101</t>
  </si>
  <si>
    <t>GONZALES QUIROZ ELIZA DEL PILAR</t>
  </si>
  <si>
    <t>46473896</t>
  </si>
  <si>
    <t>GONZALES PEREZ KAROL LISLEY</t>
  </si>
  <si>
    <t>72192049</t>
  </si>
  <si>
    <t>GUERRA PIZANGO XIMENA ROCIO</t>
  </si>
  <si>
    <t>45080105</t>
  </si>
  <si>
    <t>GUERRA VELA VANIA CRISTHIANE</t>
  </si>
  <si>
    <t>MEDICO PSIQUIATRA</t>
  </si>
  <si>
    <t>24716939</t>
  </si>
  <si>
    <t>GUTIERREZ ANTONIO JESSY SHIRLEY</t>
  </si>
  <si>
    <t>41683465</t>
  </si>
  <si>
    <t>HERRERA ALVIS DICK RODER</t>
  </si>
  <si>
    <t>40991754</t>
  </si>
  <si>
    <t>HUALLPA CARDENAS ROYER RAUL</t>
  </si>
  <si>
    <t>00093050</t>
  </si>
  <si>
    <t>ISHUIZA GONZALES ZULMITH</t>
  </si>
  <si>
    <t>70386293</t>
  </si>
  <si>
    <t>JULCA BAUTISTA DELIA SONIA</t>
  </si>
  <si>
    <t>TRABAJADOR(A) SOCIAL</t>
  </si>
  <si>
    <t>42260316</t>
  </si>
  <si>
    <t>LUNA OÑATE SHERILYN</t>
  </si>
  <si>
    <t>41597706</t>
  </si>
  <si>
    <t>LUNA MANSILLA ANGHELA MARA</t>
  </si>
  <si>
    <t>44742405</t>
  </si>
  <si>
    <t>MARIN PANAIFO CINTHYA LILIBETH</t>
  </si>
  <si>
    <t>72230693</t>
  </si>
  <si>
    <t>MARTEL PANDURO GERSON</t>
  </si>
  <si>
    <t>45257148</t>
  </si>
  <si>
    <t>MEDINA OLIMAR RONALD</t>
  </si>
  <si>
    <t>45833441</t>
  </si>
  <si>
    <t>MENA CCORICASA YESENIA EPIFANIA</t>
  </si>
  <si>
    <t>22499472</t>
  </si>
  <si>
    <t>MENDOZA VALVERDE CARLOS AUGUSTO</t>
  </si>
  <si>
    <t>45209957</t>
  </si>
  <si>
    <t>MENESES MAJIPO MELIDA LIZETH</t>
  </si>
  <si>
    <t>41446578</t>
  </si>
  <si>
    <t>MEZA AUCALLANCHI MERLY AURORA</t>
  </si>
  <si>
    <t>46019141</t>
  </si>
  <si>
    <t>MINAYA SANTA CRUZ ANGELITA</t>
  </si>
  <si>
    <t>43506094</t>
  </si>
  <si>
    <t>MONTOYA MORI MEYER OLIVER</t>
  </si>
  <si>
    <t>71055437</t>
  </si>
  <si>
    <t>MORENO SALAS ROMNEY REYES</t>
  </si>
  <si>
    <t>09885752</t>
  </si>
  <si>
    <t>MORI ACERO SANTOS EDITH</t>
  </si>
  <si>
    <t>44019842</t>
  </si>
  <si>
    <t>MORILLO SILVANO VICTOR ANDRES</t>
  </si>
  <si>
    <t>75144612</t>
  </si>
  <si>
    <t>MORY BLAS YANIRA ANDREA</t>
  </si>
  <si>
    <t>47530795</t>
  </si>
  <si>
    <t>MOZOMBITE DAVILA KATIUSCA MARILIA</t>
  </si>
  <si>
    <t>43880763</t>
  </si>
  <si>
    <t>NILSSON SILVA ANA GLADITH</t>
  </si>
  <si>
    <t>00000000</t>
  </si>
  <si>
    <t>NO REGISTRADO NO REGISTRADO NO REGISTRADO</t>
  </si>
  <si>
    <t>41869198</t>
  </si>
  <si>
    <t>NORIEGA RAMIREZ LARIZA ELISA</t>
  </si>
  <si>
    <t>47301168</t>
  </si>
  <si>
    <t>OCHOA TERRONES SAULO</t>
  </si>
  <si>
    <t>TECNICO DE FARMACIA</t>
  </si>
  <si>
    <t>47851388</t>
  </si>
  <si>
    <t>PAIMA VELA KARLA GIOVANNI</t>
  </si>
  <si>
    <t>75474724</t>
  </si>
  <si>
    <t>PAIMA TARICUARIMA CESIA YESSENIA</t>
  </si>
  <si>
    <t>42766590</t>
  </si>
  <si>
    <t>PALACIN MALLQUI LESLIE CAROL</t>
  </si>
  <si>
    <t>42825878</t>
  </si>
  <si>
    <t>PANDURO RUIZ DE FERREYRA KARIN</t>
  </si>
  <si>
    <t>40121250</t>
  </si>
  <si>
    <t>PANDURO GONZALES MARIA ROSARIO</t>
  </si>
  <si>
    <t>44339722</t>
  </si>
  <si>
    <t>PAREDES CARDENAS CLAUDIA PAMELA</t>
  </si>
  <si>
    <t>42487677</t>
  </si>
  <si>
    <t>PEREZ PEREZ JOSE MANUEL</t>
  </si>
  <si>
    <t>22974373</t>
  </si>
  <si>
    <t>PEZO NAVARRO ABNER</t>
  </si>
  <si>
    <t>45167744</t>
  </si>
  <si>
    <t>PEZO LOPEZ ROBERTO</t>
  </si>
  <si>
    <t>TECNOLOGO MEDICO TERAPIA FISICA Y REHABILITACION</t>
  </si>
  <si>
    <t>46678532</t>
  </si>
  <si>
    <t>PINEDO MORALES MARJORIE PATRICIA</t>
  </si>
  <si>
    <t>09082540</t>
  </si>
  <si>
    <t>QUIÑONES SAENZ JORGE ENRIQUE</t>
  </si>
  <si>
    <t>22488167</t>
  </si>
  <si>
    <t>QUISPE YLLATOPA ELENA LOURDES</t>
  </si>
  <si>
    <t>45356190</t>
  </si>
  <si>
    <t>RAMIREZ COSAR BEATRIZ LELY</t>
  </si>
  <si>
    <t>43841140</t>
  </si>
  <si>
    <t>RAMIREZ REATEGUI WINSTON CHURCHILL</t>
  </si>
  <si>
    <t>44331835</t>
  </si>
  <si>
    <t>REATEGUI VALDERRAMA DE RAMIREZ LLUVIDTZA</t>
  </si>
  <si>
    <t>40955356</t>
  </si>
  <si>
    <t>REATEGUI RIOS RITA LUZMILA</t>
  </si>
  <si>
    <t>80395881</t>
  </si>
  <si>
    <t>RENGIFO LOPEZ RAMON DANIEL</t>
  </si>
  <si>
    <t>TECNICO ADMINISTRADOR</t>
  </si>
  <si>
    <t>41182331</t>
  </si>
  <si>
    <t>RENGIFO LOPEZ JACKIER ENRIQUE</t>
  </si>
  <si>
    <t>40293198</t>
  </si>
  <si>
    <t>REYNA CARDENAS ANA LIZ</t>
  </si>
  <si>
    <t>43140850</t>
  </si>
  <si>
    <t>REYNA MACEDO LIZBETH</t>
  </si>
  <si>
    <t>00118746</t>
  </si>
  <si>
    <t>RICOPA SALAZAR MARIZABEL</t>
  </si>
  <si>
    <t>10150551</t>
  </si>
  <si>
    <t>RICRA YAULI NIDA PATRICIA</t>
  </si>
  <si>
    <t>40272816</t>
  </si>
  <si>
    <t>RIOS BAZALAR LELIA SOCORRO</t>
  </si>
  <si>
    <t>43522679</t>
  </si>
  <si>
    <t>RIOS BAZALAR GINA MARIA</t>
  </si>
  <si>
    <t>40912168</t>
  </si>
  <si>
    <t>RIVERA GUTIERREZ LYSIA NAYLA</t>
  </si>
  <si>
    <t>42230921</t>
  </si>
  <si>
    <t>RODRIGUEZ DAVILA JOSE LUIS</t>
  </si>
  <si>
    <t>47367596</t>
  </si>
  <si>
    <t>ROJAS PUERTAS JUAN DIEGO</t>
  </si>
  <si>
    <t>43133862</t>
  </si>
  <si>
    <t>ROSALES CAHUAZA EDUARDO</t>
  </si>
  <si>
    <t>46048774</t>
  </si>
  <si>
    <t>RUIZ GUERRA SARITA IRENE</t>
  </si>
  <si>
    <t>43824781</t>
  </si>
  <si>
    <t>SALAZAR RUIZ DIANA KARINA</t>
  </si>
  <si>
    <t>00028477</t>
  </si>
  <si>
    <t>SALDAÑA PANDURO WUITMER</t>
  </si>
  <si>
    <t>47076503</t>
  </si>
  <si>
    <t>SALDAÑA MURAYARI LUZ PERLITA</t>
  </si>
  <si>
    <t>78716946</t>
  </si>
  <si>
    <t>SALVATIERRA DAVILA CLAUDIA STEFANY</t>
  </si>
  <si>
    <t>44419616</t>
  </si>
  <si>
    <t>SANCHEZ DA CRUZ ROCIO DEL MILAGRO</t>
  </si>
  <si>
    <t>00087355</t>
  </si>
  <si>
    <t>SEGURA PEREZ PERCY ENRIQUE</t>
  </si>
  <si>
    <t>74312354</t>
  </si>
  <si>
    <t>SILVA VARA PIERINA GREYS</t>
  </si>
  <si>
    <t>45675532</t>
  </si>
  <si>
    <t>SILVA VELA BLANCA LUZ</t>
  </si>
  <si>
    <t>46807869</t>
  </si>
  <si>
    <t>SILVA COTRINA PATRICIA BRIGGHITE</t>
  </si>
  <si>
    <t>42775838</t>
  </si>
  <si>
    <t>SINARAHUA CRUZ WILIANS ALEX</t>
  </si>
  <si>
    <t>41176588</t>
  </si>
  <si>
    <t>SOLANO GOMEZ YASMANI</t>
  </si>
  <si>
    <t>43093345</t>
  </si>
  <si>
    <t>TAFUR MUÑOZ KATTY LUZ</t>
  </si>
  <si>
    <t>40476584</t>
  </si>
  <si>
    <t>TANANTA TAFUR YNES</t>
  </si>
  <si>
    <t>42464132</t>
  </si>
  <si>
    <t>TELLO DEL AGUILA CARLOS ENRIQUE</t>
  </si>
  <si>
    <t>76368691</t>
  </si>
  <si>
    <t>TELLO CHU ROMELIA SOFIA</t>
  </si>
  <si>
    <t>41903604</t>
  </si>
  <si>
    <t>TELLO RODRIGUEZ ALCIDIA MARGARITA</t>
  </si>
  <si>
    <t>00047988</t>
  </si>
  <si>
    <t>TOLENTINO MONZON JORGE DANTE</t>
  </si>
  <si>
    <t>00099721</t>
  </si>
  <si>
    <t>TORRES RIOS MARLON</t>
  </si>
  <si>
    <t>46194639</t>
  </si>
  <si>
    <t>TORRES PACAYA DE MALPARTIDA SAIDA JESSICA</t>
  </si>
  <si>
    <t>00100253</t>
  </si>
  <si>
    <t>VARGAS MELENDEZ MARILIN</t>
  </si>
  <si>
    <t>71374804</t>
  </si>
  <si>
    <t>VARGAS VARGAS MANUEL FERNANDO</t>
  </si>
  <si>
    <t>48289036</t>
  </si>
  <si>
    <t>VARGAS SALDAÑA MARIA MAGDALENA</t>
  </si>
  <si>
    <t>46828395</t>
  </si>
  <si>
    <t>VASQUEZ LINARES KIARA PAOLA</t>
  </si>
  <si>
    <t>44807576</t>
  </si>
  <si>
    <t>VEGA CANO ANA TERESA</t>
  </si>
  <si>
    <t>42580580</t>
  </si>
  <si>
    <t>VELA CLAROS MAYGOLITH</t>
  </si>
  <si>
    <t>73567904</t>
  </si>
  <si>
    <t>VELA FASABI MARIA ISABEL</t>
  </si>
  <si>
    <t>41616452</t>
  </si>
  <si>
    <t>VILLACORTA MORI POLA</t>
  </si>
  <si>
    <t>48300879</t>
  </si>
  <si>
    <t>VILLACORTA VENANCINO KATTY ZULMIRA</t>
  </si>
  <si>
    <t>09803387</t>
  </si>
  <si>
    <t>WONG RAMIREZ CARLOS ALBERTO</t>
  </si>
  <si>
    <t>47091741</t>
  </si>
  <si>
    <t>YZAGUIRRE BARRETO ELIZABETH PAOLA</t>
  </si>
  <si>
    <t>00126103</t>
  </si>
  <si>
    <t>ZEGARRA GOMEZ NILA FLOR</t>
  </si>
  <si>
    <t>40021700</t>
  </si>
  <si>
    <t>ZEVALLOS DAVILA TERESA AMPARO</t>
  </si>
  <si>
    <t>CAS COVID</t>
  </si>
  <si>
    <t>46289096</t>
  </si>
  <si>
    <t>AGUILAR LOZANO NESTOR</t>
  </si>
  <si>
    <t>77657960</t>
  </si>
  <si>
    <t>AHUANARI MACHOA WILLIAN RONAL</t>
  </si>
  <si>
    <t>73391063</t>
  </si>
  <si>
    <t>AMACIFUEN TANANTA ALEX KERMIT</t>
  </si>
  <si>
    <t>00956213</t>
  </si>
  <si>
    <t>AMACIFUEN VARGAS KERMITT</t>
  </si>
  <si>
    <t>42105845</t>
  </si>
  <si>
    <t>AMEZQUITA DEL AGUILA VERALUZ</t>
  </si>
  <si>
    <t>00080155</t>
  </si>
  <si>
    <t>ANDRADE PEÑA IRMA</t>
  </si>
  <si>
    <t>TECNICO LABORATORISTA</t>
  </si>
  <si>
    <t>71987518</t>
  </si>
  <si>
    <t>APONTE SHUPINGAHUA JHON PATRICK</t>
  </si>
  <si>
    <t>45278297</t>
  </si>
  <si>
    <t>ARBILDO MORALES DORIS VIOLETA</t>
  </si>
  <si>
    <t>46239648</t>
  </si>
  <si>
    <t>AREVALO ZUMBA DAYSI</t>
  </si>
  <si>
    <t>71852936</t>
  </si>
  <si>
    <t>AREVALO PARDO KEISY STEFANY</t>
  </si>
  <si>
    <t>00109495</t>
  </si>
  <si>
    <t>ARISTA SANDOVAL MARGIURY SABY</t>
  </si>
  <si>
    <t>47336158</t>
  </si>
  <si>
    <t>ARISTA TANANTA PAUL JESUS</t>
  </si>
  <si>
    <t>75711254</t>
  </si>
  <si>
    <t>ARMAS GONZALES LEANDRO ATILIO</t>
  </si>
  <si>
    <t>46031135</t>
  </si>
  <si>
    <t>AROSTEGUI SIMON LUCILA</t>
  </si>
  <si>
    <t>45659945</t>
  </si>
  <si>
    <t>ASPAJO MARICAHUA JENNY</t>
  </si>
  <si>
    <t>77125976</t>
  </si>
  <si>
    <t>BARDALES DIAZ FRANKO BALDOMER</t>
  </si>
  <si>
    <t>72627303</t>
  </si>
  <si>
    <t>BARDALES MORALES PEDRO JOSE</t>
  </si>
  <si>
    <t>44456640</t>
  </si>
  <si>
    <t>BERMEO GUERRERO PAULA EULALIA</t>
  </si>
  <si>
    <t>42917290</t>
  </si>
  <si>
    <t>BOCANEGRA MOZOMBITE JESSICA JULISSA</t>
  </si>
  <si>
    <t>00099055</t>
  </si>
  <si>
    <t>BOOTTGER NAVARRO NOYDA</t>
  </si>
  <si>
    <t>209;579</t>
  </si>
  <si>
    <t>47722184</t>
  </si>
  <si>
    <t>BRAVO ARMAS CARLOS ALBERTO</t>
  </si>
  <si>
    <t>77341643</t>
  </si>
  <si>
    <t>BUENAPICO AGUILAR LLOISI PAOLA</t>
  </si>
  <si>
    <t>46375091</t>
  </si>
  <si>
    <t>BURGA SALDAÑA STHEFANY</t>
  </si>
  <si>
    <t>00106012</t>
  </si>
  <si>
    <t>CABALLERO GUERRA MARIA ROSINI</t>
  </si>
  <si>
    <t>45181753</t>
  </si>
  <si>
    <t>CACERES HUANCI GRACE</t>
  </si>
  <si>
    <t>70987136</t>
  </si>
  <si>
    <t>CACHIQUE ZEVALLOS YESSENIA</t>
  </si>
  <si>
    <t>73769485</t>
  </si>
  <si>
    <t>CALDERON AMAYA RENZO LUIS</t>
  </si>
  <si>
    <t>43066701</t>
  </si>
  <si>
    <t>CALDERON QUIROZ SARA ESLI</t>
  </si>
  <si>
    <t>41383585</t>
  </si>
  <si>
    <t>CAMA LLANTO JACKELIN ESTEFANI</t>
  </si>
  <si>
    <t>77529726</t>
  </si>
  <si>
    <t>CAMPOS AGUIRRE LIZ YENITH</t>
  </si>
  <si>
    <t>40108222</t>
  </si>
  <si>
    <t>CANAYO OLORTEGUI JESUS</t>
  </si>
  <si>
    <t>40599305</t>
  </si>
  <si>
    <t>CARDENAS FLORES KELWIN</t>
  </si>
  <si>
    <t>76838243</t>
  </si>
  <si>
    <t>CARDENAS SANCHEZ MARIA VERONICA</t>
  </si>
  <si>
    <t>44316595</t>
  </si>
  <si>
    <t>CARDENAS FLORES CRISTIAN ALEXANDER</t>
  </si>
  <si>
    <t>71573516</t>
  </si>
  <si>
    <t>CARO TELLO PEDRO LUIGY</t>
  </si>
  <si>
    <t>73248684</t>
  </si>
  <si>
    <t>CARTAGENA RAMOS JHONNY DANIEL</t>
  </si>
  <si>
    <t>43191677</t>
  </si>
  <si>
    <t>CASTRO VASQUEZ JUAN RAMON</t>
  </si>
  <si>
    <t>10281287</t>
  </si>
  <si>
    <t>CHAVEZ MUÑOZ VANESSA</t>
  </si>
  <si>
    <t>43529651</t>
  </si>
  <si>
    <t>CHOTA GONZALES GREYSI LUZ</t>
  </si>
  <si>
    <t>42114481</t>
  </si>
  <si>
    <t>CHU OROCHE CINTHYA KAREN</t>
  </si>
  <si>
    <t>05328941</t>
  </si>
  <si>
    <t>COMETIVOS PINEDO RICHARD</t>
  </si>
  <si>
    <t>Técnico superior incompleto</t>
  </si>
  <si>
    <t>10435731</t>
  </si>
  <si>
    <t>CONTRERAS GOZAR JENNY EDITH</t>
  </si>
  <si>
    <t>233;598</t>
  </si>
  <si>
    <t>42658944</t>
  </si>
  <si>
    <t>CONTRERAS SOLORZANO VICTOR TANAKA</t>
  </si>
  <si>
    <t>41932785</t>
  </si>
  <si>
    <t>CORI CAMPOO ROLI</t>
  </si>
  <si>
    <t>70749087</t>
  </si>
  <si>
    <t>CRUZ HERNANDEZ RUDY MARICIELO</t>
  </si>
  <si>
    <t>72094435</t>
  </si>
  <si>
    <t>CUETO CABREJOS JUAN HUMBERTO</t>
  </si>
  <si>
    <t>41374295</t>
  </si>
  <si>
    <t>CUZCANO MALPARTIDA RAUL ENRIQUE</t>
  </si>
  <si>
    <t>00188169</t>
  </si>
  <si>
    <t>DE LA CRUZ AHUANARI JUAN</t>
  </si>
  <si>
    <t>44065865</t>
  </si>
  <si>
    <t>DEL AGUILA PEREZ BELLITA MARGOT</t>
  </si>
  <si>
    <t>46914703</t>
  </si>
  <si>
    <t>DEL AGUILA YONG CHRISTIAN JESUS</t>
  </si>
  <si>
    <t>76745834</t>
  </si>
  <si>
    <t>DEL AGUILA SAAVEDRA MARCOS</t>
  </si>
  <si>
    <t>40428395</t>
  </si>
  <si>
    <t>DELGADO INGA FRANK RUBEN</t>
  </si>
  <si>
    <t>42493251</t>
  </si>
  <si>
    <t>DIAZ GONZALES TEOFILO NERIO</t>
  </si>
  <si>
    <t>71347377</t>
  </si>
  <si>
    <t>DOMINGUEZ DELGADO KENIN FRED</t>
  </si>
  <si>
    <t>42575322</t>
  </si>
  <si>
    <t>DOMINGUEZ LUNA LUZ CHARITO</t>
  </si>
  <si>
    <t>44744084</t>
  </si>
  <si>
    <t>DOMINOTTI SELANO EVARISTO</t>
  </si>
  <si>
    <t>40233820</t>
  </si>
  <si>
    <t>ESPINOZA ROMAYNA CARLA VANESSA</t>
  </si>
  <si>
    <t>76562555</t>
  </si>
  <si>
    <t>ESPINOZA VASQUEZ KATLEEN YERUSSA</t>
  </si>
  <si>
    <t>47869026</t>
  </si>
  <si>
    <t>FABABA FLORES JORBY</t>
  </si>
  <si>
    <t>252;605</t>
  </si>
  <si>
    <t>47391007</t>
  </si>
  <si>
    <t>FALCON LOZANO FULLER</t>
  </si>
  <si>
    <t>41712727</t>
  </si>
  <si>
    <t>FASABI CANAYO RUTH GIOVANA</t>
  </si>
  <si>
    <t>70979980</t>
  </si>
  <si>
    <t>FASANANDO RIOS DANEY LLUSARA</t>
  </si>
  <si>
    <t>70988145</t>
  </si>
  <si>
    <t>FLORES GAVIRIA GEANCARLOS</t>
  </si>
  <si>
    <t>42421774</t>
  </si>
  <si>
    <t>FLORES LOBO ZANDRIX DEL PILAR</t>
  </si>
  <si>
    <t>74370557</t>
  </si>
  <si>
    <t>FLORES PEREZ JERDIN EDINSON</t>
  </si>
  <si>
    <t>42628430</t>
  </si>
  <si>
    <t>FLORES PEZO MARIA DEL PILAR</t>
  </si>
  <si>
    <t>46276715</t>
  </si>
  <si>
    <t>FLORES SALDAÑA KAREN VANESSA</t>
  </si>
  <si>
    <t>40344053</t>
  </si>
  <si>
    <t>GALAN VILCHEZ MERLI</t>
  </si>
  <si>
    <t>261; 619</t>
  </si>
  <si>
    <t>72540243</t>
  </si>
  <si>
    <t>GARCIA DAVILA LAURA MARISOL</t>
  </si>
  <si>
    <t>73900140</t>
  </si>
  <si>
    <t>GARCIA DIAZ JUNIOR ABRAHAM</t>
  </si>
  <si>
    <t>46949673</t>
  </si>
  <si>
    <t>GARCIA VELA FREXA LIZET</t>
  </si>
  <si>
    <t>263; 620</t>
  </si>
  <si>
    <t>00008941</t>
  </si>
  <si>
    <t>GODEAU DAVILA JAIRO BENIGNO</t>
  </si>
  <si>
    <t>00023509</t>
  </si>
  <si>
    <t>GOMEZ RAMIREZ JAMES</t>
  </si>
  <si>
    <t>76172642</t>
  </si>
  <si>
    <t>GOMEZ MONTES JULIANA</t>
  </si>
  <si>
    <t>265; 622</t>
  </si>
  <si>
    <t>71347126</t>
  </si>
  <si>
    <t>GONZALES RAMIREZ MARLON</t>
  </si>
  <si>
    <t>41539394</t>
  </si>
  <si>
    <t>GONZALES SOUZA MARIA ERIKA</t>
  </si>
  <si>
    <t>76867611</t>
  </si>
  <si>
    <t>GONZALES SALDAÑA ROGER</t>
  </si>
  <si>
    <t>72043772</t>
  </si>
  <si>
    <t>GONZALES HUAYTA DICK ANDERSON</t>
  </si>
  <si>
    <t>73135885</t>
  </si>
  <si>
    <t>GUERRA MACUYAMA MARJORI CAROLINA</t>
  </si>
  <si>
    <t>GUTIERREZ LEON ROBERTO FRANKLIN</t>
  </si>
  <si>
    <t>274 ; 672</t>
  </si>
  <si>
    <t>62969601</t>
  </si>
  <si>
    <t>HERNANDEZ VALLES CESAR LUIS</t>
  </si>
  <si>
    <t>46362609</t>
  </si>
  <si>
    <t>HIDALGO CALDERON LESTHLE IRASY</t>
  </si>
  <si>
    <t>21146526</t>
  </si>
  <si>
    <t>HIDALGO DETQUIZAN ROGER</t>
  </si>
  <si>
    <t>62400951</t>
  </si>
  <si>
    <t>HONORIO HUANSI EMILY SMITH</t>
  </si>
  <si>
    <t>42251955</t>
  </si>
  <si>
    <t>HUANCHI BANEO MELISSA</t>
  </si>
  <si>
    <t>279; 631</t>
  </si>
  <si>
    <t>00187756</t>
  </si>
  <si>
    <t>HUIZA LOPEZ LEANDRO ALFREDO</t>
  </si>
  <si>
    <t>44736359</t>
  </si>
  <si>
    <t>IRARICA MACAHUACHI JESSICA</t>
  </si>
  <si>
    <t>72437772</t>
  </si>
  <si>
    <t>ISUIZA VALLES EDVER FRANCO</t>
  </si>
  <si>
    <t>42383584</t>
  </si>
  <si>
    <t>JIMENEZ PEREZ TERESITA</t>
  </si>
  <si>
    <t>72632058</t>
  </si>
  <si>
    <t>LA TORRE DAVILA EDGAR JHUNIOR</t>
  </si>
  <si>
    <t>47538651</t>
  </si>
  <si>
    <t>LA TORRE TORRES JHOANA JAZMIN</t>
  </si>
  <si>
    <t>41462575</t>
  </si>
  <si>
    <t>LEON ROJAS ELVIS LEONARDO</t>
  </si>
  <si>
    <t>287; 636</t>
  </si>
  <si>
    <t>71049872</t>
  </si>
  <si>
    <t>LIHON FLORES DIEGO AMERICO</t>
  </si>
  <si>
    <t>73494548</t>
  </si>
  <si>
    <t>LINARES SUAREZ GIANELLA CRISTINA</t>
  </si>
  <si>
    <t>46350900</t>
  </si>
  <si>
    <t>LLERENA AGUILAR DE MAPIS SANDY PRISCILA</t>
  </si>
  <si>
    <t>73213912</t>
  </si>
  <si>
    <t>LOJA MUÑOZ DANTE IRWIN</t>
  </si>
  <si>
    <t>00091830</t>
  </si>
  <si>
    <t>LOPEZ ALVARADO MICHAEL ALCIDES</t>
  </si>
  <si>
    <t>45673538</t>
  </si>
  <si>
    <t>LOPEZ CHISTAMA IRIS</t>
  </si>
  <si>
    <t>47254237</t>
  </si>
  <si>
    <t>LOPEZ DIAZ JULIANA ERLITA</t>
  </si>
  <si>
    <t>295; 642</t>
  </si>
  <si>
    <t>46947913</t>
  </si>
  <si>
    <t>LOPEZ MELENDEZ FELLY GISSELA</t>
  </si>
  <si>
    <t>47647041</t>
  </si>
  <si>
    <t>LOPEZ MENDEZ LINDA NATALY</t>
  </si>
  <si>
    <t>73894122</t>
  </si>
  <si>
    <t>LOPEZ PINEDO MARLENE SUSY</t>
  </si>
  <si>
    <t>45025980</t>
  </si>
  <si>
    <t>LUJAN CISNEROS VICTOR LUIS</t>
  </si>
  <si>
    <t>299; 646</t>
  </si>
  <si>
    <t>41621198</t>
  </si>
  <si>
    <t>LUNA MUÑOZ MELINA LEONIA</t>
  </si>
  <si>
    <t>300; 647</t>
  </si>
  <si>
    <t>45463538</t>
  </si>
  <si>
    <t>MANTURANO GIRON MILAGROS NORKA</t>
  </si>
  <si>
    <t>000891846</t>
  </si>
  <si>
    <t>MAPIS PAREDES JOAO GUILHERME</t>
  </si>
  <si>
    <t>70351266</t>
  </si>
  <si>
    <t>MARCELONIO GUILLENA ELIZABETH CANDY DE JESUS</t>
  </si>
  <si>
    <t>304; 650</t>
  </si>
  <si>
    <t>23018935</t>
  </si>
  <si>
    <t>MAYLLE GARAY ESTELISTA FLAVIA</t>
  </si>
  <si>
    <t>42522750</t>
  </si>
  <si>
    <t>MEDINA OLIMAR KAMIR</t>
  </si>
  <si>
    <t>05956819</t>
  </si>
  <si>
    <t>MELENDEZ DELERNA DE DIAZ PAULA</t>
  </si>
  <si>
    <t>308; 654</t>
  </si>
  <si>
    <t>42171548</t>
  </si>
  <si>
    <t>MENDEZ SANDI GIOVANA JESUS</t>
  </si>
  <si>
    <t>48343379</t>
  </si>
  <si>
    <t>MENDIZABAL CALIXTO DORELY ROSA</t>
  </si>
  <si>
    <t>44194903</t>
  </si>
  <si>
    <t>MENDOZA ARBILDO HEVER LANDU</t>
  </si>
  <si>
    <t>44089728</t>
  </si>
  <si>
    <t>MOGROVEJO GUILLENA CINDDY KAREN</t>
  </si>
  <si>
    <t>72522952</t>
  </si>
  <si>
    <t>MONCADA BONIFACIO ANA CECILIA</t>
  </si>
  <si>
    <t>315; 657</t>
  </si>
  <si>
    <t>71107603</t>
  </si>
  <si>
    <t>MONJA RAMIREZ JAIR</t>
  </si>
  <si>
    <t>71526730</t>
  </si>
  <si>
    <t>MONSALVE ROJAS PAULOCESAR MARTIN</t>
  </si>
  <si>
    <t>00906352</t>
  </si>
  <si>
    <t>MORALES HIDALGO GERMAN</t>
  </si>
  <si>
    <t>71024119</t>
  </si>
  <si>
    <t>MORI PANAIFO CINTHYA</t>
  </si>
  <si>
    <t>318;  660</t>
  </si>
  <si>
    <t>44333922</t>
  </si>
  <si>
    <t>MURAYARI IPUSHIMA KAREN</t>
  </si>
  <si>
    <t>21144374</t>
  </si>
  <si>
    <t>MURAYARI LOMAS LUZ NIEVES</t>
  </si>
  <si>
    <t>76847357</t>
  </si>
  <si>
    <t>MUSTTO VELA JEREMIAS</t>
  </si>
  <si>
    <t>321;  633</t>
  </si>
  <si>
    <t>00059037</t>
  </si>
  <si>
    <t>NAJAR SERRUCHE EDRULFO</t>
  </si>
  <si>
    <t>00082722</t>
  </si>
  <si>
    <t>OCHAVANO IPUSHIMA NANCY</t>
  </si>
  <si>
    <t>47581453</t>
  </si>
  <si>
    <t>OCHOA CHAVEZ NOE ELI</t>
  </si>
  <si>
    <t>41323621</t>
  </si>
  <si>
    <t>ORREAGA EGOAVIL JESUS ALEXANDER</t>
  </si>
  <si>
    <t>46155889</t>
  </si>
  <si>
    <t>ORTIZ LOPEZ LINDA BRIGUITTE</t>
  </si>
  <si>
    <t>40056703</t>
  </si>
  <si>
    <t>PACAYA EVANGELISTA MARCIAL ALCIBIADES</t>
  </si>
  <si>
    <t>71043141</t>
  </si>
  <si>
    <t>PACAYA GARCIA ANGIE</t>
  </si>
  <si>
    <t>60855167</t>
  </si>
  <si>
    <t>PALLAREZ DAHUA CRISTHIAN JOY</t>
  </si>
  <si>
    <t>329;  671</t>
  </si>
  <si>
    <t>22997814</t>
  </si>
  <si>
    <t>PANDURO GARCIA FERNANDO</t>
  </si>
  <si>
    <t>44746127</t>
  </si>
  <si>
    <t>PANTALEON DEL AGUILA PELEGRINO NERIO</t>
  </si>
  <si>
    <t>45235806</t>
  </si>
  <si>
    <t>PAREDES GARCIA MARIA MARCIA</t>
  </si>
  <si>
    <t>43907126</t>
  </si>
  <si>
    <t>PASTOR RENGIFO IRAYDA VANESSA</t>
  </si>
  <si>
    <t>333;  675</t>
  </si>
  <si>
    <t>41763345</t>
  </si>
  <si>
    <t>PEÑA RUIZ MERCEDES MABEL</t>
  </si>
  <si>
    <t>46314143</t>
  </si>
  <si>
    <t>PEREZ RIOS JUANITA GRECIA CELESTE</t>
  </si>
  <si>
    <t>00106521</t>
  </si>
  <si>
    <t>PEREZ DOZA JENNY</t>
  </si>
  <si>
    <t>05337931</t>
  </si>
  <si>
    <t>PEZO PINEDO ASUCENA</t>
  </si>
  <si>
    <t>337;  679</t>
  </si>
  <si>
    <t>80655679</t>
  </si>
  <si>
    <t>PICON FLORES JANETH</t>
  </si>
  <si>
    <t>74071408</t>
  </si>
  <si>
    <t>PINEDO LOPEZ DANYS FIORELLA</t>
  </si>
  <si>
    <t>47860487</t>
  </si>
  <si>
    <t>PONCIANO TARAZONA NILDA</t>
  </si>
  <si>
    <t>45384341</t>
  </si>
  <si>
    <t>PONTE VILCHEZ YESSENIA</t>
  </si>
  <si>
    <t>41172324</t>
  </si>
  <si>
    <t>PORTILLA BARDALES ERIKA LILITA</t>
  </si>
  <si>
    <t>46754818</t>
  </si>
  <si>
    <t>PORTOCARRERO TANANTA MARIA</t>
  </si>
  <si>
    <t>INGENIERO INDUSTRIAS ALIMENTICIAS</t>
  </si>
  <si>
    <t>72627213</t>
  </si>
  <si>
    <t>QUINDE RUIZ MILAGRITOS</t>
  </si>
  <si>
    <t>00090644</t>
  </si>
  <si>
    <t>QUIROZ SAENZ YHANE</t>
  </si>
  <si>
    <t>46822368</t>
  </si>
  <si>
    <t>QUISPE LANDA LUZ MAGALI</t>
  </si>
  <si>
    <t>43618720</t>
  </si>
  <si>
    <t>QUISPE VELARDE JAQUELYN JOSSELYN</t>
  </si>
  <si>
    <t>45750563</t>
  </si>
  <si>
    <t>RAMIREZ SILVA HEYDY NAYDA</t>
  </si>
  <si>
    <t>45213739</t>
  </si>
  <si>
    <t>REATEGUI PEREZ SELENE LILIBETH</t>
  </si>
  <si>
    <t>76391193</t>
  </si>
  <si>
    <t>RENGIFO ACUÑA SULEN</t>
  </si>
  <si>
    <t>349;   688</t>
  </si>
  <si>
    <t>73531166</t>
  </si>
  <si>
    <t>REYES CARRANZA KEYSY FIORELITA</t>
  </si>
  <si>
    <t>00123600</t>
  </si>
  <si>
    <t>RIOS MELLO ELSA NINA</t>
  </si>
  <si>
    <t>21141798</t>
  </si>
  <si>
    <t>RIOS GONZALES CARINA</t>
  </si>
  <si>
    <t>48264415</t>
  </si>
  <si>
    <t>RIOS MARIN SEGUNDO NILO</t>
  </si>
  <si>
    <t>72161449</t>
  </si>
  <si>
    <t>RIOS PANAIFO JESSICA KATHERINE</t>
  </si>
  <si>
    <t>71987544</t>
  </si>
  <si>
    <t>RIOS PEREZ JUDITH</t>
  </si>
  <si>
    <t>40187716</t>
  </si>
  <si>
    <t>RIOS SHUÑA NANCY</t>
  </si>
  <si>
    <t>40780814</t>
  </si>
  <si>
    <t>RIVERA COMETIVOS DE ROSALES NIDIA JEANE</t>
  </si>
  <si>
    <t>358;  696</t>
  </si>
  <si>
    <t>71698481</t>
  </si>
  <si>
    <t>RODRIGUEZ VELA SOLEDAD ENEIDA</t>
  </si>
  <si>
    <t>48471432</t>
  </si>
  <si>
    <t>ROJAS HUGH JENIFER</t>
  </si>
  <si>
    <t>00047448</t>
  </si>
  <si>
    <t>ROJAS MANIHUARI ROBERTO</t>
  </si>
  <si>
    <t>70947520</t>
  </si>
  <si>
    <t>ROJAS DAVILA KENJO KOYI</t>
  </si>
  <si>
    <t>361;  698</t>
  </si>
  <si>
    <t>46408441</t>
  </si>
  <si>
    <t>ROJAS URQUIA CARLOS ALBERTO</t>
  </si>
  <si>
    <t>05930456</t>
  </si>
  <si>
    <t>ROMAINA SINACAY ELEODORO</t>
  </si>
  <si>
    <t>00151181</t>
  </si>
  <si>
    <t>RONDON DEL AGUILA JULIO RAUL</t>
  </si>
  <si>
    <t>TECNICO EN MANTENIMIENTO</t>
  </si>
  <si>
    <t>80308289</t>
  </si>
  <si>
    <t>ROSALES YOUNG EDWIN MANUEL</t>
  </si>
  <si>
    <t>73803570</t>
  </si>
  <si>
    <t>RUCOBA PEÑA LLOSIRA PAOLA</t>
  </si>
  <si>
    <t>72718640</t>
  </si>
  <si>
    <t>RUIZ LOZANO SILVIA ANTONIA</t>
  </si>
  <si>
    <t>48171312</t>
  </si>
  <si>
    <t>SAAVEDRA FASABI DANY VIVI</t>
  </si>
  <si>
    <t>72506732</t>
  </si>
  <si>
    <t>SALAZAR BENAVIDES FELIPE KENETH</t>
  </si>
  <si>
    <t>45583874</t>
  </si>
  <si>
    <t>SALAZAR VASQUEZ NELIDA</t>
  </si>
  <si>
    <t>05711298</t>
  </si>
  <si>
    <t>SALDAÑA VASQUEZ FRANCISCO</t>
  </si>
  <si>
    <t>73788992</t>
  </si>
  <si>
    <t>SANANCINO ANICETO DARWIN</t>
  </si>
  <si>
    <t>240;  643</t>
  </si>
  <si>
    <t>41205922</t>
  </si>
  <si>
    <t>SANDOVAL CANAYO MARIO ENRIQUE</t>
  </si>
  <si>
    <t>47899069</t>
  </si>
  <si>
    <t>SANTILLAN SANGAMA JENIFFER ISABEL</t>
  </si>
  <si>
    <t>72603798</t>
  </si>
  <si>
    <t>SATALAYA ISUIZA MADAI</t>
  </si>
  <si>
    <t>40919425</t>
  </si>
  <si>
    <t>SERRUCHE AREVALO JUAN CARLOS</t>
  </si>
  <si>
    <t>45590956</t>
  </si>
  <si>
    <t>SHUÑA HUAYNACARI KATY ROSA</t>
  </si>
  <si>
    <t>47485381</t>
  </si>
  <si>
    <t>SHUÑA SINARAHUA MILAGROS PATRICIA</t>
  </si>
  <si>
    <t>383;  713</t>
  </si>
  <si>
    <t>42045112</t>
  </si>
  <si>
    <t>SHUPINGAHUA ECHEVARRIA JADER MIGUEL</t>
  </si>
  <si>
    <t>48300493</t>
  </si>
  <si>
    <t>SIAS SHUÑA BEYDI ERIKA</t>
  </si>
  <si>
    <t>76294697</t>
  </si>
  <si>
    <t>SILVA LOPEZ MARILIA JASMIN</t>
  </si>
  <si>
    <t>386;  716</t>
  </si>
  <si>
    <t>72557365</t>
  </si>
  <si>
    <t>SILVANO MELENDEZ DORA GISENIA</t>
  </si>
  <si>
    <t>00026275</t>
  </si>
  <si>
    <t>SINACAY LLERENA LLERME</t>
  </si>
  <si>
    <t>71016342</t>
  </si>
  <si>
    <t>SOLSOL GARCIA MARIA ESPERANZA</t>
  </si>
  <si>
    <t>45659906</t>
  </si>
  <si>
    <t>SORIA GUEVARA LULIANA</t>
  </si>
  <si>
    <t>71339277</t>
  </si>
  <si>
    <t>SORIA HOYOS JORGE LEONARDO</t>
  </si>
  <si>
    <t>72199091</t>
  </si>
  <si>
    <t>SOSA NAVARRO GEYDY KELLY</t>
  </si>
  <si>
    <t>23008361</t>
  </si>
  <si>
    <t>SULCA TANTA DAVID RUBEN</t>
  </si>
  <si>
    <t>42822563</t>
  </si>
  <si>
    <t>TAFUR OROCHE INGRID GIOVANNA</t>
  </si>
  <si>
    <t>46283326</t>
  </si>
  <si>
    <t>TANANTA LLANOS KAREN CESIA</t>
  </si>
  <si>
    <t>394;  722</t>
  </si>
  <si>
    <t>47453936</t>
  </si>
  <si>
    <t>TANGOA YUIMACHI TONY EDMUNDO</t>
  </si>
  <si>
    <t>47754879</t>
  </si>
  <si>
    <t>TAPULLIMA FACHIN DANIEL</t>
  </si>
  <si>
    <t>00127940</t>
  </si>
  <si>
    <t>TELLO RUIZ DE MACHER MILKA</t>
  </si>
  <si>
    <t>46525702</t>
  </si>
  <si>
    <t>TERLEIRA FUCHS FRANCIS</t>
  </si>
  <si>
    <t>46600956</t>
  </si>
  <si>
    <t>TORRES MOZOMBITE ESTEFITA</t>
  </si>
  <si>
    <t>80616924</t>
  </si>
  <si>
    <t>TORRES CHAVEZ DANIEL</t>
  </si>
  <si>
    <t>01129094</t>
  </si>
  <si>
    <t>TORRES TORRES FRANKLIN</t>
  </si>
  <si>
    <t>00009450</t>
  </si>
  <si>
    <t>TUANAMA TARICUARIMA ANDREA</t>
  </si>
  <si>
    <t>46451111</t>
  </si>
  <si>
    <t>TUESTA PANDURO DANIEL</t>
  </si>
  <si>
    <t>76051148</t>
  </si>
  <si>
    <t>URCOS TORRES KEVIN JHORDY</t>
  </si>
  <si>
    <t>407;  542</t>
  </si>
  <si>
    <t>45935094</t>
  </si>
  <si>
    <t>URQUIA GUERRA ROXANA</t>
  </si>
  <si>
    <t>408;  730</t>
  </si>
  <si>
    <t>71440566</t>
  </si>
  <si>
    <t>USAQUI MELENDEZ MARJIORY SUSAN</t>
  </si>
  <si>
    <t>45583884</t>
  </si>
  <si>
    <t>VALERA CHOTA WILIAN</t>
  </si>
  <si>
    <t>40064979</t>
  </si>
  <si>
    <t>VARGAS LORENZO JORGE LUIS</t>
  </si>
  <si>
    <t>40584896</t>
  </si>
  <si>
    <t>VARGAS PLAZA MARIA LUISA</t>
  </si>
  <si>
    <t>44891839</t>
  </si>
  <si>
    <t>VASQUEZ MACEDO OLIVER</t>
  </si>
  <si>
    <t>42660224</t>
  </si>
  <si>
    <t>VASQUEZ VASQUEZ VERONICA VANESSA</t>
  </si>
  <si>
    <t>40946453</t>
  </si>
  <si>
    <t>VELA CASTRO NICOLAS</t>
  </si>
  <si>
    <t>71043341</t>
  </si>
  <si>
    <t>VELA MOZOMBITE ERICA TAHISA</t>
  </si>
  <si>
    <t>40374801</t>
  </si>
  <si>
    <t>VELASQUEZ GONZALES BIANCA ERLITA</t>
  </si>
  <si>
    <t>44485855</t>
  </si>
  <si>
    <t>VILLACORTA MORI DIANA CRISTINA</t>
  </si>
  <si>
    <t>44826720</t>
  </si>
  <si>
    <t>VILLACREZ PEREZ LEITA</t>
  </si>
  <si>
    <t>75197507</t>
  </si>
  <si>
    <t>ZAMBRANO DÍAZ KELLY D' ANGELLA</t>
  </si>
  <si>
    <t>72625463</t>
  </si>
  <si>
    <t>ZUMAETA PEREZ STEVEN</t>
  </si>
  <si>
    <t>CAS SIN PLAZA</t>
  </si>
  <si>
    <t>46801739</t>
  </si>
  <si>
    <t>RAMIREZ PEÑA JIMMY JONATHAN</t>
  </si>
  <si>
    <t>456;750</t>
  </si>
  <si>
    <t>44692569</t>
  </si>
  <si>
    <t>ACHO FLORINDES ESTEBAN</t>
  </si>
  <si>
    <t>47275386</t>
  </si>
  <si>
    <t>AGUILAR TUESTA MAYRA JASMIN</t>
  </si>
  <si>
    <t>76554774</t>
  </si>
  <si>
    <t>BARDALES FERREIRA HENRY</t>
  </si>
  <si>
    <t>73393209</t>
  </si>
  <si>
    <t>CAMPOS RIOS KAMLUNG</t>
  </si>
  <si>
    <t>46965219</t>
  </si>
  <si>
    <t>DAVILA PEREZ MITZI MARIANELA</t>
  </si>
  <si>
    <t>00022840</t>
  </si>
  <si>
    <t>GALLO GONZALES JAIME</t>
  </si>
  <si>
    <t>137;550</t>
  </si>
  <si>
    <t>70456814</t>
  </si>
  <si>
    <t>GARCIA SALAS AMY MILAGROS</t>
  </si>
  <si>
    <t>46992512</t>
  </si>
  <si>
    <t>TAPULLIMA SATALAYA MARIA TATIANA</t>
  </si>
  <si>
    <t>177;560</t>
  </si>
  <si>
    <t>00119045</t>
  </si>
  <si>
    <t>LOMAS RIOS VICENTE</t>
  </si>
  <si>
    <t>CHAPILLIQUEN DONAYRE GREY NATALY</t>
  </si>
  <si>
    <t>466;755</t>
  </si>
  <si>
    <t>80323991</t>
  </si>
  <si>
    <t>MARTINEZ ARIMUYA SEGUNDO</t>
  </si>
  <si>
    <t>80442170</t>
  </si>
  <si>
    <t>MATEO PRADO MAURICIO</t>
  </si>
  <si>
    <t>80424246</t>
  </si>
  <si>
    <t>MORENO GREYFUS AZUCENA</t>
  </si>
  <si>
    <t>149;554</t>
  </si>
  <si>
    <t>46266139</t>
  </si>
  <si>
    <t>MORI TAPULLIMA KATIA LUZ</t>
  </si>
  <si>
    <t>00165817</t>
  </si>
  <si>
    <t>MUÑOZ PACAYA LUZ DEL CARMEN</t>
  </si>
  <si>
    <t>00023295</t>
  </si>
  <si>
    <t>PAREDES PANDURO ELIO</t>
  </si>
  <si>
    <t>157;556</t>
  </si>
  <si>
    <t>44941445</t>
  </si>
  <si>
    <t>PEÑA NOVOA KATHIA SUSAN</t>
  </si>
  <si>
    <t>46148694</t>
  </si>
  <si>
    <t>PICOTA CAUPER CALEB</t>
  </si>
  <si>
    <t>09455039</t>
  </si>
  <si>
    <t>QUEQUEZANA TEJADA SANDRO</t>
  </si>
  <si>
    <t>43641054</t>
  </si>
  <si>
    <t>QUINTANA AGUSTIN IRIS</t>
  </si>
  <si>
    <t>00128013</t>
  </si>
  <si>
    <t>CAUPER PINEDO MILCA</t>
  </si>
  <si>
    <t>126;545</t>
  </si>
  <si>
    <t>47039803</t>
  </si>
  <si>
    <t>QUISPE MARTINEZ KATIA MURIEL</t>
  </si>
  <si>
    <t>165;557</t>
  </si>
  <si>
    <t>44603452</t>
  </si>
  <si>
    <t>RENGIFO SINARAHUA NILO MARTIN</t>
  </si>
  <si>
    <t>ROMAINA FASANANDO MELVA</t>
  </si>
  <si>
    <t>169;559</t>
  </si>
  <si>
    <t>00125937</t>
  </si>
  <si>
    <t>SILVANO RIOS JOSE LORENZO</t>
  </si>
  <si>
    <t>46608325</t>
  </si>
  <si>
    <t>SUSANIBAR PINEDO KATHIA ROCIO</t>
  </si>
  <si>
    <t>43439256</t>
  </si>
  <si>
    <t>TACHIANA MENDOZA ABEL</t>
  </si>
  <si>
    <t>40532295</t>
  </si>
  <si>
    <t>TAMINCHI PACAYA KARINA</t>
  </si>
  <si>
    <t>41023530</t>
  </si>
  <si>
    <t>TENAZOA RODRIGUEZ DANNY</t>
  </si>
  <si>
    <t>43526258</t>
  </si>
  <si>
    <t>VALVERDE ALEGRIA VICTOR ALAN</t>
  </si>
  <si>
    <t>46902128</t>
  </si>
  <si>
    <t>VASQUEZ CISNEROS CARLOS CLEMENTE</t>
  </si>
  <si>
    <t>182;561</t>
  </si>
  <si>
    <t>72788242</t>
  </si>
  <si>
    <t>VASQUEZ FLORES PHOL ISAAC</t>
  </si>
  <si>
    <t>41508957</t>
  </si>
  <si>
    <t>VASQUEZ RAMIREZ ROY</t>
  </si>
  <si>
    <t>46292075</t>
  </si>
  <si>
    <t>VILLA ZUMBA NEEY</t>
  </si>
  <si>
    <t>42974092</t>
  </si>
  <si>
    <t>YUCRA FLORES JOSELIN MELISSA</t>
  </si>
  <si>
    <t>05383884</t>
  </si>
  <si>
    <t>YUYARIMA CURITIMA FIDEL</t>
  </si>
  <si>
    <t>80432425</t>
  </si>
  <si>
    <t>CAPITAN KIRINO CLAUDIA</t>
  </si>
  <si>
    <t>46743850</t>
  </si>
  <si>
    <t>CUMAPA SAMPAYO LIDER</t>
  </si>
  <si>
    <t>130;547</t>
  </si>
  <si>
    <t>47204914</t>
  </si>
  <si>
    <t>ESTRELLA ZELADA DEISY MARICELA</t>
  </si>
  <si>
    <t>16702537</t>
  </si>
  <si>
    <t>FUENTES BUSTAMANTE EDUARDO</t>
  </si>
  <si>
    <t>136,473:549</t>
  </si>
  <si>
    <t xml:space="preserve">BOCANEGRA MOZOMBITE JESSICA JULISSA </t>
  </si>
  <si>
    <t>208;444;484;578</t>
  </si>
  <si>
    <t>48968521</t>
  </si>
  <si>
    <t>LAURA CALLE EDDY</t>
  </si>
  <si>
    <t>141;474</t>
  </si>
  <si>
    <t>45314374</t>
  </si>
  <si>
    <t>LOZANO DIAZ CHRISTIAN</t>
  </si>
  <si>
    <t>46256986</t>
  </si>
  <si>
    <t>MACEDO MAHUA LUIS</t>
  </si>
  <si>
    <t>144;551</t>
  </si>
  <si>
    <t>45931203</t>
  </si>
  <si>
    <t>MALDONADO ALVARADO ANITA MARIA</t>
  </si>
  <si>
    <t>145;477;552</t>
  </si>
  <si>
    <t>48264483</t>
  </si>
  <si>
    <t>MEGO FREYRE DEIWIN MICHAEL</t>
  </si>
  <si>
    <t>148;478;553</t>
  </si>
  <si>
    <t>GONZALES REATEGUI ALMA MIA</t>
  </si>
  <si>
    <t>442;746</t>
  </si>
  <si>
    <t>43490857</t>
  </si>
  <si>
    <t>DIAZ MERA MARIA MAGDALENA</t>
  </si>
  <si>
    <t>133;471</t>
  </si>
  <si>
    <t>46698435</t>
  </si>
  <si>
    <t>RIVERA HIDALGO HERNAN ROBERTO</t>
  </si>
  <si>
    <t>168;558</t>
  </si>
  <si>
    <t>PINTADO SALAZAR FRIDA SOFIA</t>
  </si>
  <si>
    <t>CHACALTANA SOPLIN ELIZABETH NOEMI</t>
  </si>
  <si>
    <t>127;468;546</t>
  </si>
  <si>
    <t>DEL AGUILA INUMA CARMELA</t>
  </si>
  <si>
    <t>132;148</t>
  </si>
  <si>
    <t>44542948</t>
  </si>
  <si>
    <t>TUESTA GRANDEZ DIANA CAROLINA</t>
  </si>
  <si>
    <t>179;481</t>
  </si>
  <si>
    <t>44111162</t>
  </si>
  <si>
    <t>ZAPATA SILVA CARLA BELDAD</t>
  </si>
  <si>
    <t>189;482</t>
  </si>
  <si>
    <t>MESIAS TORRES DE VASQUEZ EDITH</t>
  </si>
  <si>
    <t>CCENTE LAURA DIANA</t>
  </si>
  <si>
    <t>CORDOVA VILLA NIEVES ELENITA</t>
  </si>
  <si>
    <t>RUIZ ZAMPAYO KASSYT MILEY</t>
  </si>
  <si>
    <t>SAAVEDRA CHAVEZ LESLLIE LUCIA</t>
  </si>
  <si>
    <t>SANCHEZ VALDERRAMA ANTONIO</t>
  </si>
  <si>
    <t>TORRES SATALAYA JHOUSTON</t>
  </si>
  <si>
    <t>VALERA TELLO DAYLI RUTH</t>
  </si>
  <si>
    <t>VARGAS MACEDO JOEL ALBERTO</t>
  </si>
  <si>
    <t>CASTILLO MELENDEZ ELMER</t>
  </si>
  <si>
    <t>441;745</t>
  </si>
  <si>
    <t>CASTRO MESA ANTONIO</t>
  </si>
  <si>
    <t>448;458</t>
  </si>
  <si>
    <t>70691185</t>
  </si>
  <si>
    <t>ARANCIBIA FERREIRA SUSAN</t>
  </si>
  <si>
    <t>TECNICO EN SALUD</t>
  </si>
  <si>
    <t>120;544</t>
  </si>
  <si>
    <t>373;706</t>
  </si>
  <si>
    <t>MARIN PEREZ KIMBERLING</t>
  </si>
  <si>
    <t>PEREA TIHUAY ROBERTO AMERICO</t>
  </si>
  <si>
    <t>69;749;452</t>
  </si>
  <si>
    <t>SALCEDO TAPULLIMA NURIA NORIS</t>
  </si>
  <si>
    <t>DIAZ MEJIA CESAR IVAN</t>
  </si>
  <si>
    <t>ROQUE RIOS SIMA</t>
  </si>
  <si>
    <t>463;753</t>
  </si>
  <si>
    <t>LOCACIÓN DE SERVICIOS</t>
  </si>
  <si>
    <t>SAAVEDRA AGUSTIN DORIS IDENIA</t>
  </si>
  <si>
    <t>PASHANASI MACEDO PEDRO CLAUDIO</t>
  </si>
  <si>
    <t>EDUCADOR PAR</t>
  </si>
  <si>
    <t>TORRES ROBLES MARISA ELENA</t>
  </si>
  <si>
    <t>00093214</t>
  </si>
  <si>
    <t>GONZALES GONZALES EDWIN</t>
  </si>
  <si>
    <t>GAVIRIA HUANIO RICHARD ESMITH</t>
  </si>
  <si>
    <t>DIGITADOR SIS</t>
  </si>
  <si>
    <t>BRAVO UPIACHIHUA JULIO ERNESTO</t>
  </si>
  <si>
    <t>RESPONSABLE DEL ÁREA DE SUPERVISICIÓN DE PRODUCCIÓN</t>
  </si>
  <si>
    <t>RESPONSABLE DE TRASLADO DE EMERGENCIA</t>
  </si>
  <si>
    <t>DIAZ TENAZOA PIERO BLADISMIRO</t>
  </si>
  <si>
    <t>DIGITADOR DEL APLICATIVO DE REGISTRO DE ASISTENCIA</t>
  </si>
  <si>
    <t>RESPONSABLE DEL ÁREA CLAS</t>
  </si>
  <si>
    <t>RESPONSABLE DEL ÁREA DE SEPELIO</t>
  </si>
  <si>
    <t>RESPONSABLE DEL ÁREA PRESUPUESTAL</t>
  </si>
  <si>
    <t xml:space="preserve">TORRES SATALAYA JHOUNSTON </t>
  </si>
  <si>
    <t>SOLANO SALDAÑA MAELY JAZMIN</t>
  </si>
  <si>
    <t>SANCHEZ VALDERRAMA ANTONIA</t>
  </si>
  <si>
    <t>RIOS PEREZ KARINA</t>
  </si>
  <si>
    <t>TEC. EN FARMACIA</t>
  </si>
  <si>
    <t>MOZOMBITE ROJAS JAVIER</t>
  </si>
  <si>
    <t>GONZALES RAMÍREZ MARLON</t>
  </si>
  <si>
    <t>ROQUE MAGUIÑA MELANIE MELISSA</t>
  </si>
  <si>
    <t>APOYO TÉCNICO</t>
  </si>
  <si>
    <t>VALERA GARCIA EDUTH</t>
  </si>
  <si>
    <t>SINCHE MORALES YSAMAR FELICIA</t>
  </si>
  <si>
    <t>FLORES GAVIRIA JHON WESLEY</t>
  </si>
  <si>
    <t>VARGAS PLAZA ANALITH</t>
  </si>
  <si>
    <t>CHUQUIPIONDO FLORES JENNIFER</t>
  </si>
  <si>
    <t>MENDOZA NUÑEZ LIGIA ERLINDA</t>
  </si>
  <si>
    <t>TEC. EN ENFERMERIA</t>
  </si>
  <si>
    <t xml:space="preserve">PALLAREZ DAHUA CRISTHIAN JOY </t>
  </si>
  <si>
    <t>05958176</t>
  </si>
  <si>
    <t>VASQUEZ PINEDO MIR LISETH</t>
  </si>
  <si>
    <t xml:space="preserve">URQUIA RODRIGUEZ MASIA SISY EMPERATRIZ </t>
  </si>
  <si>
    <t>TEC. EN LABORATORIO</t>
  </si>
  <si>
    <t>SANTILLAN SANGAMA JENNIFER ISABEL</t>
  </si>
  <si>
    <t>LIC. EN ENFERMERIA</t>
  </si>
  <si>
    <t>PINEDO VELA YESSENIA VALERIA</t>
  </si>
  <si>
    <t>RIOJA ANGULO DICIA PATRICIA</t>
  </si>
  <si>
    <t>AMASIFUEN CHONG ELVIS ANDY</t>
  </si>
  <si>
    <t>02337931</t>
  </si>
  <si>
    <t>PAIMA GUTIERREZ DIANA</t>
  </si>
  <si>
    <t>PACAYA NUÑEZ GABRIELA</t>
  </si>
  <si>
    <t>VELA JEREMIAS MUSTTO</t>
  </si>
  <si>
    <t>MELENDEZ DELERNA PAULA</t>
  </si>
  <si>
    <t>GONZALES MACEDO JHAN CARLOS</t>
  </si>
  <si>
    <t>FUCHS ARBILDO CYNTHIA ZHUELY</t>
  </si>
  <si>
    <t>DUEÑAS SIMON CARMEN ROSA</t>
  </si>
  <si>
    <t>RED SALUD ATALAYA</t>
  </si>
  <si>
    <t>ALTA</t>
  </si>
  <si>
    <t xml:space="preserve">Contrato Administrat. De Serv. </t>
  </si>
  <si>
    <t>41250363</t>
  </si>
  <si>
    <t>AMAND RENGIFO CAROL ROSARIO</t>
  </si>
  <si>
    <t>SUPERIOR NO UNIVERSITARIO</t>
  </si>
  <si>
    <t>Recursos Oficiales de Operaciones de Credito</t>
  </si>
  <si>
    <t>AUXILIAR DE LAVANDERIA</t>
  </si>
  <si>
    <t>44133972</t>
  </si>
  <si>
    <t>AREVALO PADILLA MARIBEL</t>
  </si>
  <si>
    <t>NO SUPERIOR</t>
  </si>
  <si>
    <t>00163954</t>
  </si>
  <si>
    <t>AREVALO ROJAS JEN</t>
  </si>
  <si>
    <t>40277619</t>
  </si>
  <si>
    <t>ARONI NAVARRO JENNY EDITH</t>
  </si>
  <si>
    <t>TITULO UNIVERSITARIO</t>
  </si>
  <si>
    <t>AUXILIAR SANITARIO</t>
  </si>
  <si>
    <t>00113145</t>
  </si>
  <si>
    <t>BALDEON PASQUEL CARLOS</t>
  </si>
  <si>
    <t>09599787</t>
  </si>
  <si>
    <t>BARDALES MIRANDA DE FLORES KATTY GIOVANA</t>
  </si>
  <si>
    <t>42628437</t>
  </si>
  <si>
    <t>BOLIVAR GRANDEZ VELIA</t>
  </si>
  <si>
    <t>46764672</t>
  </si>
  <si>
    <t>CAHUA ANTONIO BRISSETH BETSABE</t>
  </si>
  <si>
    <t>74541748</t>
  </si>
  <si>
    <t>CAJA SANCHEZ CLORINDA</t>
  </si>
  <si>
    <t>TECNICA ENFERMERIA</t>
  </si>
  <si>
    <t>42747652</t>
  </si>
  <si>
    <t>CARDENAS DE LA CRUZ SILAI EDELVINA</t>
  </si>
  <si>
    <t>76675255</t>
  </si>
  <si>
    <t>CHAVEZ RENGIFO HERVIS FERNANDO</t>
  </si>
  <si>
    <t>44699338</t>
  </si>
  <si>
    <t>CORDOVA AREVALO KATIA ESTHER</t>
  </si>
  <si>
    <t>COORDINADOR EN SALUD</t>
  </si>
  <si>
    <t>47042271</t>
  </si>
  <si>
    <t>DAVILA SANCHEZ CESAR DANIEL</t>
  </si>
  <si>
    <t>UNIVERSITARIO</t>
  </si>
  <si>
    <t>48624612</t>
  </si>
  <si>
    <t>DEL AGUILA LOZANO XIOMY MARJORY</t>
  </si>
  <si>
    <t>45992833</t>
  </si>
  <si>
    <t>DIPAS RAMIREZ CIRO ALEJANDRO</t>
  </si>
  <si>
    <t>44113474</t>
  </si>
  <si>
    <t>DIPAS VASQUEZ KAREN</t>
  </si>
  <si>
    <t>00163000</t>
  </si>
  <si>
    <t>ESPINOSA COLLAZOS DENYS</t>
  </si>
  <si>
    <t>45001430</t>
  </si>
  <si>
    <t>ESPINOZA MACEDO FRANCO ENRIQUE</t>
  </si>
  <si>
    <t>TECNICO ENFERMERIA</t>
  </si>
  <si>
    <t>45224589</t>
  </si>
  <si>
    <t>ESPINOZA VELA ROLANDO</t>
  </si>
  <si>
    <t>07629087</t>
  </si>
  <si>
    <t>FLORES RAMIREZ JOHNNY RICARDO</t>
  </si>
  <si>
    <t>71096104</t>
  </si>
  <si>
    <t>FUCHS RENGIFO KATTIA JULIA</t>
  </si>
  <si>
    <t>TECNICA EN DISEÑO DIGITAL</t>
  </si>
  <si>
    <t>41009141</t>
  </si>
  <si>
    <t>FUSTAMANTE COLUNCHE CELINA</t>
  </si>
  <si>
    <t>42680448</t>
  </si>
  <si>
    <t>GODOY DIAZ JOHNNY ELEXANDER</t>
  </si>
  <si>
    <t>09483744</t>
  </si>
  <si>
    <t>GONZALES ESPADA PEDRO MIGUEL</t>
  </si>
  <si>
    <t>76531449</t>
  </si>
  <si>
    <t>GUILLENA LOPEZ KATHERIN ESTEPHANY</t>
  </si>
  <si>
    <t>44162019</t>
  </si>
  <si>
    <t>HERRERA ASHCALLA JOE LOUIS</t>
  </si>
  <si>
    <t>LICENCIADO EN ENFERMERIA</t>
  </si>
  <si>
    <t>41582469</t>
  </si>
  <si>
    <t>HURTADO ROJAS GIANNINA DEIDIS</t>
  </si>
  <si>
    <t>45382890</t>
  </si>
  <si>
    <t>IZQUIERDO RENGIFO MAYRA SOFIA</t>
  </si>
  <si>
    <t>21001933</t>
  </si>
  <si>
    <t>LANAZCA PEREZ ENRIQUE YAMIL</t>
  </si>
  <si>
    <t>46167618</t>
  </si>
  <si>
    <t>LEON ORTEGA PAOLA ROCIO</t>
  </si>
  <si>
    <t>00159046</t>
  </si>
  <si>
    <t>LOPEZ CAMPOS MATEO</t>
  </si>
  <si>
    <t>00166157</t>
  </si>
  <si>
    <t>LOPEZ GODOY POPI</t>
  </si>
  <si>
    <t>43481527</t>
  </si>
  <si>
    <t>LOPEZ ISUIZA ROSA FLORENCIA</t>
  </si>
  <si>
    <t>48346737</t>
  </si>
  <si>
    <t>LOPEZ REYNA ERICH</t>
  </si>
  <si>
    <t>48081493</t>
  </si>
  <si>
    <t>MACEDO VALERA WILKER MARINO</t>
  </si>
  <si>
    <t>00109619</t>
  </si>
  <si>
    <t>MARIN PANDURO RAUL</t>
  </si>
  <si>
    <t>LIC. EDUCACION</t>
  </si>
  <si>
    <t>42891613</t>
  </si>
  <si>
    <t>MARTINEZ AHUANARI LOURDES CELMIRA</t>
  </si>
  <si>
    <t>41898577</t>
  </si>
  <si>
    <t>MENDOZA MARTINEZ MARIVEL MAGALY</t>
  </si>
  <si>
    <t>32991054</t>
  </si>
  <si>
    <t>MIRANDA CISNEROS CARLOS ANTONIO</t>
  </si>
  <si>
    <t>47437864</t>
  </si>
  <si>
    <t>MOZOMBITE TANANTA KENIA</t>
  </si>
  <si>
    <t>00150506</t>
  </si>
  <si>
    <t>MOZOMBITE VALLES JUAN MANUEL</t>
  </si>
  <si>
    <t>44280684</t>
  </si>
  <si>
    <t>NOYA RIOS VIOLETA ANTONIA</t>
  </si>
  <si>
    <t>TECNICO DE ALMACEN</t>
  </si>
  <si>
    <t>41089547</t>
  </si>
  <si>
    <t>ORE LAGOS DEISY</t>
  </si>
  <si>
    <t>80536190</t>
  </si>
  <si>
    <t>ORE LAGOS LUYDA</t>
  </si>
  <si>
    <t>TEC. FISIOTERAPIA</t>
  </si>
  <si>
    <t>72269059</t>
  </si>
  <si>
    <t>ORTEGA PUENTE EDITH MARGOT</t>
  </si>
  <si>
    <t>TECNICO SOPORTE INFORMATICO</t>
  </si>
  <si>
    <t>72655632</t>
  </si>
  <si>
    <t>PADILLA AMASIFUEN LIT ALDAIR</t>
  </si>
  <si>
    <t>73866574</t>
  </si>
  <si>
    <t>PANDURO MARQUEZ TERESA BEATRIZ</t>
  </si>
  <si>
    <t>42323118</t>
  </si>
  <si>
    <t>PANDURO SIFUENTES KARIN ABIGAIL</t>
  </si>
  <si>
    <t>45812734</t>
  </si>
  <si>
    <t>PAREDES VASQUEZ ERICK BRISLEY</t>
  </si>
  <si>
    <t>40517632</t>
  </si>
  <si>
    <t>PEZO YSLA JAWING JESUS</t>
  </si>
  <si>
    <t>76966056</t>
  </si>
  <si>
    <t>PINEDO PADILLA JOSIMAR</t>
  </si>
  <si>
    <t>45503450</t>
  </si>
  <si>
    <t>PINEDO VELA KAREN</t>
  </si>
  <si>
    <t>60098551</t>
  </si>
  <si>
    <t>POTESTA ESPIRITU JORDI</t>
  </si>
  <si>
    <t>45638549</t>
  </si>
  <si>
    <t>QUIÑONEZ RAMOS RAFAEL</t>
  </si>
  <si>
    <t>00129074</t>
  </si>
  <si>
    <t>RENGIFO DEL AGUILA CARMEN LORENA</t>
  </si>
  <si>
    <t>00158520</t>
  </si>
  <si>
    <t>RIOS GREYFOS ANGELA LLERME</t>
  </si>
  <si>
    <t>09646902</t>
  </si>
  <si>
    <t>RIOS SANCHEZ ANITA</t>
  </si>
  <si>
    <t>00162942</t>
  </si>
  <si>
    <t>RODRIGUEZ LOZANO MANUEL ALCIDES</t>
  </si>
  <si>
    <t>00151797</t>
  </si>
  <si>
    <t>ROJAS SAUCEDO JOSE SANTOS</t>
  </si>
  <si>
    <t>73211531</t>
  </si>
  <si>
    <t>SALAZAR RENGIFO CRISTIAN RODOLFO</t>
  </si>
  <si>
    <t>43215287</t>
  </si>
  <si>
    <t>SALCEDO RIOS MARK RONALD</t>
  </si>
  <si>
    <t>41699100</t>
  </si>
  <si>
    <t>STROHEKER STROHEKER JESSENIA MILAGROS</t>
  </si>
  <si>
    <t>41175300</t>
  </si>
  <si>
    <t>TALANCHA DEL AGUILA JUAN CARLOS</t>
  </si>
  <si>
    <t>43985150</t>
  </si>
  <si>
    <t>TAPIA ZEVALLOS PAOLO PAUL</t>
  </si>
  <si>
    <t>44456051</t>
  </si>
  <si>
    <t>TOMEGA CELIS GLORIA LUZ</t>
  </si>
  <si>
    <t>00159681</t>
  </si>
  <si>
    <t>TORREJON ANGULO MIRIAN</t>
  </si>
  <si>
    <t>TECNICO EN ALMACEN</t>
  </si>
  <si>
    <t>42413513</t>
  </si>
  <si>
    <t>TRIGOSO GUERRA JORGE ANTONIO</t>
  </si>
  <si>
    <t>47546891</t>
  </si>
  <si>
    <t>VILLAVERDE SOLANO MARCOS</t>
  </si>
  <si>
    <t>48864061</t>
  </si>
  <si>
    <t>YUPANQUI GUTIERREZ JONELL ESTEBAN</t>
  </si>
  <si>
    <t>47673765</t>
  </si>
  <si>
    <t>ZEGARRA NOVOA ESTEFANIA MILAGROS</t>
  </si>
  <si>
    <t>TEC. ADMINISTRATIVA</t>
  </si>
  <si>
    <t>00162926</t>
  </si>
  <si>
    <t>ZEGARRA TORRES VALDEMAR</t>
  </si>
  <si>
    <t>77569018</t>
  </si>
  <si>
    <t>ALIAGA HIDALGO IRMA PAMELA</t>
  </si>
  <si>
    <t>44317983</t>
  </si>
  <si>
    <t>ANGULO AHUANARI MERLY JESUS</t>
  </si>
  <si>
    <t>77685283</t>
  </si>
  <si>
    <t>BERROCAL CASTRO MARIANA LEONELA</t>
  </si>
  <si>
    <t>44795790</t>
  </si>
  <si>
    <t>CHONISHO VIVIANO WARRIS</t>
  </si>
  <si>
    <t>60103193</t>
  </si>
  <si>
    <t>CHONQUIÑA SITIKONANTZI ARMANDO</t>
  </si>
  <si>
    <t>44032763</t>
  </si>
  <si>
    <t>HUAMAN CAHUA GRISSEL ISIDORA</t>
  </si>
  <si>
    <t>61733896</t>
  </si>
  <si>
    <t>RENGIFO PEREZ ENEAS</t>
  </si>
  <si>
    <t>62812037</t>
  </si>
  <si>
    <t>ROQUE DAVILA RUZCEL</t>
  </si>
  <si>
    <t>23019561</t>
  </si>
  <si>
    <t>ACUÑA SALDAÑA HILDA TERESA</t>
  </si>
  <si>
    <t>00103083</t>
  </si>
  <si>
    <t>ALEJANDRO PIÑO NORMA LUZ</t>
  </si>
  <si>
    <t>48224943</t>
  </si>
  <si>
    <t>BARDALES GONZALES GROVER</t>
  </si>
  <si>
    <t>76313344</t>
  </si>
  <si>
    <t>CAISAHUANA ISACIO FLOR DE MARIA</t>
  </si>
  <si>
    <t>77061485</t>
  </si>
  <si>
    <t>CAMPOS FLORES RIVELINO</t>
  </si>
  <si>
    <t>40075072</t>
  </si>
  <si>
    <t>CARPIO MALDONADO GLADYS CATHERINA</t>
  </si>
  <si>
    <t>45346616</t>
  </si>
  <si>
    <t>MIQUEAS MURAYARI VIGDIS AZUCENA</t>
  </si>
  <si>
    <t>72793795</t>
  </si>
  <si>
    <t>VALLADARES QUEREVALU PETTY YULIANA</t>
  </si>
  <si>
    <t>43762328</t>
  </si>
  <si>
    <t>ZAPATA FASABI MANUEL</t>
  </si>
  <si>
    <t>61683155</t>
  </si>
  <si>
    <t>DEL AGUILA ANGULO HEAVILEE GIOVANNI</t>
  </si>
  <si>
    <t>40236940</t>
  </si>
  <si>
    <t>SAAVEDRA OLORTEGUI PRIMIS</t>
  </si>
  <si>
    <t>42239994</t>
  </si>
  <si>
    <t>BRAVO BARRIENTOS MARLON</t>
  </si>
  <si>
    <t>76270027</t>
  </si>
  <si>
    <t>CALLUPE CARDENAS EMILIANO CHRISTIAN</t>
  </si>
  <si>
    <t>76291770</t>
  </si>
  <si>
    <t>CARO SALAS LOYDA ELIZA</t>
  </si>
  <si>
    <t>80294987</t>
  </si>
  <si>
    <t>COLONIA CHISQUIPAMA MARTHA ELENA</t>
  </si>
  <si>
    <t>44796899</t>
  </si>
  <si>
    <t>DIAZ GONZALES DIMAS</t>
  </si>
  <si>
    <t>40848942</t>
  </si>
  <si>
    <t>PERALES LAZARO SARA</t>
  </si>
  <si>
    <t>44614613</t>
  </si>
  <si>
    <t>RENGIFO PEREZ EDUARDO</t>
  </si>
  <si>
    <t>47891167</t>
  </si>
  <si>
    <t>REYNA SEANCAS HECTOR OSCAR</t>
  </si>
  <si>
    <t>44135307</t>
  </si>
  <si>
    <t>RIOS PICON LUZ ANGELICA</t>
  </si>
  <si>
    <t>47165527</t>
  </si>
  <si>
    <t>ACOSTA CARDENAS HAJAIRA</t>
  </si>
  <si>
    <t>70386189</t>
  </si>
  <si>
    <t>ALEGRIA ORTEGA STEFFANY GINETTA</t>
  </si>
  <si>
    <t>47856386</t>
  </si>
  <si>
    <t>ARIRAMA VASQUEZ GIANCARLOS</t>
  </si>
  <si>
    <t>47534975</t>
  </si>
  <si>
    <t>ATOC CONTRERAS AMANDA SOLEDAD</t>
  </si>
  <si>
    <t>46367174</t>
  </si>
  <si>
    <t>BACA ARAUJO JOSE ALBERTO</t>
  </si>
  <si>
    <t>76670003</t>
  </si>
  <si>
    <t>BACA LOPEZ FRANCISCO ALBERTO</t>
  </si>
  <si>
    <t>72367117</t>
  </si>
  <si>
    <t>BRAIZAT MOZOMBITE ESTEFANI VANESA</t>
  </si>
  <si>
    <t>73133825</t>
  </si>
  <si>
    <t>CHAMORRO JIMENEZ LIZETH MADELEINE</t>
  </si>
  <si>
    <t>73781440</t>
  </si>
  <si>
    <t>CHANI SILVA MARCOS ABIMELEC</t>
  </si>
  <si>
    <t>47749908</t>
  </si>
  <si>
    <t>CHAVEZ LABAJOS MARIA CARMEN</t>
  </si>
  <si>
    <t>BACH. INDUSTRIAS ALIMENTARIAS</t>
  </si>
  <si>
    <t>71690166</t>
  </si>
  <si>
    <t>CUNTI PEREZ TATY KARITO</t>
  </si>
  <si>
    <t>40293195</t>
  </si>
  <si>
    <t>CURICO TARICUARIMA CHARITO ROCIO</t>
  </si>
  <si>
    <t>44560800</t>
  </si>
  <si>
    <t>DAVILA SOLIGNAC KAREL</t>
  </si>
  <si>
    <t>70368084</t>
  </si>
  <si>
    <t>DEL AGUILA ANGULO YARUMY MERCEDES</t>
  </si>
  <si>
    <t>40615617</t>
  </si>
  <si>
    <t>DEL AGUILA DAVILA CELINA</t>
  </si>
  <si>
    <t>48356979</t>
  </si>
  <si>
    <t>FLORES GONZALES JULY</t>
  </si>
  <si>
    <t>00166296</t>
  </si>
  <si>
    <t>FONSECA GUERRA DIDLER</t>
  </si>
  <si>
    <t>72269014</t>
  </si>
  <si>
    <t>GARCIA MENDEZ FRANCISCO WILFREDO</t>
  </si>
  <si>
    <t>41977550</t>
  </si>
  <si>
    <t>GUERRA RIOS SANDRA DANILA</t>
  </si>
  <si>
    <t>46734132</t>
  </si>
  <si>
    <t>HUAROC HUAROC KATERIN LILIAN</t>
  </si>
  <si>
    <t>74030749</t>
  </si>
  <si>
    <t>JIMENEZ SALCEDO STEFANNY</t>
  </si>
  <si>
    <t>48269472</t>
  </si>
  <si>
    <t>LOPEZ RAMIREZ ABDEER OBED</t>
  </si>
  <si>
    <t>70937304</t>
  </si>
  <si>
    <t>LUQUE MERINO JENNIFER ROSSMERY</t>
  </si>
  <si>
    <t>46644472</t>
  </si>
  <si>
    <t>MACEDO DEL AGUILA EDER ANTONIO</t>
  </si>
  <si>
    <t>75058655</t>
  </si>
  <si>
    <t>MAJIPO AHUANARI SUSAN CAROL</t>
  </si>
  <si>
    <t>21140866</t>
  </si>
  <si>
    <t>MALAFAYA ISUIZA MARIVEL</t>
  </si>
  <si>
    <t>70321386</t>
  </si>
  <si>
    <t>MAYO FLORES VIVIAN MELINA</t>
  </si>
  <si>
    <t>JEFE DE UNIDAD</t>
  </si>
  <si>
    <t>40711844</t>
  </si>
  <si>
    <t>MELENDEZ TORRES FERNANDO</t>
  </si>
  <si>
    <t>INGENIERO SISTEMA</t>
  </si>
  <si>
    <t>00160998</t>
  </si>
  <si>
    <t>MICHELENA RIOS FIORELA</t>
  </si>
  <si>
    <t>77810024</t>
  </si>
  <si>
    <t>MOGROVEJO MANUYAMA MILY</t>
  </si>
  <si>
    <t>45062978</t>
  </si>
  <si>
    <t>MONJA LOZANO CLAUDIA PAULA</t>
  </si>
  <si>
    <t>71955549</t>
  </si>
  <si>
    <t>OBREGON MORALES BEREA</t>
  </si>
  <si>
    <t>45450087</t>
  </si>
  <si>
    <t>PANGOSA SANCHEZ ISABEL</t>
  </si>
  <si>
    <t>75961105</t>
  </si>
  <si>
    <t>POMAR ARTETA MARIA ALEJANDRA</t>
  </si>
  <si>
    <t>45852530</t>
  </si>
  <si>
    <t>QUISPE JORGE NILDA</t>
  </si>
  <si>
    <t>47318821</t>
  </si>
  <si>
    <t>RAMIREZ HEREDIA ROSARIO DEL CARMEN</t>
  </si>
  <si>
    <t>43847135</t>
  </si>
  <si>
    <t>RICOPA MURAYARI JOSE LUIS</t>
  </si>
  <si>
    <t>72291369</t>
  </si>
  <si>
    <t>RIVAS RAMIREZ MARIBY JENIFER</t>
  </si>
  <si>
    <t>20040777</t>
  </si>
  <si>
    <t>RIVEROS SULLCA JAIME LUIS</t>
  </si>
  <si>
    <t>44485880</t>
  </si>
  <si>
    <t>RODRIGUEZ VALLES DIXON</t>
  </si>
  <si>
    <t>72256759</t>
  </si>
  <si>
    <t>RONDINEL TANTA ZARINA</t>
  </si>
  <si>
    <t>44715172</t>
  </si>
  <si>
    <t>RUIZ CAMAYTERI MAY GLORIA</t>
  </si>
  <si>
    <t>INGENIERA DE SISTEMAS</t>
  </si>
  <si>
    <t>41285951</t>
  </si>
  <si>
    <t>RUIZ SINARAHUA ADBEEL RIZTELSEY</t>
  </si>
  <si>
    <t>44831939</t>
  </si>
  <si>
    <t>SOLO SOTO ELIZABETH</t>
  </si>
  <si>
    <t>44632471</t>
  </si>
  <si>
    <t>URIOL TORRES CATHERINE TATIANA</t>
  </si>
  <si>
    <t>71838237</t>
  </si>
  <si>
    <t>VARELA BARTRA RONALD REYNALDO</t>
  </si>
  <si>
    <t>42879857</t>
  </si>
  <si>
    <t>VASQUEZ QUINCA GUILLERMO</t>
  </si>
  <si>
    <t>41722062</t>
  </si>
  <si>
    <t>VELA CARRANZA JACKELINE</t>
  </si>
  <si>
    <t>41621223</t>
  </si>
  <si>
    <t>VELA DEL AGUILA NADIA</t>
  </si>
  <si>
    <t>46154389</t>
  </si>
  <si>
    <t>VELA GARCIA YURIKO JOSEFA</t>
  </si>
  <si>
    <t>00122838</t>
  </si>
  <si>
    <t>VELA MENDOZA MARIA LUISA</t>
  </si>
  <si>
    <t>47332481</t>
  </si>
  <si>
    <t>VIEYRA ARISTA ANGEL ANTONIO</t>
  </si>
  <si>
    <t>45916696</t>
  </si>
  <si>
    <t>WALDO SALDAÑA JULIO CESAR</t>
  </si>
  <si>
    <t>45178572</t>
  </si>
  <si>
    <t>ZAMBRANO YARANGA VIOLETA MERLY</t>
  </si>
  <si>
    <t>72718599</t>
  </si>
  <si>
    <t>ZAPATA FASABI HOMER</t>
  </si>
  <si>
    <t>70938819</t>
  </si>
  <si>
    <t>ZARBE TORRES RIDER SLEITHER</t>
  </si>
  <si>
    <t>INGENIERO SISTEMAS</t>
  </si>
  <si>
    <t>43560701</t>
  </si>
  <si>
    <t>CHINO SALAS JUANITA</t>
  </si>
  <si>
    <t>01100056</t>
  </si>
  <si>
    <t>NARVAEZ MACHADO ROBERTO DANIEL</t>
  </si>
  <si>
    <t>00956824</t>
  </si>
  <si>
    <t>YANZAPANTA CRUZ KERLLY VIVIANA</t>
  </si>
  <si>
    <t>41044776</t>
  </si>
  <si>
    <t>DEL AGUILA RIVAS KEYLA ADITA</t>
  </si>
  <si>
    <t>48589203</t>
  </si>
  <si>
    <t>MERINO DIAS FIDEL</t>
  </si>
  <si>
    <t>19090230</t>
  </si>
  <si>
    <t>ALFARO MORENO JANY CHARITO</t>
  </si>
  <si>
    <t>47761622</t>
  </si>
  <si>
    <t>ARAUJO SAMPI KELY</t>
  </si>
  <si>
    <t>47349286</t>
  </si>
  <si>
    <t>DEL CASTILLO CUMAPA JOSE FIDEL</t>
  </si>
  <si>
    <t>76868756</t>
  </si>
  <si>
    <t>HUALLPA OCHOA THALIA MARIEL</t>
  </si>
  <si>
    <t>47187295</t>
  </si>
  <si>
    <t>MARTINEZ MALDONADO FRAN ANTHONY</t>
  </si>
  <si>
    <t>44485832</t>
  </si>
  <si>
    <t>MORALES PEZO BRANDY</t>
  </si>
  <si>
    <t>46279388</t>
  </si>
  <si>
    <t>PAUCARCAJA ROJAS NOELIA</t>
  </si>
  <si>
    <t>74120796</t>
  </si>
  <si>
    <t>SEBASTIAN OCHAVANO DELCY RENITA</t>
  </si>
  <si>
    <t>40107897</t>
  </si>
  <si>
    <t>TICONA SEVILLANO CRISTINA LUZ</t>
  </si>
  <si>
    <t>72812398</t>
  </si>
  <si>
    <t>VALLE PONCE KEVIN NAHUN</t>
  </si>
  <si>
    <t>47923184</t>
  </si>
  <si>
    <t>YURADAHUA SHURE MANUEL</t>
  </si>
  <si>
    <t>72323895</t>
  </si>
  <si>
    <t>ARECHAGA ISUIZA JERSON JOSE</t>
  </si>
  <si>
    <t>42709116</t>
  </si>
  <si>
    <t>CUSHIMARIANO VASQUEZ LUIS</t>
  </si>
  <si>
    <t>80294397</t>
  </si>
  <si>
    <t>MUÑOZ VALERIANO DANIEL</t>
  </si>
  <si>
    <t>72166217</t>
  </si>
  <si>
    <t>PORTOCARRERO TARAZONA CAROL STHEFANY</t>
  </si>
  <si>
    <t>FORMATO 18: ALQUILER DE INMUEBLES EN LOS AÑOS FISCALES 2020 Y 2021</t>
  </si>
  <si>
    <t>ARRENDATARIO</t>
  </si>
  <si>
    <t>ARRENDADOR</t>
  </si>
  <si>
    <t>INMUEBLE</t>
  </si>
  <si>
    <t>CONTRATO</t>
  </si>
  <si>
    <t>EJECUCIÓN 2020</t>
  </si>
  <si>
    <t>EJECUCIÓN 2021 (*)</t>
  </si>
  <si>
    <t>PLIEGO</t>
  </si>
  <si>
    <t>Apellidos y Nombres o Denominación</t>
  </si>
  <si>
    <t>DNI O PARTIDA REGISTRAL</t>
  </si>
  <si>
    <t>BIEN PROPIO DE TERCEROS O AJENO</t>
  </si>
  <si>
    <t>PARTIDA REGISTRAL DE INCRIPCION DE PROPIEDAD</t>
  </si>
  <si>
    <t>METROS CUADRADOS</t>
  </si>
  <si>
    <t>COCHERAS</t>
  </si>
  <si>
    <t>VIGENCIA DEL CONTRATO</t>
  </si>
  <si>
    <t>MONTO MENSUAL</t>
  </si>
  <si>
    <t xml:space="preserve">FORMA DE PAGO (MENSUAL O ANUAL) Y FECHA DE PAGO </t>
  </si>
  <si>
    <t>PLIEGO: 462. GOBIERNO REGIONAL DEL DEPARTAMENTO DE UCAYALI</t>
  </si>
  <si>
    <t>942 SEDE CENTRAL</t>
  </si>
  <si>
    <t>LA SUITE DE PETITA`S INN EIRL</t>
  </si>
  <si>
    <t>PROPIO</t>
  </si>
  <si>
    <t>P 19005521</t>
  </si>
  <si>
    <t>01 PISCINA</t>
  </si>
  <si>
    <t>AL 31 DE DICIEMBRE 2021 SEGÚN ADENDA Nº 002-2021 AL CONTRATO Nº 093-2016-GRU-GR-GGR-ORA</t>
  </si>
  <si>
    <t>MENSUAL</t>
  </si>
  <si>
    <t>P19005519</t>
  </si>
  <si>
    <t>NO</t>
  </si>
  <si>
    <t>P 19005520</t>
  </si>
  <si>
    <t xml:space="preserve">INMOBILIARIA SALMAR SAC </t>
  </si>
  <si>
    <t>AL 31 DE DICIEMBRE 2021 DOCUMENTO EN TRAMITE</t>
  </si>
  <si>
    <t>LUIS ALBERTO VARGAS VASQUEZ</t>
  </si>
  <si>
    <t>00002864</t>
  </si>
  <si>
    <t xml:space="preserve"> O/S Nº 924 HASTA EL 31 DE DICIEMBRE</t>
  </si>
  <si>
    <t>MARCO WONG CHUQUIZUTA</t>
  </si>
  <si>
    <t>P 11146704</t>
  </si>
  <si>
    <t>AL 31 DE DICIEMBRE 2021</t>
  </si>
  <si>
    <t>NIETO RAMIREZ ARSOLINO PAULINO</t>
  </si>
  <si>
    <t>P19037694</t>
  </si>
  <si>
    <t>AL 31 DE DICIEMBRE 2020</t>
  </si>
  <si>
    <t>301 EDUCACION PURUS</t>
  </si>
  <si>
    <t>SAMIA SOTO FUCHS DE GOMEZ</t>
  </si>
  <si>
    <t>N° 00020332 - SUNART</t>
  </si>
  <si>
    <t>CONTRATO N° 001-2021-UGEL-PURUS</t>
  </si>
  <si>
    <t>303 EDUCACION CORONEL PORTILLO</t>
  </si>
  <si>
    <t>ROMULO VALDERRAMA TORRES</t>
  </si>
  <si>
    <t>P19002930</t>
  </si>
  <si>
    <t>CONTRATO DE ALQUILER Nº 002-2021 - UGEL - CP AL 31/12/2021</t>
  </si>
  <si>
    <t xml:space="preserve">304 EDUCACION PADRE ABAD </t>
  </si>
  <si>
    <t>CUEVA ARRIETA JUSTA</t>
  </si>
  <si>
    <t>TERCERO</t>
  </si>
  <si>
    <t>CONTRATO N° 01, 03, 05,07-2021-UGEL-PA</t>
  </si>
  <si>
    <t>PANDURO SILVA JANETT</t>
  </si>
  <si>
    <t>CONTRATO N°02, 04, 06, 08-2021-UGEL-PA</t>
  </si>
  <si>
    <t>400 SALUD</t>
  </si>
  <si>
    <t>JOSE LUIS VILLACORTA MONTOYA</t>
  </si>
  <si>
    <t xml:space="preserve"> P19016070</t>
  </si>
  <si>
    <t>ENERO - DICIEMBRE</t>
  </si>
  <si>
    <t>GRUPO VMT CORPORATION E.I.R.L.</t>
  </si>
  <si>
    <t>401 HOSPITAL REGIONAL DE PUCALLPA</t>
  </si>
  <si>
    <t>08166081</t>
  </si>
  <si>
    <t>P19009183</t>
  </si>
  <si>
    <t>01/04/20 AL 31/05/20</t>
  </si>
  <si>
    <t>405 RED DE SALUD CORONEL PORTILLO</t>
  </si>
  <si>
    <t>CONTRATO DE SERVICIO N°01-2021-DIRESAU/RSCPDE MARZO AL 31 DE AGOSTO DEL 2021/ ADENDA N°001-2021- SETIEMBRE/ CONTRATO N°002 /OCTUBRE A DICIEMBRE</t>
  </si>
  <si>
    <t>(*) = Al 30 de junio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</si>
</sst>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S/&quot;* #,##0.00_-;\-&quot;S/&quot;* #,##0.00_-;_-&quot;S/&quot;* &quot;-&quot;??_-;_-@_-"/>
    <numFmt numFmtId="43" formatCode="_-* #,##0.00_-;\-* #,##0.00_-;_-* &quot;-&quot;??_-;_-@_-"/>
    <numFmt numFmtId="164" formatCode="_(* #,##0.00_);_(* \(#,##0.00\);_(* &quot;-&quot;??_);_(@_)"/>
    <numFmt numFmtId="165" formatCode="[$-280A]d&quot; de &quot;mmmm&quot; de &quot;yyyy;@"/>
    <numFmt numFmtId="166" formatCode="_-* #,##0_-;\-* #,##0_-;_-* &quot;-&quot;??_-;_-@_-"/>
    <numFmt numFmtId="167" formatCode="_ &quot;S/&quot;* #,##0.00_ ;_ &quot;S/&quot;* \-#,##0.00_ ;_ &quot;S/&quot;* &quot;-&quot;??_ ;_ @_ "/>
    <numFmt numFmtId="168" formatCode="[$-C0A]mmm\-yy;@"/>
    <numFmt numFmtId="169" formatCode="00000000000"/>
    <numFmt numFmtId="170" formatCode="#,##0.00;[Red]#,##0.00"/>
    <numFmt numFmtId="171" formatCode="_ * #,##0.00_ ;_ * \-#,##0.00_ ;_ * &quot;-&quot;??_ ;_ @_ "/>
    <numFmt numFmtId="172" formatCode="0000"/>
    <numFmt numFmtId="173" formatCode="_ * #,##0_ ;_ * \-#,##0_ ;_ * &quot;-&quot;??_ ;_ @_ "/>
    <numFmt numFmtId="174" formatCode="#,##0.00_ ;\-#,##0.00\ "/>
    <numFmt numFmtId="175" formatCode="0.00;[Red]0.00"/>
    <numFmt numFmtId="176" formatCode="&quot;S/&quot;#,##0.00"/>
    <numFmt numFmtId="177" formatCode="0.0"/>
    <numFmt numFmtId="178" formatCode="00000000"/>
    <numFmt numFmtId="179" formatCode="#0.00"/>
    <numFmt numFmtId="180" formatCode="_ &quot;S/.&quot;* #,##0.00_ ;_ &quot;S/.&quot;* \-#,##0.00_ ;_ &quot;S/.&quot;* &quot;-&quot;??_ ;_ @_ "/>
    <numFmt numFmtId="181" formatCode="_*\ #,##0_ ;_*\ \-#,##0_ ;_ * &quot;-&quot;_ ;_ @_ "/>
  </numFmts>
  <fonts count="65"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Narrow"/>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11"/>
      <color indexed="8"/>
      <name val="Calibri"/>
      <family val="2"/>
      <scheme val="minor"/>
    </font>
    <font>
      <sz val="10"/>
      <name val="Arial"/>
      <family val="2"/>
    </font>
    <font>
      <sz val="9"/>
      <color theme="1"/>
      <name val="Arial"/>
      <family val="2"/>
    </font>
    <font>
      <b/>
      <sz val="9"/>
      <color theme="1"/>
      <name val="Arial"/>
      <family val="2"/>
    </font>
    <font>
      <sz val="10"/>
      <name val="Arial"/>
      <family val="2"/>
    </font>
    <font>
      <b/>
      <i/>
      <sz val="9"/>
      <name val="Arial"/>
      <family val="2"/>
    </font>
    <font>
      <sz val="9"/>
      <name val="Calibri"/>
      <family val="2"/>
      <scheme val="minor"/>
    </font>
    <font>
      <sz val="9"/>
      <color rgb="FF333333"/>
      <name val="Arial"/>
      <family val="2"/>
    </font>
    <font>
      <sz val="9"/>
      <name val="Arial Narrow"/>
      <family val="2"/>
    </font>
    <font>
      <b/>
      <sz val="9"/>
      <name val="Arial Narrow"/>
      <family val="2"/>
    </font>
    <font>
      <sz val="9"/>
      <color indexed="81"/>
      <name val="Tahoma"/>
      <family val="2"/>
    </font>
    <font>
      <sz val="9"/>
      <color theme="3" tint="-0.249977111117893"/>
      <name val="Arial"/>
      <family val="2"/>
    </font>
    <font>
      <b/>
      <sz val="9"/>
      <color theme="3" tint="-0.249977111117893"/>
      <name val="Arial"/>
      <family val="2"/>
    </font>
    <font>
      <sz val="9"/>
      <color theme="1"/>
      <name val="Calibri"/>
      <family val="2"/>
      <scheme val="minor"/>
    </font>
    <font>
      <b/>
      <sz val="9"/>
      <color rgb="FFFF0000"/>
      <name val="Arial"/>
      <family val="2"/>
    </font>
    <font>
      <sz val="9"/>
      <color rgb="FFFF0000"/>
      <name val="Arial"/>
      <family val="2"/>
    </font>
    <font>
      <b/>
      <sz val="9"/>
      <color theme="0"/>
      <name val="Arial"/>
      <family val="2"/>
    </font>
    <font>
      <sz val="9"/>
      <color theme="0"/>
      <name val="Arial"/>
      <family val="2"/>
    </font>
    <font>
      <b/>
      <sz val="9"/>
      <color theme="1"/>
      <name val="Calibri"/>
      <family val="2"/>
      <scheme val="minor"/>
    </font>
    <font>
      <sz val="9"/>
      <color indexed="63"/>
      <name val="Arial"/>
      <family val="2"/>
    </font>
    <font>
      <sz val="9"/>
      <color rgb="FF002060"/>
      <name val="Arial Narrow"/>
      <family val="2"/>
    </font>
    <font>
      <sz val="9"/>
      <color rgb="FF002060"/>
      <name val="Calibri"/>
      <family val="2"/>
      <scheme val="minor"/>
    </font>
    <font>
      <b/>
      <sz val="9"/>
      <color indexed="81"/>
      <name val="Tahoma"/>
      <family val="2"/>
    </font>
    <font>
      <b/>
      <u/>
      <sz val="9"/>
      <color theme="3" tint="-0.249977111117893"/>
      <name val="Arial"/>
      <family val="2"/>
    </font>
    <font>
      <b/>
      <sz val="9"/>
      <name val="Calibri"/>
      <family val="2"/>
      <scheme val="minor"/>
    </font>
    <font>
      <b/>
      <u/>
      <sz val="9"/>
      <name val="Arial"/>
      <family val="2"/>
    </font>
    <font>
      <b/>
      <sz val="9"/>
      <color theme="0" tint="-4.9989318521683403E-2"/>
      <name val="Arial"/>
      <family val="2"/>
    </font>
    <font>
      <b/>
      <u/>
      <sz val="14"/>
      <color theme="3" tint="-0.249977111117893"/>
      <name val="Arial"/>
      <family val="2"/>
    </font>
    <font>
      <sz val="9"/>
      <color rgb="FF000000"/>
      <name val="Arial"/>
      <family val="2"/>
    </font>
    <font>
      <b/>
      <u/>
      <sz val="14"/>
      <color theme="1"/>
      <name val="Arial"/>
      <family val="2"/>
    </font>
    <font>
      <b/>
      <u/>
      <sz val="10"/>
      <color theme="1"/>
      <name val="Arial"/>
      <family val="2"/>
    </font>
    <font>
      <sz val="14"/>
      <name val="Calibri"/>
      <family val="2"/>
      <scheme val="minor"/>
    </font>
    <font>
      <b/>
      <u/>
      <sz val="14"/>
      <name val="Arial"/>
      <family val="2"/>
    </font>
    <font>
      <b/>
      <sz val="9"/>
      <color rgb="FF002060"/>
      <name val="Calibri"/>
      <family val="2"/>
      <scheme val="minor"/>
    </font>
    <font>
      <sz val="9"/>
      <color rgb="FF000000"/>
      <name val="Verdana"/>
      <family val="2"/>
    </font>
    <font>
      <sz val="9"/>
      <color rgb="FF000000"/>
      <name val="Calibri"/>
      <family val="2"/>
      <scheme val="minor"/>
    </font>
    <font>
      <sz val="9"/>
      <name val="Century Gothic"/>
      <family val="2"/>
    </font>
    <font>
      <sz val="9"/>
      <color rgb="FF0D0D0D"/>
      <name val="Arial"/>
      <family val="2"/>
    </font>
    <font>
      <b/>
      <sz val="9"/>
      <color rgb="FF000000"/>
      <name val="Verdana"/>
      <family val="2"/>
    </font>
    <font>
      <b/>
      <i/>
      <sz val="9"/>
      <color rgb="FF000000"/>
      <name val="Arial"/>
      <family val="2"/>
    </font>
    <font>
      <sz val="9"/>
      <color theme="1"/>
      <name val="Arial Narrow"/>
      <family val="2"/>
    </font>
    <font>
      <sz val="9"/>
      <color rgb="FF000000"/>
      <name val="Arial Narrow"/>
      <family val="2"/>
    </font>
    <font>
      <sz val="9"/>
      <color theme="0"/>
      <name val="Arial Narrow"/>
      <family val="2"/>
    </font>
    <font>
      <b/>
      <sz val="9"/>
      <color theme="0"/>
      <name val="Arial Narrow"/>
      <family val="2"/>
    </font>
    <font>
      <b/>
      <sz val="9"/>
      <color theme="0"/>
      <name val="Calibri"/>
      <family val="2"/>
      <scheme val="minor"/>
    </font>
    <font>
      <sz val="9"/>
      <color theme="0"/>
      <name val="Calibri"/>
      <family val="2"/>
      <scheme val="minor"/>
    </font>
    <font>
      <sz val="9"/>
      <color indexed="8"/>
      <name val="Calibri"/>
      <family val="2"/>
      <scheme val="minor"/>
    </font>
  </fonts>
  <fills count="20">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BF9F6"/>
        <bgColor indexed="64"/>
      </patternFill>
    </fill>
    <fill>
      <patternFill patternType="solid">
        <fgColor rgb="FFFFFFFF"/>
        <bgColor indexed="64"/>
      </patternFill>
    </fill>
    <fill>
      <patternFill patternType="solid">
        <fgColor indexed="9"/>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0"/>
        <bgColor theme="4" tint="0.79998168889431442"/>
      </patternFill>
    </fill>
    <fill>
      <patternFill patternType="solid">
        <fgColor theme="1" tint="0.49998474074526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81">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style="thick">
        <color indexed="64"/>
      </left>
      <right style="medium">
        <color indexed="64"/>
      </right>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19">
    <xf numFmtId="0" fontId="0" fillId="0" borderId="0"/>
    <xf numFmtId="0" fontId="5" fillId="0" borderId="0"/>
    <xf numFmtId="0" fontId="5" fillId="0" borderId="0"/>
    <xf numFmtId="49" fontId="7" fillId="0" borderId="0"/>
    <xf numFmtId="0" fontId="3" fillId="0" borderId="0"/>
    <xf numFmtId="43" fontId="3"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43" fontId="3" fillId="0" borderId="0" applyFont="0" applyFill="0" applyBorder="0" applyAlignment="0" applyProtection="0"/>
    <xf numFmtId="0" fontId="18" fillId="0" borderId="0"/>
    <xf numFmtId="9" fontId="3"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4" fontId="22"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180" fontId="3" fillId="0" borderId="0" applyFont="0" applyFill="0" applyBorder="0" applyAlignment="0" applyProtection="0"/>
  </cellStyleXfs>
  <cellXfs count="1566">
    <xf numFmtId="0" fontId="0" fillId="0" borderId="0" xfId="0"/>
    <xf numFmtId="0" fontId="9" fillId="0" borderId="0" xfId="2" applyFont="1" applyAlignment="1">
      <alignment horizontal="left" vertical="center"/>
    </xf>
    <xf numFmtId="0" fontId="10" fillId="0" borderId="0" xfId="2" applyFont="1" applyAlignment="1">
      <alignment vertical="center"/>
    </xf>
    <xf numFmtId="0" fontId="9" fillId="0" borderId="0" xfId="0" applyFont="1"/>
    <xf numFmtId="49" fontId="9" fillId="0" borderId="0" xfId="3" applyFont="1" applyAlignment="1">
      <alignment vertical="center"/>
    </xf>
    <xf numFmtId="0" fontId="10" fillId="0" borderId="0" xfId="0" applyFont="1"/>
    <xf numFmtId="49" fontId="9" fillId="0" borderId="0" xfId="1" applyNumberFormat="1" applyFont="1" applyAlignment="1">
      <alignment horizontal="left" vertical="center"/>
    </xf>
    <xf numFmtId="0" fontId="9" fillId="0" borderId="0" xfId="2" applyFont="1" applyAlignment="1">
      <alignment vertical="center"/>
    </xf>
    <xf numFmtId="0" fontId="9" fillId="0" borderId="13" xfId="2" applyFont="1" applyBorder="1" applyAlignment="1">
      <alignment horizontal="center" vertical="center"/>
    </xf>
    <xf numFmtId="0" fontId="10" fillId="2" borderId="13" xfId="2" applyFont="1" applyFill="1" applyBorder="1" applyAlignment="1">
      <alignment horizontal="center" vertical="center"/>
    </xf>
    <xf numFmtId="0" fontId="10" fillId="2" borderId="4" xfId="2" applyFont="1" applyFill="1" applyBorder="1" applyAlignment="1">
      <alignment vertical="center"/>
    </xf>
    <xf numFmtId="0" fontId="9" fillId="0" borderId="4" xfId="2" applyFont="1" applyBorder="1" applyAlignment="1">
      <alignment vertical="center"/>
    </xf>
    <xf numFmtId="0" fontId="10" fillId="2" borderId="5" xfId="2" applyFont="1" applyFill="1" applyBorder="1" applyAlignment="1">
      <alignment horizontal="center" vertical="center"/>
    </xf>
    <xf numFmtId="0" fontId="10" fillId="2" borderId="19" xfId="2" applyFont="1" applyFill="1" applyBorder="1" applyAlignment="1">
      <alignment vertical="center"/>
    </xf>
    <xf numFmtId="0" fontId="9" fillId="0" borderId="3" xfId="2" applyFont="1" applyBorder="1" applyAlignment="1">
      <alignment horizontal="center" vertical="center"/>
    </xf>
    <xf numFmtId="0" fontId="10" fillId="2" borderId="8" xfId="2" applyFont="1" applyFill="1" applyBorder="1" applyAlignment="1">
      <alignment horizontal="center" vertical="center"/>
    </xf>
    <xf numFmtId="0" fontId="10" fillId="2" borderId="4" xfId="2" applyFont="1" applyFill="1" applyBorder="1" applyAlignment="1">
      <alignment horizontal="center" vertical="center"/>
    </xf>
    <xf numFmtId="0" fontId="9" fillId="0" borderId="0" xfId="0" applyFont="1" applyAlignment="1">
      <alignment wrapText="1"/>
    </xf>
    <xf numFmtId="0" fontId="9" fillId="0" borderId="0" xfId="0" applyFont="1" applyAlignment="1">
      <alignment horizontal="center" wrapText="1"/>
    </xf>
    <xf numFmtId="0" fontId="10" fillId="2" borderId="20" xfId="2" applyFont="1" applyFill="1" applyBorder="1" applyAlignment="1">
      <alignment horizontal="center" vertical="center"/>
    </xf>
    <xf numFmtId="0" fontId="10" fillId="2" borderId="17" xfId="2" applyFont="1" applyFill="1" applyBorder="1" applyAlignment="1">
      <alignment horizontal="center" vertical="center"/>
    </xf>
    <xf numFmtId="0" fontId="10" fillId="5" borderId="0" xfId="2" applyFont="1" applyFill="1" applyAlignment="1">
      <alignment vertical="center"/>
    </xf>
    <xf numFmtId="0" fontId="9" fillId="5" borderId="0" xfId="0" applyFont="1" applyFill="1"/>
    <xf numFmtId="0" fontId="8" fillId="4" borderId="0" xfId="0" applyFont="1" applyFill="1" applyAlignment="1">
      <alignment vertical="center"/>
    </xf>
    <xf numFmtId="0" fontId="15" fillId="4" borderId="0" xfId="0" applyFont="1" applyFill="1" applyAlignment="1">
      <alignment vertical="center" wrapText="1"/>
    </xf>
    <xf numFmtId="0" fontId="15"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4" fillId="0" borderId="0" xfId="0" applyFont="1" applyAlignment="1">
      <alignment vertical="center"/>
    </xf>
    <xf numFmtId="0" fontId="15" fillId="0" borderId="0" xfId="0" applyFont="1" applyAlignment="1">
      <alignment vertical="center"/>
    </xf>
    <xf numFmtId="0" fontId="17" fillId="0" borderId="0" xfId="2" applyFont="1" applyAlignment="1">
      <alignment vertical="center"/>
    </xf>
    <xf numFmtId="0" fontId="16" fillId="0" borderId="0" xfId="0" applyFont="1" applyAlignment="1">
      <alignment vertical="center" wrapText="1"/>
    </xf>
    <xf numFmtId="49" fontId="17" fillId="0" borderId="0" xfId="3" applyFont="1" applyAlignment="1">
      <alignment horizontal="left" vertical="center"/>
    </xf>
    <xf numFmtId="3" fontId="16" fillId="0" borderId="0" xfId="3" applyNumberFormat="1" applyFont="1" applyAlignment="1">
      <alignment vertical="center"/>
    </xf>
    <xf numFmtId="3" fontId="16" fillId="0" borderId="0" xfId="3" applyNumberFormat="1" applyFont="1" applyAlignment="1">
      <alignment horizontal="right" vertical="center"/>
    </xf>
    <xf numFmtId="0" fontId="9" fillId="0" borderId="0" xfId="4" applyFont="1"/>
    <xf numFmtId="0" fontId="9" fillId="0" borderId="4" xfId="4" applyFont="1" applyBorder="1"/>
    <xf numFmtId="0" fontId="9" fillId="0" borderId="13" xfId="4" applyFont="1" applyBorder="1"/>
    <xf numFmtId="0" fontId="9" fillId="0" borderId="8" xfId="4" applyFont="1" applyBorder="1"/>
    <xf numFmtId="0" fontId="9" fillId="0" borderId="10" xfId="4" applyFont="1" applyBorder="1"/>
    <xf numFmtId="3" fontId="9" fillId="0" borderId="4" xfId="4" applyNumberFormat="1" applyFont="1" applyBorder="1"/>
    <xf numFmtId="3" fontId="9" fillId="0" borderId="13" xfId="4" applyNumberFormat="1" applyFont="1" applyBorder="1"/>
    <xf numFmtId="0" fontId="0" fillId="5" borderId="0" xfId="0" applyFill="1" applyAlignment="1">
      <alignment horizontal="left" vertical="center" wrapText="1"/>
    </xf>
    <xf numFmtId="0" fontId="0" fillId="0" borderId="0" xfId="0" applyAlignment="1">
      <alignment horizontal="left" vertical="center"/>
    </xf>
    <xf numFmtId="0" fontId="4" fillId="0" borderId="27" xfId="0" applyFont="1" applyBorder="1" applyAlignment="1">
      <alignment horizontal="left" vertical="center"/>
    </xf>
    <xf numFmtId="49" fontId="9" fillId="0" borderId="2" xfId="3" applyFont="1" applyBorder="1" applyAlignment="1">
      <alignment vertical="center" wrapText="1"/>
    </xf>
    <xf numFmtId="49" fontId="9" fillId="0" borderId="60" xfId="3" applyFont="1" applyBorder="1" applyAlignment="1">
      <alignment vertical="center" wrapText="1"/>
    </xf>
    <xf numFmtId="4" fontId="10" fillId="0" borderId="21" xfId="3" applyNumberFormat="1" applyFont="1" applyBorder="1" applyAlignment="1">
      <alignment vertical="center"/>
    </xf>
    <xf numFmtId="4" fontId="10" fillId="0" borderId="24" xfId="3" applyNumberFormat="1" applyFont="1" applyBorder="1" applyAlignment="1">
      <alignment vertical="center"/>
    </xf>
    <xf numFmtId="49" fontId="9" fillId="0" borderId="68" xfId="3" applyFont="1" applyBorder="1" applyAlignment="1">
      <alignment vertical="center" wrapText="1"/>
    </xf>
    <xf numFmtId="4" fontId="10" fillId="0" borderId="25" xfId="3" applyNumberFormat="1" applyFont="1" applyBorder="1" applyAlignment="1">
      <alignment vertical="center"/>
    </xf>
    <xf numFmtId="4" fontId="9" fillId="0" borderId="22" xfId="3" applyNumberFormat="1" applyFont="1" applyBorder="1" applyAlignment="1">
      <alignment vertical="center"/>
    </xf>
    <xf numFmtId="4" fontId="9" fillId="0" borderId="23" xfId="3" applyNumberFormat="1" applyFont="1" applyBorder="1" applyAlignment="1">
      <alignment vertical="center"/>
    </xf>
    <xf numFmtId="4" fontId="9" fillId="0" borderId="21" xfId="3" applyNumberFormat="1" applyFont="1" applyBorder="1" applyAlignment="1">
      <alignment vertical="center"/>
    </xf>
    <xf numFmtId="4" fontId="9" fillId="0" borderId="27" xfId="3" applyNumberFormat="1" applyFont="1" applyBorder="1" applyAlignment="1">
      <alignment vertical="center"/>
    </xf>
    <xf numFmtId="4" fontId="9" fillId="0" borderId="25" xfId="3" applyNumberFormat="1" applyFont="1" applyBorder="1" applyAlignment="1">
      <alignment vertical="center"/>
    </xf>
    <xf numFmtId="4" fontId="9" fillId="0" borderId="0" xfId="0" applyNumberFormat="1" applyFont="1"/>
    <xf numFmtId="4" fontId="9" fillId="0" borderId="54" xfId="3" applyNumberFormat="1" applyFont="1" applyBorder="1" applyAlignment="1">
      <alignment vertical="center"/>
    </xf>
    <xf numFmtId="4" fontId="10" fillId="0" borderId="53" xfId="3" applyNumberFormat="1" applyFont="1" applyBorder="1" applyAlignment="1">
      <alignment vertical="center"/>
    </xf>
    <xf numFmtId="4" fontId="10" fillId="6" borderId="27" xfId="0" applyNumberFormat="1" applyFont="1" applyFill="1" applyBorder="1" applyAlignment="1">
      <alignment vertical="center"/>
    </xf>
    <xf numFmtId="0" fontId="9" fillId="0" borderId="27" xfId="0" applyFont="1" applyBorder="1" applyAlignment="1">
      <alignment horizontal="left" vertical="center" wrapText="1"/>
    </xf>
    <xf numFmtId="4" fontId="9" fillId="0" borderId="27" xfId="0" applyNumberFormat="1" applyFont="1" applyBorder="1" applyAlignment="1">
      <alignment vertical="center"/>
    </xf>
    <xf numFmtId="0" fontId="10" fillId="0" borderId="0" xfId="0" applyFont="1" applyAlignment="1">
      <alignment horizontal="center" vertical="center" wrapText="1"/>
    </xf>
    <xf numFmtId="0" fontId="9" fillId="0" borderId="0" xfId="0" applyFont="1" applyAlignment="1">
      <alignment vertical="center" wrapText="1"/>
    </xf>
    <xf numFmtId="0" fontId="9" fillId="0" borderId="27" xfId="0" applyFont="1" applyBorder="1" applyAlignment="1">
      <alignment horizontal="left" vertical="center"/>
    </xf>
    <xf numFmtId="0" fontId="9" fillId="0" borderId="13" xfId="2" applyFont="1" applyBorder="1" applyAlignment="1">
      <alignment horizontal="left" vertical="center"/>
    </xf>
    <xf numFmtId="4" fontId="9" fillId="0" borderId="0" xfId="2" applyNumberFormat="1" applyFont="1" applyAlignment="1">
      <alignment vertical="center"/>
    </xf>
    <xf numFmtId="4" fontId="9" fillId="0" borderId="13" xfId="2" applyNumberFormat="1" applyFont="1" applyBorder="1" applyAlignment="1">
      <alignment vertical="center"/>
    </xf>
    <xf numFmtId="4" fontId="9" fillId="0" borderId="3" xfId="2" applyNumberFormat="1" applyFont="1" applyBorder="1" applyAlignment="1">
      <alignment vertical="center"/>
    </xf>
    <xf numFmtId="10" fontId="9" fillId="0" borderId="13" xfId="2" applyNumberFormat="1" applyFont="1" applyBorder="1" applyAlignment="1">
      <alignment vertical="center"/>
    </xf>
    <xf numFmtId="0" fontId="6" fillId="0" borderId="0" xfId="2" applyFont="1" applyAlignment="1">
      <alignment vertical="center"/>
    </xf>
    <xf numFmtId="0" fontId="10" fillId="0" borderId="27" xfId="2" applyFont="1" applyBorder="1" applyAlignment="1">
      <alignment horizontal="left" vertical="center" wrapText="1"/>
    </xf>
    <xf numFmtId="0" fontId="10" fillId="0" borderId="27" xfId="2" applyFont="1" applyBorder="1" applyAlignment="1">
      <alignment horizontal="center" vertical="center" wrapText="1"/>
    </xf>
    <xf numFmtId="14" fontId="10" fillId="0" borderId="27" xfId="2" applyNumberFormat="1" applyFont="1" applyBorder="1" applyAlignment="1">
      <alignment horizontal="center" vertical="center" wrapText="1"/>
    </xf>
    <xf numFmtId="0" fontId="10" fillId="0" borderId="35" xfId="2" applyFont="1" applyBorder="1" applyAlignment="1">
      <alignment horizontal="left" vertical="center" wrapText="1"/>
    </xf>
    <xf numFmtId="0" fontId="10" fillId="0" borderId="35" xfId="2" applyFont="1" applyBorder="1" applyAlignment="1">
      <alignment horizontal="center" vertical="center" wrapText="1"/>
    </xf>
    <xf numFmtId="0" fontId="9" fillId="0" borderId="35" xfId="2" applyFont="1" applyBorder="1" applyAlignment="1">
      <alignment horizontal="center" vertical="center" wrapText="1"/>
    </xf>
    <xf numFmtId="0" fontId="10" fillId="2" borderId="5" xfId="2" applyFont="1" applyFill="1" applyBorder="1" applyAlignment="1">
      <alignment horizontal="center" vertical="center" wrapText="1"/>
    </xf>
    <xf numFmtId="0" fontId="10" fillId="2" borderId="18" xfId="2" applyFont="1" applyFill="1" applyBorder="1" applyAlignment="1">
      <alignment horizontal="center" vertical="center" wrapText="1"/>
    </xf>
    <xf numFmtId="0" fontId="10" fillId="2" borderId="17" xfId="2" applyFont="1" applyFill="1" applyBorder="1" applyAlignment="1">
      <alignment horizontal="center" vertical="center" wrapText="1"/>
    </xf>
    <xf numFmtId="4" fontId="10" fillId="0" borderId="27" xfId="2" applyNumberFormat="1" applyFont="1" applyBorder="1" applyAlignment="1">
      <alignment horizontal="right" vertical="center" wrapText="1"/>
    </xf>
    <xf numFmtId="4" fontId="10" fillId="0" borderId="35" xfId="2" applyNumberFormat="1" applyFont="1" applyBorder="1" applyAlignment="1">
      <alignment horizontal="right" vertical="center" wrapText="1"/>
    </xf>
    <xf numFmtId="4" fontId="10" fillId="2" borderId="17" xfId="2" applyNumberFormat="1" applyFont="1" applyFill="1" applyBorder="1" applyAlignment="1">
      <alignment horizontal="right" vertical="center" wrapText="1"/>
    </xf>
    <xf numFmtId="0" fontId="10" fillId="0" borderId="27" xfId="2" applyFont="1" applyBorder="1" applyAlignment="1">
      <alignment horizontal="left" vertical="center"/>
    </xf>
    <xf numFmtId="0" fontId="10" fillId="0" borderId="27" xfId="2" applyFont="1" applyBorder="1" applyAlignment="1">
      <alignment horizontal="center" vertical="center"/>
    </xf>
    <xf numFmtId="4" fontId="10" fillId="0" borderId="27" xfId="2" applyNumberFormat="1" applyFont="1" applyBorder="1" applyAlignment="1">
      <alignment vertical="center"/>
    </xf>
    <xf numFmtId="0" fontId="9" fillId="0" borderId="27" xfId="0" applyFont="1" applyBorder="1"/>
    <xf numFmtId="49" fontId="9" fillId="0" borderId="27" xfId="1" applyNumberFormat="1" applyFont="1" applyBorder="1" applyAlignment="1">
      <alignment horizontal="left" vertical="center"/>
    </xf>
    <xf numFmtId="0" fontId="9" fillId="0" borderId="27" xfId="2" applyFont="1" applyBorder="1" applyAlignment="1">
      <alignment horizontal="left" vertical="center"/>
    </xf>
    <xf numFmtId="0" fontId="9" fillId="0" borderId="27" xfId="2" applyFont="1" applyBorder="1" applyAlignment="1">
      <alignment horizontal="center" vertical="center"/>
    </xf>
    <xf numFmtId="0" fontId="9" fillId="0" borderId="27" xfId="2" applyFont="1" applyBorder="1" applyAlignment="1">
      <alignment vertical="center"/>
    </xf>
    <xf numFmtId="0" fontId="10" fillId="0" borderId="0" xfId="2" applyFont="1" applyAlignment="1">
      <alignment horizontal="center" vertical="center"/>
    </xf>
    <xf numFmtId="0" fontId="10" fillId="0" borderId="0" xfId="4" applyFont="1"/>
    <xf numFmtId="0" fontId="9" fillId="0" borderId="0" xfId="4" applyFont="1" applyAlignment="1">
      <alignment horizontal="center"/>
    </xf>
    <xf numFmtId="0" fontId="9" fillId="0" borderId="0" xfId="4" applyFont="1" applyAlignment="1">
      <alignment horizontal="center" vertical="center"/>
    </xf>
    <xf numFmtId="0" fontId="10" fillId="0" borderId="0" xfId="4" applyFont="1" applyAlignment="1">
      <alignment horizontal="center" vertical="center"/>
    </xf>
    <xf numFmtId="0" fontId="10" fillId="0" borderId="0" xfId="4" applyFont="1" applyAlignment="1">
      <alignment horizontal="center"/>
    </xf>
    <xf numFmtId="3" fontId="9" fillId="0" borderId="4" xfId="0" applyNumberFormat="1" applyFont="1" applyBorder="1" applyAlignment="1">
      <alignment horizontal="center"/>
    </xf>
    <xf numFmtId="3" fontId="9" fillId="0" borderId="13" xfId="4" quotePrefix="1" applyNumberFormat="1" applyFont="1" applyBorder="1" applyAlignment="1">
      <alignment horizontal="center"/>
    </xf>
    <xf numFmtId="3" fontId="9" fillId="0" borderId="4" xfId="4" applyNumberFormat="1" applyFont="1" applyBorder="1" applyAlignment="1">
      <alignment horizontal="center" vertical="center"/>
    </xf>
    <xf numFmtId="4" fontId="9" fillId="0" borderId="4" xfId="4" applyNumberFormat="1" applyFont="1" applyBorder="1"/>
    <xf numFmtId="3" fontId="9" fillId="0" borderId="4" xfId="4" applyNumberFormat="1" applyFont="1" applyBorder="1" applyAlignment="1">
      <alignment horizontal="center"/>
    </xf>
    <xf numFmtId="3" fontId="9" fillId="0" borderId="13" xfId="4" applyNumberFormat="1" applyFont="1" applyBorder="1" applyAlignment="1">
      <alignment horizontal="center"/>
    </xf>
    <xf numFmtId="168" fontId="9" fillId="0" borderId="13" xfId="0" quotePrefix="1" applyNumberFormat="1" applyFont="1" applyBorder="1" applyAlignment="1">
      <alignment horizontal="center"/>
    </xf>
    <xf numFmtId="0" fontId="9" fillId="0" borderId="13" xfId="4" applyFont="1" applyBorder="1" applyAlignment="1">
      <alignment horizontal="center"/>
    </xf>
    <xf numFmtId="3" fontId="9" fillId="0" borderId="8" xfId="4" applyNumberFormat="1" applyFont="1" applyBorder="1"/>
    <xf numFmtId="0" fontId="9" fillId="0" borderId="10" xfId="4" applyFont="1" applyBorder="1" applyAlignment="1">
      <alignment horizontal="center"/>
    </xf>
    <xf numFmtId="3" fontId="9" fillId="0" borderId="8" xfId="4" applyNumberFormat="1" applyFont="1" applyBorder="1" applyAlignment="1">
      <alignment horizontal="center"/>
    </xf>
    <xf numFmtId="3" fontId="9" fillId="0" borderId="10" xfId="4" applyNumberFormat="1" applyFont="1" applyBorder="1" applyAlignment="1">
      <alignment horizontal="center"/>
    </xf>
    <xf numFmtId="0" fontId="9" fillId="0" borderId="13" xfId="4" applyFont="1" applyBorder="1" applyAlignment="1">
      <alignment horizontal="center" vertical="center"/>
    </xf>
    <xf numFmtId="3" fontId="9" fillId="0" borderId="10" xfId="4" quotePrefix="1" applyNumberFormat="1" applyFont="1" applyBorder="1" applyAlignment="1">
      <alignment horizontal="center"/>
    </xf>
    <xf numFmtId="3" fontId="9" fillId="0" borderId="8" xfId="4" applyNumberFormat="1" applyFont="1" applyBorder="1" applyAlignment="1">
      <alignment horizontal="center" vertical="center"/>
    </xf>
    <xf numFmtId="4" fontId="9" fillId="0" borderId="8" xfId="4" applyNumberFormat="1" applyFont="1" applyBorder="1"/>
    <xf numFmtId="49" fontId="9" fillId="0" borderId="13" xfId="4" applyNumberFormat="1" applyFont="1" applyBorder="1" applyAlignment="1">
      <alignment horizontal="center"/>
    </xf>
    <xf numFmtId="49" fontId="9" fillId="0" borderId="10" xfId="4" applyNumberFormat="1" applyFont="1" applyBorder="1" applyAlignment="1">
      <alignment horizontal="center"/>
    </xf>
    <xf numFmtId="3" fontId="24" fillId="0" borderId="4" xfId="4" applyNumberFormat="1" applyFont="1" applyBorder="1"/>
    <xf numFmtId="3" fontId="24" fillId="0" borderId="13" xfId="4" applyNumberFormat="1" applyFont="1" applyBorder="1"/>
    <xf numFmtId="4" fontId="24" fillId="0" borderId="4" xfId="4" applyNumberFormat="1" applyFont="1" applyBorder="1"/>
    <xf numFmtId="3" fontId="24" fillId="0" borderId="8" xfId="4" applyNumberFormat="1" applyFont="1" applyBorder="1"/>
    <xf numFmtId="3" fontId="24" fillId="0" borderId="10" xfId="4" applyNumberFormat="1" applyFont="1" applyBorder="1"/>
    <xf numFmtId="0" fontId="9" fillId="0" borderId="74" xfId="4" applyFont="1" applyBorder="1"/>
    <xf numFmtId="0" fontId="9" fillId="0" borderId="13" xfId="10" applyFont="1" applyBorder="1" applyAlignment="1">
      <alignment horizontal="center"/>
    </xf>
    <xf numFmtId="3" fontId="9" fillId="0" borderId="13" xfId="10" applyNumberFormat="1" applyFont="1" applyBorder="1" applyAlignment="1">
      <alignment horizontal="center"/>
    </xf>
    <xf numFmtId="4" fontId="9" fillId="0" borderId="4" xfId="10" applyNumberFormat="1" applyFont="1" applyBorder="1"/>
    <xf numFmtId="3" fontId="9" fillId="0" borderId="13" xfId="4" quotePrefix="1" applyNumberFormat="1" applyFont="1" applyBorder="1"/>
    <xf numFmtId="3" fontId="9" fillId="0" borderId="10" xfId="4" applyNumberFormat="1" applyFont="1" applyBorder="1"/>
    <xf numFmtId="14" fontId="9" fillId="0" borderId="13" xfId="4" applyNumberFormat="1" applyFont="1" applyBorder="1"/>
    <xf numFmtId="4" fontId="25" fillId="0" borderId="0" xfId="0" applyNumberFormat="1" applyFont="1"/>
    <xf numFmtId="14" fontId="9" fillId="0" borderId="10" xfId="4" applyNumberFormat="1" applyFont="1" applyBorder="1"/>
    <xf numFmtId="49" fontId="9" fillId="0" borderId="13" xfId="4" applyNumberFormat="1" applyFont="1" applyBorder="1"/>
    <xf numFmtId="49" fontId="9" fillId="0" borderId="4" xfId="4" applyNumberFormat="1" applyFont="1" applyBorder="1"/>
    <xf numFmtId="49" fontId="9" fillId="0" borderId="8" xfId="4" applyNumberFormat="1" applyFont="1" applyBorder="1"/>
    <xf numFmtId="49" fontId="9" fillId="0" borderId="10" xfId="4" applyNumberFormat="1" applyFont="1" applyBorder="1"/>
    <xf numFmtId="4" fontId="9" fillId="0" borderId="4" xfId="12" applyNumberFormat="1" applyFont="1" applyBorder="1"/>
    <xf numFmtId="1" fontId="9" fillId="0" borderId="13" xfId="4" applyNumberFormat="1" applyFont="1" applyBorder="1" applyAlignment="1">
      <alignment horizontal="center" vertical="center"/>
    </xf>
    <xf numFmtId="3" fontId="9" fillId="0" borderId="13" xfId="4" applyNumberFormat="1" applyFont="1" applyBorder="1" applyAlignment="1">
      <alignment horizontal="center" vertical="center"/>
    </xf>
    <xf numFmtId="4" fontId="9" fillId="0" borderId="13" xfId="4" quotePrefix="1" applyNumberFormat="1" applyFont="1" applyBorder="1" applyAlignment="1">
      <alignment horizontal="center" vertical="center"/>
    </xf>
    <xf numFmtId="4" fontId="9" fillId="0" borderId="13" xfId="4" applyNumberFormat="1" applyFont="1" applyBorder="1" applyAlignment="1">
      <alignment horizontal="right"/>
    </xf>
    <xf numFmtId="4" fontId="9" fillId="0" borderId="13" xfId="4" applyNumberFormat="1" applyFont="1" applyBorder="1"/>
    <xf numFmtId="0" fontId="9" fillId="0" borderId="13" xfId="4" applyFont="1" applyBorder="1" applyAlignment="1">
      <alignment horizontal="left"/>
    </xf>
    <xf numFmtId="3" fontId="9" fillId="0" borderId="13" xfId="4" applyNumberFormat="1" applyFont="1" applyBorder="1" applyAlignment="1">
      <alignment wrapText="1"/>
    </xf>
    <xf numFmtId="1" fontId="9" fillId="0" borderId="10" xfId="4" applyNumberFormat="1" applyFont="1" applyBorder="1" applyAlignment="1">
      <alignment horizontal="center" vertical="center"/>
    </xf>
    <xf numFmtId="0" fontId="9" fillId="0" borderId="10" xfId="4" applyFont="1" applyBorder="1" applyAlignment="1">
      <alignment horizontal="center" vertical="center"/>
    </xf>
    <xf numFmtId="4" fontId="9" fillId="0" borderId="10" xfId="4" applyNumberFormat="1" applyFont="1" applyBorder="1" applyAlignment="1">
      <alignment horizontal="right"/>
    </xf>
    <xf numFmtId="0" fontId="26" fillId="0" borderId="27" xfId="2" applyFont="1" applyBorder="1" applyAlignment="1">
      <alignment horizontal="left" vertical="center"/>
    </xf>
    <xf numFmtId="0" fontId="26" fillId="0" borderId="27" xfId="0" applyFont="1" applyBorder="1" applyAlignment="1">
      <alignment horizontal="left" vertical="center"/>
    </xf>
    <xf numFmtId="0" fontId="26" fillId="0" borderId="27" xfId="0" applyFont="1" applyBorder="1" applyAlignment="1">
      <alignment horizontal="center" vertical="center"/>
    </xf>
    <xf numFmtId="0" fontId="26" fillId="0" borderId="27" xfId="0" applyFont="1" applyBorder="1" applyAlignment="1">
      <alignment vertical="center"/>
    </xf>
    <xf numFmtId="14" fontId="26" fillId="0" borderId="27" xfId="0" applyNumberFormat="1" applyFont="1" applyBorder="1" applyAlignment="1">
      <alignment horizontal="left" vertical="center" wrapText="1"/>
    </xf>
    <xf numFmtId="4" fontId="26" fillId="0" borderId="27" xfId="2" applyNumberFormat="1" applyFont="1" applyBorder="1" applyAlignment="1">
      <alignment horizontal="right" vertical="center"/>
    </xf>
    <xf numFmtId="4" fontId="26" fillId="0" borderId="27" xfId="2" applyNumberFormat="1" applyFont="1" applyBorder="1" applyAlignment="1">
      <alignment horizontal="left" vertical="center"/>
    </xf>
    <xf numFmtId="0" fontId="26" fillId="0" borderId="27" xfId="2" applyFont="1" applyBorder="1" applyAlignment="1">
      <alignment horizontal="left" vertical="center" wrapText="1"/>
    </xf>
    <xf numFmtId="4" fontId="26" fillId="0" borderId="27" xfId="2" applyNumberFormat="1" applyFont="1" applyBorder="1" applyAlignment="1">
      <alignment horizontal="right" vertical="center" wrapText="1"/>
    </xf>
    <xf numFmtId="0" fontId="26" fillId="0" borderId="27" xfId="0" applyFont="1" applyBorder="1" applyAlignment="1">
      <alignment horizontal="left" vertical="center" wrapText="1"/>
    </xf>
    <xf numFmtId="0" fontId="26" fillId="0" borderId="27" xfId="0" applyFont="1" applyBorder="1" applyAlignment="1">
      <alignment vertical="center" wrapText="1"/>
    </xf>
    <xf numFmtId="3" fontId="26" fillId="0" borderId="27" xfId="2" applyNumberFormat="1" applyFont="1" applyBorder="1" applyAlignment="1">
      <alignment horizontal="right" vertical="center"/>
    </xf>
    <xf numFmtId="4" fontId="26" fillId="11" borderId="27" xfId="2" applyNumberFormat="1" applyFont="1" applyFill="1" applyBorder="1" applyAlignment="1">
      <alignment horizontal="right" vertical="center"/>
    </xf>
    <xf numFmtId="0" fontId="27" fillId="0" borderId="27" xfId="4" applyFont="1" applyBorder="1" applyAlignment="1">
      <alignment vertical="center"/>
    </xf>
    <xf numFmtId="49" fontId="26" fillId="0" borderId="27" xfId="2" applyNumberFormat="1" applyFont="1" applyBorder="1" applyAlignment="1">
      <alignment horizontal="left" vertical="center"/>
    </xf>
    <xf numFmtId="2" fontId="27" fillId="0" borderId="27" xfId="0" applyNumberFormat="1" applyFont="1" applyBorder="1" applyAlignment="1">
      <alignment horizontal="left" vertical="center" wrapText="1"/>
    </xf>
    <xf numFmtId="4" fontId="26" fillId="0" borderId="27" xfId="0" applyNumberFormat="1" applyFont="1" applyBorder="1" applyAlignment="1">
      <alignment horizontal="right" vertical="center"/>
    </xf>
    <xf numFmtId="0" fontId="10" fillId="2" borderId="0" xfId="2" applyFont="1" applyFill="1" applyAlignment="1">
      <alignment vertical="center"/>
    </xf>
    <xf numFmtId="170" fontId="9" fillId="0" borderId="4" xfId="2" applyNumberFormat="1" applyFont="1" applyBorder="1" applyAlignment="1">
      <alignment vertical="center"/>
    </xf>
    <xf numFmtId="170" fontId="9" fillId="0" borderId="0" xfId="2" applyNumberFormat="1" applyFont="1" applyAlignment="1">
      <alignment vertical="center"/>
    </xf>
    <xf numFmtId="170" fontId="9" fillId="5" borderId="4" xfId="2" applyNumberFormat="1" applyFont="1" applyFill="1" applyBorder="1" applyAlignment="1">
      <alignment vertical="center"/>
    </xf>
    <xf numFmtId="170" fontId="10" fillId="2" borderId="4" xfId="2" applyNumberFormat="1" applyFont="1" applyFill="1" applyBorder="1" applyAlignment="1">
      <alignment vertical="center"/>
    </xf>
    <xf numFmtId="2" fontId="10" fillId="2" borderId="0" xfId="2" applyNumberFormat="1" applyFont="1" applyFill="1" applyAlignment="1">
      <alignment vertical="center"/>
    </xf>
    <xf numFmtId="0" fontId="10" fillId="3" borderId="0" xfId="2" applyFont="1" applyFill="1" applyAlignment="1">
      <alignment vertical="center"/>
    </xf>
    <xf numFmtId="170" fontId="10" fillId="3" borderId="0" xfId="2" applyNumberFormat="1" applyFont="1" applyFill="1" applyAlignment="1">
      <alignment vertical="center"/>
    </xf>
    <xf numFmtId="170" fontId="9" fillId="3" borderId="4" xfId="2" applyNumberFormat="1" applyFont="1" applyFill="1" applyBorder="1" applyAlignment="1">
      <alignment vertical="center"/>
    </xf>
    <xf numFmtId="170" fontId="10" fillId="2" borderId="0" xfId="2" applyNumberFormat="1" applyFont="1" applyFill="1" applyAlignment="1">
      <alignment vertical="center"/>
    </xf>
    <xf numFmtId="170" fontId="10" fillId="0" borderId="0" xfId="2" applyNumberFormat="1" applyFont="1" applyAlignment="1">
      <alignment vertical="center"/>
    </xf>
    <xf numFmtId="0" fontId="10" fillId="0" borderId="0" xfId="2" applyFont="1" applyAlignment="1">
      <alignment horizontal="left" vertical="center"/>
    </xf>
    <xf numFmtId="4" fontId="10" fillId="2" borderId="0" xfId="2" applyNumberFormat="1" applyFont="1" applyFill="1" applyAlignment="1">
      <alignment vertical="center"/>
    </xf>
    <xf numFmtId="4" fontId="10" fillId="2" borderId="4" xfId="2" applyNumberFormat="1" applyFont="1" applyFill="1" applyBorder="1" applyAlignment="1">
      <alignment vertical="center"/>
    </xf>
    <xf numFmtId="4" fontId="9" fillId="0" borderId="4" xfId="2" applyNumberFormat="1" applyFont="1" applyBorder="1" applyAlignment="1">
      <alignment vertical="center"/>
    </xf>
    <xf numFmtId="49" fontId="9" fillId="0" borderId="0" xfId="2" applyNumberFormat="1" applyFont="1" applyAlignment="1">
      <alignment vertical="center"/>
    </xf>
    <xf numFmtId="49" fontId="10" fillId="2" borderId="0" xfId="2" applyNumberFormat="1" applyFont="1" applyFill="1" applyAlignment="1">
      <alignment vertical="center"/>
    </xf>
    <xf numFmtId="4" fontId="10" fillId="2" borderId="17" xfId="2" applyNumberFormat="1" applyFont="1" applyFill="1" applyBorder="1" applyAlignment="1">
      <alignment vertical="center"/>
    </xf>
    <xf numFmtId="0" fontId="10" fillId="5" borderId="13" xfId="2" applyFont="1" applyFill="1" applyBorder="1" applyAlignment="1">
      <alignment horizontal="center" vertical="center"/>
    </xf>
    <xf numFmtId="4" fontId="9" fillId="5" borderId="4" xfId="2" applyNumberFormat="1" applyFont="1" applyFill="1" applyBorder="1" applyAlignment="1">
      <alignment vertical="center"/>
    </xf>
    <xf numFmtId="0" fontId="9" fillId="5" borderId="4" xfId="2" applyFont="1" applyFill="1" applyBorder="1" applyAlignment="1">
      <alignment vertical="center"/>
    </xf>
    <xf numFmtId="0" fontId="10" fillId="0" borderId="13" xfId="2" applyFont="1" applyBorder="1" applyAlignment="1">
      <alignment horizontal="center" vertical="center"/>
    </xf>
    <xf numFmtId="0" fontId="10" fillId="0" borderId="4" xfId="2" applyFont="1" applyBorder="1" applyAlignment="1">
      <alignment vertical="center"/>
    </xf>
    <xf numFmtId="170" fontId="10" fillId="0" borderId="4" xfId="2" applyNumberFormat="1" applyFont="1" applyBorder="1" applyAlignment="1">
      <alignment vertical="center"/>
    </xf>
    <xf numFmtId="0" fontId="9" fillId="0" borderId="3" xfId="2" applyFont="1" applyBorder="1" applyAlignment="1">
      <alignment vertical="center"/>
    </xf>
    <xf numFmtId="0" fontId="10" fillId="2" borderId="3" xfId="2" applyFont="1" applyFill="1" applyBorder="1" applyAlignment="1">
      <alignment horizontal="center" vertical="center"/>
    </xf>
    <xf numFmtId="0" fontId="10" fillId="2" borderId="3" xfId="2" applyFont="1" applyFill="1" applyBorder="1" applyAlignment="1">
      <alignment vertical="center"/>
    </xf>
    <xf numFmtId="0" fontId="9" fillId="5" borderId="3" xfId="2" applyFont="1" applyFill="1" applyBorder="1" applyAlignment="1">
      <alignment vertical="center"/>
    </xf>
    <xf numFmtId="0" fontId="9" fillId="5" borderId="0" xfId="2" applyFont="1" applyFill="1" applyAlignment="1">
      <alignment vertical="center"/>
    </xf>
    <xf numFmtId="3" fontId="9" fillId="5" borderId="4" xfId="2" applyNumberFormat="1" applyFont="1" applyFill="1" applyBorder="1" applyAlignment="1">
      <alignment vertical="center"/>
    </xf>
    <xf numFmtId="0" fontId="9" fillId="0" borderId="0" xfId="2" applyFont="1" applyAlignment="1">
      <alignment horizontal="center" vertical="center"/>
    </xf>
    <xf numFmtId="43" fontId="9" fillId="0" borderId="0" xfId="5" applyFont="1" applyBorder="1" applyAlignment="1">
      <alignment vertical="center"/>
    </xf>
    <xf numFmtId="43" fontId="9" fillId="0" borderId="4" xfId="5" applyFont="1" applyBorder="1" applyAlignment="1">
      <alignment vertical="center"/>
    </xf>
    <xf numFmtId="49" fontId="9" fillId="0" borderId="0" xfId="5" applyNumberFormat="1" applyFont="1" applyBorder="1" applyAlignment="1">
      <alignment vertical="center"/>
    </xf>
    <xf numFmtId="0" fontId="10" fillId="2" borderId="0" xfId="2" applyFont="1" applyFill="1" applyAlignment="1">
      <alignment horizontal="center" vertical="center"/>
    </xf>
    <xf numFmtId="171" fontId="9" fillId="0" borderId="4" xfId="2" applyNumberFormat="1" applyFont="1" applyBorder="1" applyAlignment="1">
      <alignment vertical="center"/>
    </xf>
    <xf numFmtId="43" fontId="10" fillId="2" borderId="4" xfId="5" applyFont="1" applyFill="1" applyBorder="1" applyAlignment="1">
      <alignment vertical="center"/>
    </xf>
    <xf numFmtId="171" fontId="9" fillId="0" borderId="4" xfId="5" applyNumberFormat="1" applyFont="1" applyBorder="1" applyAlignment="1">
      <alignment vertical="center"/>
    </xf>
    <xf numFmtId="173" fontId="9" fillId="0" borderId="4" xfId="5" applyNumberFormat="1" applyFont="1" applyBorder="1" applyAlignment="1">
      <alignment vertical="center"/>
    </xf>
    <xf numFmtId="4" fontId="20" fillId="0" borderId="0" xfId="16" applyNumberFormat="1" applyFont="1" applyAlignment="1">
      <alignment horizontal="right"/>
    </xf>
    <xf numFmtId="0" fontId="31" fillId="0" borderId="0" xfId="7" applyFont="1"/>
    <xf numFmtId="0" fontId="9" fillId="0" borderId="0" xfId="16" applyFont="1" applyAlignment="1">
      <alignment horizontal="right"/>
    </xf>
    <xf numFmtId="0" fontId="9" fillId="0" borderId="0" xfId="2" applyFont="1" applyAlignment="1">
      <alignment horizontal="right" vertical="center"/>
    </xf>
    <xf numFmtId="0" fontId="9" fillId="0" borderId="3" xfId="2" applyFont="1" applyBorder="1" applyAlignment="1">
      <alignment horizontal="right" vertical="center"/>
    </xf>
    <xf numFmtId="4" fontId="9" fillId="0" borderId="4" xfId="17" applyNumberFormat="1" applyFont="1" applyBorder="1"/>
    <xf numFmtId="4" fontId="9" fillId="0" borderId="4" xfId="5" applyNumberFormat="1" applyFont="1" applyBorder="1" applyAlignment="1">
      <alignment vertical="center"/>
    </xf>
    <xf numFmtId="0" fontId="10" fillId="2" borderId="0" xfId="2" applyFont="1" applyFill="1" applyAlignment="1">
      <alignment horizontal="right" vertical="center"/>
    </xf>
    <xf numFmtId="171" fontId="10" fillId="2" borderId="4" xfId="2" applyNumberFormat="1" applyFont="1" applyFill="1" applyBorder="1" applyAlignment="1">
      <alignment vertical="center"/>
    </xf>
    <xf numFmtId="0" fontId="10" fillId="4" borderId="13" xfId="2" applyFont="1" applyFill="1" applyBorder="1" applyAlignment="1">
      <alignment horizontal="center" vertical="center"/>
    </xf>
    <xf numFmtId="0" fontId="9" fillId="4" borderId="0" xfId="2" applyFont="1" applyFill="1" applyAlignment="1">
      <alignment horizontal="right" vertical="center"/>
    </xf>
    <xf numFmtId="43" fontId="9" fillId="4" borderId="4" xfId="5" applyFont="1" applyFill="1" applyBorder="1" applyAlignment="1">
      <alignment vertical="center"/>
    </xf>
    <xf numFmtId="0" fontId="9" fillId="4" borderId="3" xfId="2" applyFont="1" applyFill="1" applyBorder="1" applyAlignment="1">
      <alignment horizontal="right" vertical="center"/>
    </xf>
    <xf numFmtId="0" fontId="10" fillId="0" borderId="61" xfId="0" applyFont="1" applyBorder="1" applyAlignment="1">
      <alignment horizontal="center" vertical="center" wrapText="1"/>
    </xf>
    <xf numFmtId="0" fontId="9" fillId="0" borderId="45" xfId="2" applyFont="1" applyBorder="1" applyAlignment="1">
      <alignment vertical="center"/>
    </xf>
    <xf numFmtId="0" fontId="9" fillId="0" borderId="20" xfId="2" applyFont="1" applyBorder="1" applyAlignment="1">
      <alignment vertical="center"/>
    </xf>
    <xf numFmtId="0" fontId="10" fillId="4" borderId="0" xfId="2" applyFont="1" applyFill="1" applyAlignment="1">
      <alignment vertical="center"/>
    </xf>
    <xf numFmtId="4" fontId="10" fillId="4" borderId="4" xfId="2" applyNumberFormat="1" applyFont="1" applyFill="1" applyBorder="1" applyAlignment="1">
      <alignment vertical="center"/>
    </xf>
    <xf numFmtId="4" fontId="9" fillId="4" borderId="4" xfId="2" applyNumberFormat="1" applyFont="1" applyFill="1" applyBorder="1" applyAlignment="1">
      <alignment vertical="center"/>
    </xf>
    <xf numFmtId="0" fontId="10" fillId="5" borderId="44" xfId="0" applyFont="1" applyFill="1" applyBorder="1" applyAlignment="1">
      <alignment horizontal="center" vertical="center" wrapText="1"/>
    </xf>
    <xf numFmtId="0" fontId="32" fillId="4" borderId="44" xfId="0" applyFont="1" applyFill="1" applyBorder="1" applyAlignment="1">
      <alignment horizontal="center"/>
    </xf>
    <xf numFmtId="0" fontId="9" fillId="0" borderId="44" xfId="0" applyFont="1" applyBorder="1" applyAlignment="1">
      <alignment horizontal="center"/>
    </xf>
    <xf numFmtId="0" fontId="10" fillId="4" borderId="5" xfId="2" applyFont="1" applyFill="1" applyBorder="1" applyAlignment="1">
      <alignment horizontal="center" vertical="center"/>
    </xf>
    <xf numFmtId="0" fontId="10" fillId="4" borderId="19" xfId="2" applyFont="1" applyFill="1" applyBorder="1" applyAlignment="1">
      <alignment vertical="center"/>
    </xf>
    <xf numFmtId="4" fontId="10" fillId="4" borderId="17" xfId="2" applyNumberFormat="1" applyFont="1" applyFill="1" applyBorder="1" applyAlignment="1">
      <alignment vertical="center"/>
    </xf>
    <xf numFmtId="0" fontId="32" fillId="4" borderId="65" xfId="0" applyFont="1" applyFill="1" applyBorder="1" applyAlignment="1">
      <alignment horizontal="center"/>
    </xf>
    <xf numFmtId="0" fontId="9" fillId="4" borderId="0" xfId="2" applyFont="1" applyFill="1" applyAlignment="1">
      <alignment vertical="center"/>
    </xf>
    <xf numFmtId="0" fontId="10" fillId="2" borderId="13" xfId="2" applyFont="1" applyFill="1" applyBorder="1" applyAlignment="1">
      <alignment horizontal="center" vertical="center" wrapText="1"/>
    </xf>
    <xf numFmtId="0" fontId="9" fillId="0" borderId="7" xfId="2" applyFont="1" applyBorder="1" applyAlignment="1">
      <alignment horizontal="center" vertical="center"/>
    </xf>
    <xf numFmtId="0" fontId="9" fillId="0" borderId="74" xfId="2" applyFont="1" applyBorder="1" applyAlignment="1">
      <alignment horizontal="center" vertical="center"/>
    </xf>
    <xf numFmtId="0" fontId="9" fillId="0" borderId="74" xfId="2" applyFont="1" applyBorder="1" applyAlignment="1">
      <alignment vertical="center"/>
    </xf>
    <xf numFmtId="4" fontId="9" fillId="0" borderId="74" xfId="2" applyNumberFormat="1" applyFont="1" applyBorder="1" applyAlignment="1">
      <alignment vertical="center"/>
    </xf>
    <xf numFmtId="4" fontId="9" fillId="0" borderId="8" xfId="2" applyNumberFormat="1" applyFont="1" applyBorder="1" applyAlignment="1">
      <alignment vertical="center"/>
    </xf>
    <xf numFmtId="43" fontId="9" fillId="0" borderId="78" xfId="5" applyFont="1" applyBorder="1" applyAlignment="1">
      <alignment vertical="center"/>
    </xf>
    <xf numFmtId="43" fontId="10" fillId="2" borderId="0" xfId="5" applyFont="1" applyFill="1" applyBorder="1" applyAlignment="1">
      <alignment vertical="center"/>
    </xf>
    <xf numFmtId="49" fontId="10" fillId="2" borderId="0" xfId="5" applyNumberFormat="1" applyFont="1" applyFill="1" applyBorder="1" applyAlignment="1">
      <alignment vertical="center"/>
    </xf>
    <xf numFmtId="43" fontId="9" fillId="0" borderId="0" xfId="5" applyFont="1" applyFill="1" applyBorder="1" applyAlignment="1">
      <alignment vertical="center"/>
    </xf>
    <xf numFmtId="43" fontId="9" fillId="4" borderId="0" xfId="5" applyFont="1" applyFill="1" applyBorder="1" applyAlignment="1">
      <alignment vertical="center"/>
    </xf>
    <xf numFmtId="174" fontId="9" fillId="0" borderId="4" xfId="5" applyNumberFormat="1" applyFont="1" applyBorder="1" applyAlignment="1">
      <alignment vertical="center"/>
    </xf>
    <xf numFmtId="174" fontId="10" fillId="2" borderId="17" xfId="2" applyNumberFormat="1" applyFont="1" applyFill="1" applyBorder="1" applyAlignment="1">
      <alignment vertical="center"/>
    </xf>
    <xf numFmtId="173" fontId="10" fillId="2" borderId="17" xfId="2" applyNumberFormat="1" applyFont="1" applyFill="1" applyBorder="1" applyAlignment="1">
      <alignment vertical="center"/>
    </xf>
    <xf numFmtId="0" fontId="33" fillId="0" borderId="13" xfId="2" applyFont="1" applyBorder="1" applyAlignment="1">
      <alignment horizontal="center" vertical="center"/>
    </xf>
    <xf numFmtId="0" fontId="33" fillId="0" borderId="0" xfId="2" applyFont="1" applyAlignment="1">
      <alignment vertical="center"/>
    </xf>
    <xf numFmtId="4" fontId="33" fillId="0" borderId="4" xfId="2" applyNumberFormat="1" applyFont="1" applyBorder="1" applyAlignment="1">
      <alignment vertical="center"/>
    </xf>
    <xf numFmtId="0" fontId="10" fillId="5" borderId="0" xfId="2" applyFont="1" applyFill="1" applyAlignment="1">
      <alignment horizontal="center" vertical="center"/>
    </xf>
    <xf numFmtId="3" fontId="10" fillId="5" borderId="0" xfId="2" applyNumberFormat="1" applyFont="1" applyFill="1" applyAlignment="1">
      <alignment horizontal="center" vertical="center"/>
    </xf>
    <xf numFmtId="4" fontId="10" fillId="5" borderId="0" xfId="2" applyNumberFormat="1" applyFont="1" applyFill="1" applyAlignment="1">
      <alignment vertical="center"/>
    </xf>
    <xf numFmtId="4" fontId="10" fillId="0" borderId="4" xfId="2" applyNumberFormat="1" applyFont="1" applyBorder="1" applyAlignment="1">
      <alignment vertical="center"/>
    </xf>
    <xf numFmtId="4" fontId="10" fillId="4" borderId="0" xfId="2" applyNumberFormat="1" applyFont="1" applyFill="1" applyAlignment="1">
      <alignment vertical="center"/>
    </xf>
    <xf numFmtId="0" fontId="9" fillId="0" borderId="52" xfId="2" applyFont="1" applyBorder="1" applyAlignment="1">
      <alignment horizontal="center" vertical="center"/>
    </xf>
    <xf numFmtId="0" fontId="10" fillId="2" borderId="52" xfId="2" applyFont="1" applyFill="1" applyBorder="1" applyAlignment="1">
      <alignment horizontal="center" vertical="center"/>
    </xf>
    <xf numFmtId="43" fontId="9" fillId="0" borderId="74" xfId="5" applyFont="1" applyBorder="1" applyAlignment="1">
      <alignment vertical="center"/>
    </xf>
    <xf numFmtId="43" fontId="9" fillId="0" borderId="8" xfId="5" applyFont="1" applyBorder="1" applyAlignment="1">
      <alignment vertical="center"/>
    </xf>
    <xf numFmtId="4" fontId="9" fillId="5" borderId="0" xfId="2" applyNumberFormat="1" applyFont="1" applyFill="1" applyAlignment="1">
      <alignment vertical="center"/>
    </xf>
    <xf numFmtId="3" fontId="9" fillId="0" borderId="0" xfId="2" applyNumberFormat="1" applyFont="1" applyAlignment="1">
      <alignment vertical="center"/>
    </xf>
    <xf numFmtId="3" fontId="10" fillId="2" borderId="0" xfId="2" applyNumberFormat="1" applyFont="1" applyFill="1" applyAlignment="1">
      <alignment vertical="center"/>
    </xf>
    <xf numFmtId="0" fontId="33" fillId="5" borderId="0" xfId="2" applyFont="1" applyFill="1" applyAlignment="1">
      <alignment vertical="center"/>
    </xf>
    <xf numFmtId="0" fontId="34" fillId="12" borderId="0" xfId="2" applyFont="1" applyFill="1" applyAlignment="1">
      <alignment vertical="center"/>
    </xf>
    <xf numFmtId="0" fontId="34" fillId="12" borderId="0" xfId="2" applyFont="1" applyFill="1" applyAlignment="1">
      <alignment horizontal="center" vertical="center"/>
    </xf>
    <xf numFmtId="0" fontId="34" fillId="12" borderId="0" xfId="2" applyFont="1" applyFill="1" applyAlignment="1">
      <alignment horizontal="left" vertical="center"/>
    </xf>
    <xf numFmtId="0" fontId="9" fillId="0" borderId="0" xfId="0" applyFont="1" applyAlignment="1">
      <alignment horizontal="center"/>
    </xf>
    <xf numFmtId="0" fontId="35" fillId="12" borderId="0" xfId="2" applyFont="1" applyFill="1" applyAlignment="1">
      <alignment vertical="center"/>
    </xf>
    <xf numFmtId="0" fontId="34" fillId="12" borderId="0" xfId="0" applyFont="1" applyFill="1"/>
    <xf numFmtId="0" fontId="34" fillId="12" borderId="5" xfId="2" applyFont="1" applyFill="1" applyBorder="1" applyAlignment="1">
      <alignment horizontal="center" vertical="center"/>
    </xf>
    <xf numFmtId="49" fontId="34" fillId="12" borderId="19" xfId="5" applyNumberFormat="1" applyFont="1" applyFill="1" applyBorder="1" applyAlignment="1">
      <alignment vertical="center"/>
    </xf>
    <xf numFmtId="4" fontId="34" fillId="12" borderId="19" xfId="2" applyNumberFormat="1" applyFont="1" applyFill="1" applyBorder="1" applyAlignment="1">
      <alignment vertical="center"/>
    </xf>
    <xf numFmtId="0" fontId="34" fillId="12" borderId="19" xfId="5" applyNumberFormat="1" applyFont="1" applyFill="1" applyBorder="1" applyAlignment="1">
      <alignment vertical="center"/>
    </xf>
    <xf numFmtId="4" fontId="34" fillId="12" borderId="17" xfId="5" applyNumberFormat="1" applyFont="1" applyFill="1" applyBorder="1" applyAlignment="1">
      <alignment vertical="center"/>
    </xf>
    <xf numFmtId="4" fontId="34" fillId="12" borderId="19" xfId="5" applyNumberFormat="1" applyFont="1" applyFill="1" applyBorder="1" applyAlignment="1">
      <alignment vertical="center"/>
    </xf>
    <xf numFmtId="0" fontId="34" fillId="12" borderId="18" xfId="2" applyFont="1" applyFill="1" applyBorder="1" applyAlignment="1">
      <alignment horizontal="center" vertical="center"/>
    </xf>
    <xf numFmtId="0" fontId="34" fillId="12" borderId="19" xfId="2" applyFont="1" applyFill="1" applyBorder="1" applyAlignment="1">
      <alignment vertical="center"/>
    </xf>
    <xf numFmtId="4" fontId="34" fillId="12" borderId="17" xfId="2" applyNumberFormat="1" applyFont="1" applyFill="1" applyBorder="1" applyAlignment="1">
      <alignment vertical="center"/>
    </xf>
    <xf numFmtId="171" fontId="34" fillId="12" borderId="19" xfId="2" applyNumberFormat="1" applyFont="1" applyFill="1" applyBorder="1" applyAlignment="1">
      <alignment vertical="center"/>
    </xf>
    <xf numFmtId="0" fontId="34" fillId="12" borderId="19" xfId="2" applyFont="1" applyFill="1" applyBorder="1" applyAlignment="1">
      <alignment horizontal="center" vertical="center"/>
    </xf>
    <xf numFmtId="43" fontId="34" fillId="12" borderId="19" xfId="5" applyFont="1" applyFill="1" applyBorder="1" applyAlignment="1">
      <alignment vertical="center"/>
    </xf>
    <xf numFmtId="43" fontId="34" fillId="12" borderId="17" xfId="5" applyFont="1" applyFill="1" applyBorder="1" applyAlignment="1">
      <alignment vertical="center"/>
    </xf>
    <xf numFmtId="43" fontId="34" fillId="12" borderId="19" xfId="5" applyFont="1" applyFill="1" applyBorder="1" applyAlignment="1">
      <alignment horizontal="center" vertical="center"/>
    </xf>
    <xf numFmtId="3" fontId="34" fillId="12" borderId="15" xfId="2" applyNumberFormat="1" applyFont="1" applyFill="1" applyBorder="1" applyAlignment="1">
      <alignment horizontal="center" vertical="center"/>
    </xf>
    <xf numFmtId="4" fontId="34" fillId="12" borderId="15" xfId="2" applyNumberFormat="1" applyFont="1" applyFill="1" applyBorder="1" applyAlignment="1">
      <alignment vertical="center"/>
    </xf>
    <xf numFmtId="0" fontId="34" fillId="12" borderId="10" xfId="2" applyFont="1" applyFill="1" applyBorder="1" applyAlignment="1">
      <alignment horizontal="center" vertical="center"/>
    </xf>
    <xf numFmtId="0" fontId="34" fillId="12" borderId="74" xfId="2" applyFont="1" applyFill="1" applyBorder="1" applyAlignment="1">
      <alignment vertical="center"/>
    </xf>
    <xf numFmtId="4" fontId="34" fillId="12" borderId="8" xfId="2" applyNumberFormat="1" applyFont="1" applyFill="1" applyBorder="1" applyAlignment="1">
      <alignment vertical="center"/>
    </xf>
    <xf numFmtId="0" fontId="34" fillId="12" borderId="7" xfId="2" applyFont="1" applyFill="1" applyBorder="1" applyAlignment="1">
      <alignment vertical="center"/>
    </xf>
    <xf numFmtId="170" fontId="34" fillId="12" borderId="17" xfId="2" applyNumberFormat="1" applyFont="1" applyFill="1" applyBorder="1" applyAlignment="1">
      <alignment vertical="center"/>
    </xf>
    <xf numFmtId="43" fontId="34" fillId="12" borderId="17" xfId="2" applyNumberFormat="1" applyFont="1" applyFill="1" applyBorder="1" applyAlignment="1">
      <alignment vertical="center"/>
    </xf>
    <xf numFmtId="171" fontId="34" fillId="12" borderId="17" xfId="2" applyNumberFormat="1" applyFont="1" applyFill="1" applyBorder="1" applyAlignment="1">
      <alignment vertical="center"/>
    </xf>
    <xf numFmtId="49" fontId="34" fillId="12" borderId="19" xfId="2" applyNumberFormat="1" applyFont="1" applyFill="1" applyBorder="1" applyAlignment="1">
      <alignment vertical="center"/>
    </xf>
    <xf numFmtId="170" fontId="34" fillId="12" borderId="19" xfId="2" applyNumberFormat="1" applyFont="1" applyFill="1" applyBorder="1" applyAlignment="1">
      <alignment vertical="center"/>
    </xf>
    <xf numFmtId="0" fontId="34" fillId="12" borderId="18" xfId="2" applyFont="1" applyFill="1" applyBorder="1" applyAlignment="1">
      <alignment vertical="center"/>
    </xf>
    <xf numFmtId="4" fontId="34" fillId="12" borderId="5" xfId="2" applyNumberFormat="1" applyFont="1" applyFill="1" applyBorder="1" applyAlignment="1">
      <alignment vertical="center"/>
    </xf>
    <xf numFmtId="0" fontId="34" fillId="12" borderId="17" xfId="2" applyFont="1" applyFill="1" applyBorder="1" applyAlignment="1">
      <alignment vertical="center"/>
    </xf>
    <xf numFmtId="0" fontId="9" fillId="0" borderId="44" xfId="2" applyFont="1" applyBorder="1" applyAlignment="1">
      <alignment horizontal="left" vertical="center"/>
    </xf>
    <xf numFmtId="4" fontId="10" fillId="0" borderId="28" xfId="2" applyNumberFormat="1" applyFont="1" applyBorder="1" applyAlignment="1">
      <alignment vertical="center"/>
    </xf>
    <xf numFmtId="0" fontId="9" fillId="0" borderId="2" xfId="2" applyFont="1" applyBorder="1" applyAlignment="1">
      <alignment horizontal="left" vertical="center"/>
    </xf>
    <xf numFmtId="0" fontId="10" fillId="0" borderId="44" xfId="2" applyFont="1" applyBorder="1" applyAlignment="1">
      <alignment horizontal="center" vertical="center"/>
    </xf>
    <xf numFmtId="0" fontId="10" fillId="0" borderId="25" xfId="2" applyFont="1" applyBorder="1" applyAlignment="1">
      <alignment horizontal="center" vertical="center"/>
    </xf>
    <xf numFmtId="0" fontId="9" fillId="0" borderId="3" xfId="2" applyFont="1" applyBorder="1" applyAlignment="1">
      <alignment horizontal="left" vertical="center"/>
    </xf>
    <xf numFmtId="0" fontId="20" fillId="0" borderId="3" xfId="2" applyFont="1" applyBorder="1" applyAlignment="1">
      <alignment horizontal="left" vertical="center"/>
    </xf>
    <xf numFmtId="0" fontId="10" fillId="0" borderId="26" xfId="2" applyFont="1" applyBorder="1" applyAlignment="1">
      <alignment horizontal="center" vertical="center"/>
    </xf>
    <xf numFmtId="0" fontId="10" fillId="0" borderId="12" xfId="2" applyFont="1" applyBorder="1" applyAlignment="1">
      <alignment horizontal="center" vertical="center"/>
    </xf>
    <xf numFmtId="4" fontId="10" fillId="0" borderId="53" xfId="2" applyNumberFormat="1" applyFont="1" applyBorder="1" applyAlignment="1">
      <alignment vertical="center"/>
    </xf>
    <xf numFmtId="0" fontId="20" fillId="0" borderId="44" xfId="2" applyFont="1" applyBorder="1" applyAlignment="1">
      <alignment horizontal="left" vertical="center"/>
    </xf>
    <xf numFmtId="0" fontId="10" fillId="0" borderId="13" xfId="2" applyFont="1" applyBorder="1" applyAlignment="1">
      <alignment vertical="center"/>
    </xf>
    <xf numFmtId="4" fontId="10" fillId="0" borderId="26" xfId="2" applyNumberFormat="1" applyFont="1" applyBorder="1" applyAlignment="1">
      <alignment vertical="center"/>
    </xf>
    <xf numFmtId="4" fontId="10" fillId="0" borderId="59" xfId="2" applyNumberFormat="1" applyFont="1" applyBorder="1" applyAlignment="1">
      <alignment vertical="center"/>
    </xf>
    <xf numFmtId="0" fontId="10" fillId="0" borderId="37" xfId="2" applyFont="1" applyBorder="1" applyAlignment="1">
      <alignment horizontal="center" vertical="center"/>
    </xf>
    <xf numFmtId="4" fontId="10" fillId="0" borderId="0" xfId="2" applyNumberFormat="1" applyFont="1" applyAlignment="1">
      <alignment vertical="center"/>
    </xf>
    <xf numFmtId="0" fontId="9" fillId="0" borderId="65" xfId="2" applyFont="1" applyBorder="1" applyAlignment="1">
      <alignment horizontal="left" vertical="center"/>
    </xf>
    <xf numFmtId="0" fontId="9" fillId="0" borderId="43" xfId="2" applyFont="1" applyBorder="1" applyAlignment="1">
      <alignment horizontal="center" vertical="center"/>
    </xf>
    <xf numFmtId="0" fontId="9" fillId="0" borderId="21" xfId="2" applyFont="1" applyBorder="1" applyAlignment="1">
      <alignment horizontal="center" vertical="center"/>
    </xf>
    <xf numFmtId="0" fontId="20" fillId="0" borderId="21" xfId="2" applyFont="1" applyBorder="1" applyAlignment="1">
      <alignment horizontal="center" vertical="center"/>
    </xf>
    <xf numFmtId="0" fontId="9" fillId="0" borderId="25" xfId="2" applyFont="1" applyBorder="1" applyAlignment="1">
      <alignment horizontal="center" vertical="center"/>
    </xf>
    <xf numFmtId="0" fontId="9" fillId="0" borderId="26" xfId="2" applyFont="1" applyBorder="1" applyAlignment="1">
      <alignment horizontal="center" vertical="center"/>
    </xf>
    <xf numFmtId="0" fontId="9" fillId="0" borderId="25" xfId="2" applyFont="1" applyBorder="1" applyAlignment="1">
      <alignment horizontal="left" vertical="center"/>
    </xf>
    <xf numFmtId="0" fontId="9" fillId="0" borderId="54" xfId="2" applyFont="1" applyBorder="1" applyAlignment="1">
      <alignment horizontal="left" vertical="center"/>
    </xf>
    <xf numFmtId="0" fontId="9" fillId="5" borderId="44" xfId="2" applyFont="1" applyFill="1" applyBorder="1" applyAlignment="1">
      <alignment horizontal="left" vertical="center"/>
    </xf>
    <xf numFmtId="4" fontId="10" fillId="5" borderId="28" xfId="2" applyNumberFormat="1" applyFont="1" applyFill="1" applyBorder="1" applyAlignment="1">
      <alignment vertical="center"/>
    </xf>
    <xf numFmtId="0" fontId="9" fillId="5" borderId="13" xfId="2" applyFont="1" applyFill="1" applyBorder="1" applyAlignment="1">
      <alignment horizontal="left" vertical="center"/>
    </xf>
    <xf numFmtId="49" fontId="9" fillId="5" borderId="27" xfId="2" applyNumberFormat="1" applyFont="1" applyFill="1" applyBorder="1" applyAlignment="1">
      <alignment horizontal="left" vertical="center" wrapText="1"/>
    </xf>
    <xf numFmtId="4" fontId="10" fillId="5" borderId="28" xfId="2" applyNumberFormat="1" applyFont="1" applyFill="1" applyBorder="1" applyAlignment="1">
      <alignment horizontal="right" vertical="center" wrapText="1"/>
    </xf>
    <xf numFmtId="0" fontId="9" fillId="5" borderId="27" xfId="2" applyFont="1" applyFill="1" applyBorder="1" applyAlignment="1">
      <alignment horizontal="left" vertical="center"/>
    </xf>
    <xf numFmtId="0" fontId="34" fillId="12" borderId="11" xfId="2" applyFont="1" applyFill="1" applyBorder="1" applyAlignment="1">
      <alignment horizontal="center" vertical="center"/>
    </xf>
    <xf numFmtId="0" fontId="34" fillId="12" borderId="11" xfId="2" applyFont="1" applyFill="1" applyBorder="1" applyAlignment="1">
      <alignment horizontal="center" vertical="center" wrapText="1"/>
    </xf>
    <xf numFmtId="0" fontId="34" fillId="12" borderId="20" xfId="2" applyFont="1" applyFill="1" applyBorder="1" applyAlignment="1">
      <alignment horizontal="center" vertical="center" wrapText="1"/>
    </xf>
    <xf numFmtId="0" fontId="34" fillId="12" borderId="6" xfId="2" applyFont="1" applyFill="1" applyBorder="1" applyAlignment="1">
      <alignment horizontal="center" vertical="center" wrapText="1"/>
    </xf>
    <xf numFmtId="4" fontId="34" fillId="12" borderId="0" xfId="2" applyNumberFormat="1" applyFont="1" applyFill="1" applyAlignment="1">
      <alignment vertical="center"/>
    </xf>
    <xf numFmtId="4" fontId="34" fillId="12" borderId="58" xfId="2" applyNumberFormat="1" applyFont="1" applyFill="1" applyBorder="1" applyAlignment="1">
      <alignment horizontal="center" vertical="center" wrapText="1"/>
    </xf>
    <xf numFmtId="0" fontId="34" fillId="12" borderId="5" xfId="2" applyFont="1" applyFill="1" applyBorder="1" applyAlignment="1">
      <alignment horizontal="center" vertical="center" wrapText="1"/>
    </xf>
    <xf numFmtId="0" fontId="34" fillId="12" borderId="17" xfId="2" applyFont="1" applyFill="1" applyBorder="1" applyAlignment="1">
      <alignment horizontal="center" vertical="center" wrapText="1"/>
    </xf>
    <xf numFmtId="0" fontId="34" fillId="12" borderId="18" xfId="2" applyFont="1" applyFill="1" applyBorder="1" applyAlignment="1">
      <alignment horizontal="center" vertical="center" wrapText="1"/>
    </xf>
    <xf numFmtId="0" fontId="34" fillId="12" borderId="57" xfId="2" applyFont="1" applyFill="1" applyBorder="1" applyAlignment="1">
      <alignment horizontal="center" vertical="center" wrapText="1"/>
    </xf>
    <xf numFmtId="0" fontId="9" fillId="0" borderId="0" xfId="0" applyFont="1" applyAlignment="1">
      <alignment vertical="center"/>
    </xf>
    <xf numFmtId="0" fontId="34" fillId="12" borderId="0" xfId="0" applyFont="1" applyFill="1" applyAlignment="1">
      <alignment vertical="center"/>
    </xf>
    <xf numFmtId="0" fontId="9" fillId="5" borderId="0" xfId="0" applyFont="1" applyFill="1" applyAlignment="1">
      <alignment vertical="center"/>
    </xf>
    <xf numFmtId="0" fontId="34" fillId="12" borderId="5" xfId="0" applyFont="1" applyFill="1" applyBorder="1" applyAlignment="1">
      <alignment vertical="center"/>
    </xf>
    <xf numFmtId="0" fontId="10" fillId="0" borderId="0" xfId="0" applyFont="1" applyAlignment="1">
      <alignment vertical="center"/>
    </xf>
    <xf numFmtId="0" fontId="34" fillId="12" borderId="41" xfId="2" applyFont="1" applyFill="1" applyBorder="1" applyAlignment="1">
      <alignment horizontal="center" vertical="center"/>
    </xf>
    <xf numFmtId="4" fontId="34" fillId="12" borderId="42" xfId="2" applyNumberFormat="1" applyFont="1" applyFill="1" applyBorder="1" applyAlignment="1">
      <alignment vertical="center"/>
    </xf>
    <xf numFmtId="4" fontId="34" fillId="12" borderId="41" xfId="2" applyNumberFormat="1" applyFont="1" applyFill="1" applyBorder="1" applyAlignment="1">
      <alignment vertical="center"/>
    </xf>
    <xf numFmtId="49" fontId="34" fillId="12" borderId="0" xfId="3" applyFont="1" applyFill="1" applyAlignment="1">
      <alignment horizontal="center" vertical="center"/>
    </xf>
    <xf numFmtId="0" fontId="9" fillId="0" borderId="0" xfId="0" applyFont="1" applyAlignment="1">
      <alignment horizontal="center" vertical="center"/>
    </xf>
    <xf numFmtId="0" fontId="35" fillId="12" borderId="0" xfId="0" applyFont="1" applyFill="1" applyAlignment="1">
      <alignment horizontal="center" vertical="center"/>
    </xf>
    <xf numFmtId="0" fontId="21" fillId="0" borderId="44" xfId="2" applyFont="1" applyBorder="1" applyAlignment="1">
      <alignment horizontal="center" vertical="center"/>
    </xf>
    <xf numFmtId="0" fontId="21" fillId="5" borderId="44" xfId="2" applyFont="1" applyFill="1" applyBorder="1" applyAlignment="1">
      <alignment horizontal="center" vertical="center"/>
    </xf>
    <xf numFmtId="49" fontId="34" fillId="12" borderId="17" xfId="2" applyNumberFormat="1" applyFont="1" applyFill="1" applyBorder="1" applyAlignment="1">
      <alignment horizontal="center" vertical="center"/>
    </xf>
    <xf numFmtId="0" fontId="34" fillId="12" borderId="17" xfId="2" applyFont="1" applyFill="1" applyBorder="1" applyAlignment="1">
      <alignment horizontal="center" vertical="center"/>
    </xf>
    <xf numFmtId="0" fontId="9" fillId="5" borderId="0" xfId="0" applyFont="1" applyFill="1" applyAlignment="1">
      <alignment horizontal="center" vertical="center"/>
    </xf>
    <xf numFmtId="170" fontId="10" fillId="0" borderId="26" xfId="2" applyNumberFormat="1" applyFont="1" applyBorder="1" applyAlignment="1">
      <alignment horizontal="center" vertical="center"/>
    </xf>
    <xf numFmtId="3" fontId="10" fillId="5" borderId="2" xfId="2" applyNumberFormat="1" applyFont="1" applyFill="1" applyBorder="1" applyAlignment="1">
      <alignment horizontal="center" vertical="center"/>
    </xf>
    <xf numFmtId="49" fontId="10" fillId="5" borderId="66" xfId="2" applyNumberFormat="1" applyFont="1" applyFill="1" applyBorder="1" applyAlignment="1">
      <alignment horizontal="center" vertical="center" wrapText="1"/>
    </xf>
    <xf numFmtId="3" fontId="10" fillId="5" borderId="66" xfId="2" applyNumberFormat="1" applyFont="1" applyFill="1" applyBorder="1" applyAlignment="1">
      <alignment horizontal="center" vertical="center"/>
    </xf>
    <xf numFmtId="3" fontId="34" fillId="12" borderId="17" xfId="2" applyNumberFormat="1" applyFont="1" applyFill="1" applyBorder="1" applyAlignment="1">
      <alignment horizontal="center" vertical="center"/>
    </xf>
    <xf numFmtId="43" fontId="34" fillId="12" borderId="5" xfId="0" applyNumberFormat="1" applyFont="1" applyFill="1" applyBorder="1" applyAlignment="1">
      <alignment horizontal="center" vertical="center"/>
    </xf>
    <xf numFmtId="0" fontId="34" fillId="12" borderId="0" xfId="0" applyFont="1" applyFill="1" applyAlignment="1">
      <alignment horizontal="center" vertical="center"/>
    </xf>
    <xf numFmtId="0" fontId="10" fillId="0" borderId="54" xfId="2" applyFont="1" applyBorder="1" applyAlignment="1">
      <alignment horizontal="center" vertical="center"/>
    </xf>
    <xf numFmtId="49" fontId="34" fillId="12" borderId="41" xfId="2" applyNumberFormat="1" applyFont="1" applyFill="1" applyBorder="1" applyAlignment="1">
      <alignment horizontal="center" vertical="center"/>
    </xf>
    <xf numFmtId="4" fontId="34" fillId="12" borderId="41" xfId="2" applyNumberFormat="1" applyFont="1" applyFill="1" applyBorder="1" applyAlignment="1">
      <alignment horizontal="center" vertical="center"/>
    </xf>
    <xf numFmtId="49" fontId="10" fillId="5" borderId="2" xfId="2" applyNumberFormat="1" applyFont="1" applyFill="1" applyBorder="1" applyAlignment="1">
      <alignment horizontal="center" vertical="center" wrapText="1"/>
    </xf>
    <xf numFmtId="0" fontId="10" fillId="0" borderId="28" xfId="2" applyFont="1" applyBorder="1" applyAlignment="1">
      <alignment horizontal="center" vertical="center"/>
    </xf>
    <xf numFmtId="1" fontId="10" fillId="0" borderId="28" xfId="2" applyNumberFormat="1" applyFont="1" applyBorder="1" applyAlignment="1">
      <alignment horizontal="center" vertical="center"/>
    </xf>
    <xf numFmtId="0" fontId="10" fillId="0" borderId="62" xfId="2" applyFont="1" applyBorder="1" applyAlignment="1">
      <alignment horizontal="center" vertical="center"/>
    </xf>
    <xf numFmtId="170" fontId="10" fillId="0" borderId="25" xfId="2" applyNumberFormat="1" applyFont="1" applyBorder="1" applyAlignment="1">
      <alignment horizontal="center" vertical="center"/>
    </xf>
    <xf numFmtId="0" fontId="32" fillId="0" borderId="44" xfId="2" applyFont="1" applyBorder="1" applyAlignment="1">
      <alignment horizontal="center" vertical="center"/>
    </xf>
    <xf numFmtId="170" fontId="34" fillId="12" borderId="5" xfId="2" applyNumberFormat="1" applyFont="1" applyFill="1" applyBorder="1" applyAlignment="1">
      <alignment horizontal="center" vertical="center"/>
    </xf>
    <xf numFmtId="0" fontId="34" fillId="12" borderId="9" xfId="2" applyFont="1" applyFill="1" applyBorder="1" applyAlignment="1">
      <alignment horizontal="center" vertical="center"/>
    </xf>
    <xf numFmtId="3" fontId="10" fillId="5" borderId="25" xfId="2" applyNumberFormat="1" applyFont="1" applyFill="1" applyBorder="1" applyAlignment="1">
      <alignment horizontal="center" vertical="center"/>
    </xf>
    <xf numFmtId="4" fontId="34" fillId="12" borderId="17" xfId="2" applyNumberFormat="1" applyFont="1" applyFill="1" applyBorder="1" applyAlignment="1">
      <alignment horizontal="center" vertical="center"/>
    </xf>
    <xf numFmtId="4" fontId="34" fillId="12" borderId="0" xfId="0" applyNumberFormat="1" applyFont="1" applyFill="1" applyAlignment="1">
      <alignment vertical="center"/>
    </xf>
    <xf numFmtId="4" fontId="34" fillId="12" borderId="30" xfId="2" applyNumberFormat="1" applyFont="1" applyFill="1" applyBorder="1" applyAlignment="1">
      <alignment horizontal="center" vertical="center" wrapText="1"/>
    </xf>
    <xf numFmtId="4" fontId="9" fillId="0" borderId="0" xfId="0" applyNumberFormat="1" applyFont="1" applyAlignment="1">
      <alignment vertical="center"/>
    </xf>
    <xf numFmtId="4" fontId="35" fillId="12" borderId="0" xfId="0" applyNumberFormat="1" applyFont="1" applyFill="1" applyAlignment="1">
      <alignment vertical="center"/>
    </xf>
    <xf numFmtId="4" fontId="10" fillId="0" borderId="28" xfId="5" applyNumberFormat="1" applyFont="1" applyFill="1" applyBorder="1" applyAlignment="1">
      <alignment vertical="center"/>
    </xf>
    <xf numFmtId="4" fontId="10" fillId="0" borderId="25" xfId="2" applyNumberFormat="1" applyFont="1" applyBorder="1" applyAlignment="1">
      <alignment vertical="center"/>
    </xf>
    <xf numFmtId="4" fontId="32" fillId="0" borderId="59" xfId="2" applyNumberFormat="1" applyFont="1" applyBorder="1" applyAlignment="1">
      <alignment vertical="center"/>
    </xf>
    <xf numFmtId="4" fontId="9" fillId="5" borderId="0" xfId="0" applyNumberFormat="1" applyFont="1" applyFill="1" applyAlignment="1">
      <alignment vertical="center"/>
    </xf>
    <xf numFmtId="4" fontId="34" fillId="12" borderId="5" xfId="2" applyNumberFormat="1" applyFont="1" applyFill="1" applyBorder="1" applyAlignment="1">
      <alignment horizontal="center" vertical="center" wrapText="1"/>
    </xf>
    <xf numFmtId="4" fontId="10" fillId="0" borderId="24" xfId="5" applyNumberFormat="1" applyFont="1" applyFill="1" applyBorder="1" applyAlignment="1">
      <alignment vertical="center"/>
    </xf>
    <xf numFmtId="4" fontId="10" fillId="0" borderId="38" xfId="2" applyNumberFormat="1" applyFont="1" applyBorder="1" applyAlignment="1">
      <alignment vertical="center"/>
    </xf>
    <xf numFmtId="4" fontId="34" fillId="12" borderId="73" xfId="2" applyNumberFormat="1" applyFont="1" applyFill="1" applyBorder="1" applyAlignment="1">
      <alignment vertical="center"/>
    </xf>
    <xf numFmtId="4" fontId="34" fillId="12" borderId="5" xfId="0" applyNumberFormat="1" applyFont="1" applyFill="1" applyBorder="1" applyAlignment="1">
      <alignment vertical="center"/>
    </xf>
    <xf numFmtId="4" fontId="9" fillId="0" borderId="59" xfId="2" applyNumberFormat="1" applyFont="1" applyBorder="1" applyAlignment="1">
      <alignment vertical="center"/>
    </xf>
    <xf numFmtId="4" fontId="9" fillId="5" borderId="44" xfId="0" applyNumberFormat="1" applyFont="1" applyFill="1" applyBorder="1" applyAlignment="1">
      <alignment vertical="center"/>
    </xf>
    <xf numFmtId="4" fontId="21" fillId="0" borderId="59" xfId="2" applyNumberFormat="1" applyFont="1" applyBorder="1" applyAlignment="1">
      <alignment vertical="center"/>
    </xf>
    <xf numFmtId="4" fontId="21" fillId="0" borderId="26" xfId="2" applyNumberFormat="1" applyFont="1" applyBorder="1" applyAlignment="1">
      <alignment vertical="center"/>
    </xf>
    <xf numFmtId="4" fontId="21" fillId="5" borderId="26" xfId="2" applyNumberFormat="1" applyFont="1" applyFill="1" applyBorder="1" applyAlignment="1">
      <alignment vertical="center"/>
    </xf>
    <xf numFmtId="4" fontId="34" fillId="12" borderId="16" xfId="2" applyNumberFormat="1" applyFont="1" applyFill="1" applyBorder="1" applyAlignment="1">
      <alignment horizontal="center" vertical="center" wrapText="1"/>
    </xf>
    <xf numFmtId="4" fontId="10" fillId="0" borderId="23" xfId="5" applyNumberFormat="1" applyFont="1" applyFill="1" applyBorder="1" applyAlignment="1">
      <alignment vertical="center"/>
    </xf>
    <xf numFmtId="4" fontId="10" fillId="0" borderId="1" xfId="5" applyNumberFormat="1" applyFont="1" applyFill="1" applyBorder="1" applyAlignment="1">
      <alignment vertical="center"/>
    </xf>
    <xf numFmtId="4" fontId="10" fillId="0" borderId="1" xfId="2" applyNumberFormat="1" applyFont="1" applyBorder="1" applyAlignment="1">
      <alignment vertical="center"/>
    </xf>
    <xf numFmtId="4" fontId="34" fillId="12" borderId="0" xfId="3" applyNumberFormat="1" applyFont="1" applyFill="1" applyAlignment="1">
      <alignment vertical="center"/>
    </xf>
    <xf numFmtId="4" fontId="10" fillId="0" borderId="59" xfId="5" applyNumberFormat="1" applyFont="1" applyFill="1" applyBorder="1" applyAlignment="1">
      <alignment vertical="center"/>
    </xf>
    <xf numFmtId="4" fontId="34" fillId="12" borderId="64" xfId="2" applyNumberFormat="1" applyFont="1" applyFill="1" applyBorder="1" applyAlignment="1">
      <alignment horizontal="center" vertical="center" wrapText="1"/>
    </xf>
    <xf numFmtId="4" fontId="21" fillId="0" borderId="66" xfId="2" applyNumberFormat="1" applyFont="1" applyBorder="1" applyAlignment="1">
      <alignment vertical="center"/>
    </xf>
    <xf numFmtId="4" fontId="21" fillId="5" borderId="66" xfId="2" applyNumberFormat="1" applyFont="1" applyFill="1" applyBorder="1" applyAlignment="1">
      <alignment vertical="center"/>
    </xf>
    <xf numFmtId="4" fontId="10" fillId="0" borderId="66" xfId="2" applyNumberFormat="1" applyFont="1" applyBorder="1" applyAlignment="1">
      <alignment vertical="center"/>
    </xf>
    <xf numFmtId="4" fontId="34" fillId="12" borderId="42" xfId="2" applyNumberFormat="1" applyFont="1" applyFill="1" applyBorder="1" applyAlignment="1">
      <alignment horizontal="center" vertical="center" wrapText="1"/>
    </xf>
    <xf numFmtId="4" fontId="10" fillId="0" borderId="12" xfId="2" applyNumberFormat="1" applyFont="1" applyBorder="1" applyAlignment="1">
      <alignment vertical="center"/>
    </xf>
    <xf numFmtId="4" fontId="34" fillId="12" borderId="61" xfId="2" applyNumberFormat="1" applyFont="1" applyFill="1" applyBorder="1" applyAlignment="1">
      <alignment horizontal="center" vertical="center" wrapText="1"/>
    </xf>
    <xf numFmtId="4" fontId="21" fillId="0" borderId="44" xfId="2" applyNumberFormat="1" applyFont="1" applyBorder="1" applyAlignment="1">
      <alignment vertical="center"/>
    </xf>
    <xf numFmtId="4" fontId="21" fillId="5" borderId="44" xfId="2" applyNumberFormat="1" applyFont="1" applyFill="1" applyBorder="1" applyAlignment="1">
      <alignment vertical="center"/>
    </xf>
    <xf numFmtId="4" fontId="10" fillId="0" borderId="44" xfId="2" applyNumberFormat="1" applyFont="1" applyBorder="1" applyAlignment="1">
      <alignment vertical="center"/>
    </xf>
    <xf numFmtId="4" fontId="10" fillId="0" borderId="13" xfId="2" applyNumberFormat="1" applyFont="1" applyBorder="1" applyAlignment="1">
      <alignment vertical="center"/>
    </xf>
    <xf numFmtId="4" fontId="10" fillId="0" borderId="71" xfId="2" applyNumberFormat="1" applyFont="1" applyBorder="1" applyAlignment="1">
      <alignment vertical="center"/>
    </xf>
    <xf numFmtId="4" fontId="34" fillId="12" borderId="17" xfId="2" applyNumberFormat="1" applyFont="1" applyFill="1" applyBorder="1" applyAlignment="1">
      <alignment horizontal="center" vertical="center" wrapText="1"/>
    </xf>
    <xf numFmtId="4" fontId="10" fillId="0" borderId="56" xfId="5" applyNumberFormat="1" applyFont="1" applyFill="1" applyBorder="1" applyAlignment="1">
      <alignment vertical="center"/>
    </xf>
    <xf numFmtId="4" fontId="34" fillId="12" borderId="20" xfId="2" applyNumberFormat="1" applyFont="1" applyFill="1" applyBorder="1" applyAlignment="1">
      <alignment horizontal="center" vertical="center" wrapText="1"/>
    </xf>
    <xf numFmtId="0" fontId="34" fillId="12" borderId="6" xfId="0" applyFont="1" applyFill="1" applyBorder="1" applyAlignment="1">
      <alignment vertical="center"/>
    </xf>
    <xf numFmtId="0" fontId="35" fillId="12" borderId="45" xfId="0" applyFont="1" applyFill="1" applyBorder="1" applyAlignment="1">
      <alignment horizontal="center" vertical="center"/>
    </xf>
    <xf numFmtId="4" fontId="35" fillId="12" borderId="45" xfId="0" applyNumberFormat="1" applyFont="1" applyFill="1" applyBorder="1" applyAlignment="1">
      <alignment vertical="center"/>
    </xf>
    <xf numFmtId="4" fontId="35" fillId="12" borderId="20" xfId="0" applyNumberFormat="1" applyFont="1" applyFill="1" applyBorder="1" applyAlignment="1">
      <alignment vertical="center"/>
    </xf>
    <xf numFmtId="170" fontId="34" fillId="12" borderId="41" xfId="2" applyNumberFormat="1" applyFont="1" applyFill="1" applyBorder="1" applyAlignment="1">
      <alignment horizontal="center" vertical="center"/>
    </xf>
    <xf numFmtId="0" fontId="9" fillId="0" borderId="13" xfId="0" applyFont="1" applyBorder="1" applyAlignment="1">
      <alignment vertical="center"/>
    </xf>
    <xf numFmtId="4" fontId="9" fillId="0" borderId="0" xfId="4" applyNumberFormat="1" applyFont="1"/>
    <xf numFmtId="4" fontId="9" fillId="0" borderId="13" xfId="0" applyNumberFormat="1" applyFont="1" applyBorder="1" applyAlignment="1">
      <alignment vertical="center"/>
    </xf>
    <xf numFmtId="0" fontId="34" fillId="12" borderId="11" xfId="0" applyFont="1" applyFill="1" applyBorder="1" applyAlignment="1">
      <alignment horizontal="center" vertical="center" wrapText="1"/>
    </xf>
    <xf numFmtId="0" fontId="9" fillId="0" borderId="27" xfId="0" applyFont="1" applyBorder="1" applyAlignment="1">
      <alignment horizontal="center" vertical="center" wrapText="1"/>
    </xf>
    <xf numFmtId="0" fontId="9" fillId="0" borderId="27" xfId="0" applyFont="1" applyBorder="1" applyAlignment="1">
      <alignment vertical="center" wrapText="1"/>
    </xf>
    <xf numFmtId="0" fontId="9" fillId="0" borderId="27" xfId="0" applyFont="1" applyBorder="1" applyAlignment="1">
      <alignment vertical="center"/>
    </xf>
    <xf numFmtId="4" fontId="9" fillId="0" borderId="35" xfId="0" applyNumberFormat="1" applyFont="1" applyBorder="1" applyAlignment="1">
      <alignment vertical="center"/>
    </xf>
    <xf numFmtId="0" fontId="9" fillId="0" borderId="27" xfId="0" applyFont="1" applyBorder="1" applyAlignment="1">
      <alignment horizontal="center" vertical="center"/>
    </xf>
    <xf numFmtId="4" fontId="9" fillId="0" borderId="22" xfId="0" applyNumberFormat="1" applyFont="1" applyBorder="1" applyAlignment="1">
      <alignment vertical="center"/>
    </xf>
    <xf numFmtId="0" fontId="9" fillId="0" borderId="27" xfId="0" applyFont="1" applyBorder="1" applyAlignment="1">
      <alignment wrapText="1"/>
    </xf>
    <xf numFmtId="4" fontId="9" fillId="0" borderId="4" xfId="4" applyNumberFormat="1" applyFont="1" applyBorder="1" applyAlignment="1">
      <alignment horizontal="right"/>
    </xf>
    <xf numFmtId="0" fontId="16" fillId="0" borderId="0" xfId="0" applyFont="1" applyAlignment="1">
      <alignment vertical="center"/>
    </xf>
    <xf numFmtId="49" fontId="35" fillId="12" borderId="41" xfId="3" applyFont="1" applyFill="1" applyBorder="1" applyAlignment="1">
      <alignment horizontal="center" vertical="center" textRotation="90" wrapText="1"/>
    </xf>
    <xf numFmtId="49" fontId="35" fillId="12" borderId="15" xfId="3" applyFont="1" applyFill="1" applyBorder="1" applyAlignment="1">
      <alignment horizontal="center" vertical="center" textRotation="90" wrapText="1"/>
    </xf>
    <xf numFmtId="49" fontId="35" fillId="12" borderId="16" xfId="3" applyFont="1" applyFill="1" applyBorder="1" applyAlignment="1">
      <alignment horizontal="center" vertical="center" textRotation="90" wrapText="1"/>
    </xf>
    <xf numFmtId="49" fontId="34" fillId="12" borderId="41" xfId="3" applyFont="1" applyFill="1" applyBorder="1" applyAlignment="1">
      <alignment horizontal="center" vertical="center" textRotation="90" wrapText="1"/>
    </xf>
    <xf numFmtId="49" fontId="34" fillId="12" borderId="42" xfId="3" applyFont="1" applyFill="1" applyBorder="1" applyAlignment="1">
      <alignment horizontal="center" vertical="center" textRotation="90" wrapText="1"/>
    </xf>
    <xf numFmtId="4" fontId="34" fillId="12" borderId="41" xfId="3" applyNumberFormat="1" applyFont="1" applyFill="1" applyBorder="1" applyAlignment="1">
      <alignment horizontal="right" vertical="center"/>
    </xf>
    <xf numFmtId="4" fontId="34" fillId="12" borderId="15" xfId="3" applyNumberFormat="1" applyFont="1" applyFill="1" applyBorder="1" applyAlignment="1">
      <alignment horizontal="right" vertical="center"/>
    </xf>
    <xf numFmtId="4" fontId="34" fillId="12" borderId="16" xfId="3" applyNumberFormat="1" applyFont="1" applyFill="1" applyBorder="1" applyAlignment="1">
      <alignment horizontal="right" vertical="center"/>
    </xf>
    <xf numFmtId="4" fontId="34" fillId="12" borderId="42" xfId="3" applyNumberFormat="1" applyFont="1" applyFill="1" applyBorder="1" applyAlignment="1">
      <alignment vertical="center"/>
    </xf>
    <xf numFmtId="0" fontId="34" fillId="12" borderId="27" xfId="0" applyFont="1" applyFill="1" applyBorder="1" applyAlignment="1">
      <alignment horizontal="center" vertical="center" wrapText="1"/>
    </xf>
    <xf numFmtId="4" fontId="34" fillId="12" borderId="27" xfId="0" applyNumberFormat="1" applyFont="1" applyFill="1" applyBorder="1" applyAlignment="1">
      <alignment vertical="center"/>
    </xf>
    <xf numFmtId="49" fontId="34" fillId="12" borderId="18" xfId="3" applyFont="1" applyFill="1" applyBorder="1" applyAlignment="1">
      <alignment horizontal="center" vertical="center"/>
    </xf>
    <xf numFmtId="3" fontId="9" fillId="0" borderId="13" xfId="0" applyNumberFormat="1" applyFont="1" applyBorder="1" applyAlignment="1">
      <alignment vertical="center"/>
    </xf>
    <xf numFmtId="4" fontId="9" fillId="0" borderId="11" xfId="0" applyNumberFormat="1" applyFont="1" applyBorder="1" applyAlignment="1">
      <alignment vertical="center"/>
    </xf>
    <xf numFmtId="4" fontId="10" fillId="0" borderId="11" xfId="0" applyNumberFormat="1" applyFont="1" applyBorder="1" applyAlignment="1">
      <alignment vertical="center"/>
    </xf>
    <xf numFmtId="3" fontId="9" fillId="0" borderId="4" xfId="0" applyNumberFormat="1" applyFont="1" applyBorder="1" applyAlignment="1">
      <alignment vertical="center"/>
    </xf>
    <xf numFmtId="3" fontId="10" fillId="0" borderId="0" xfId="0" applyNumberFormat="1" applyFont="1" applyAlignment="1">
      <alignment vertical="center"/>
    </xf>
    <xf numFmtId="0" fontId="10" fillId="0" borderId="13" xfId="0" applyFont="1" applyBorder="1" applyAlignment="1">
      <alignment vertical="center"/>
    </xf>
    <xf numFmtId="4" fontId="20" fillId="0" borderId="13" xfId="0" applyNumberFormat="1" applyFont="1" applyBorder="1" applyAlignment="1">
      <alignment vertical="center"/>
    </xf>
    <xf numFmtId="4" fontId="21" fillId="0" borderId="13" xfId="0" applyNumberFormat="1" applyFont="1" applyBorder="1" applyAlignment="1">
      <alignment vertical="center"/>
    </xf>
    <xf numFmtId="4" fontId="10" fillId="0" borderId="13" xfId="0" applyNumberFormat="1" applyFont="1" applyBorder="1" applyAlignment="1">
      <alignment vertical="center"/>
    </xf>
    <xf numFmtId="0" fontId="9" fillId="0" borderId="10" xfId="0" applyFont="1" applyBorder="1" applyAlignment="1">
      <alignment vertical="center"/>
    </xf>
    <xf numFmtId="4" fontId="9" fillId="0" borderId="10" xfId="0" applyNumberFormat="1" applyFont="1" applyBorder="1" applyAlignment="1">
      <alignment vertical="center"/>
    </xf>
    <xf numFmtId="4" fontId="10" fillId="0" borderId="10" xfId="0" applyNumberFormat="1" applyFont="1" applyBorder="1" applyAlignment="1">
      <alignment vertical="center"/>
    </xf>
    <xf numFmtId="0" fontId="9" fillId="0" borderId="4" xfId="0" applyFont="1" applyBorder="1" applyAlignment="1">
      <alignment vertical="center"/>
    </xf>
    <xf numFmtId="4" fontId="10" fillId="0" borderId="0" xfId="0" applyNumberFormat="1" applyFont="1" applyAlignment="1">
      <alignment vertical="center"/>
    </xf>
    <xf numFmtId="0" fontId="42" fillId="0" borderId="0" xfId="0" applyFont="1" applyAlignment="1">
      <alignment vertical="center"/>
    </xf>
    <xf numFmtId="0" fontId="24" fillId="0" borderId="0" xfId="0" applyFont="1" applyAlignment="1">
      <alignment vertical="center"/>
    </xf>
    <xf numFmtId="4" fontId="10" fillId="0" borderId="0" xfId="2" applyNumberFormat="1" applyFont="1" applyAlignment="1">
      <alignment horizontal="left" vertical="center"/>
    </xf>
    <xf numFmtId="0" fontId="42" fillId="0" borderId="0" xfId="0" applyFont="1" applyAlignment="1">
      <alignment horizontal="center" vertical="center" textRotation="90"/>
    </xf>
    <xf numFmtId="0" fontId="10" fillId="0" borderId="6" xfId="4" applyFont="1" applyBorder="1" applyAlignment="1">
      <alignment horizontal="center" vertical="center" wrapText="1"/>
    </xf>
    <xf numFmtId="4" fontId="10" fillId="0" borderId="6" xfId="4" applyNumberFormat="1" applyFont="1" applyBorder="1" applyAlignment="1">
      <alignment horizontal="center" vertical="center"/>
    </xf>
    <xf numFmtId="4" fontId="10" fillId="0" borderId="72" xfId="4" applyNumberFormat="1" applyFont="1" applyBorder="1" applyAlignment="1">
      <alignment horizontal="center" vertical="center"/>
    </xf>
    <xf numFmtId="4" fontId="10" fillId="0" borderId="51" xfId="4" applyNumberFormat="1" applyFont="1" applyBorder="1" applyAlignment="1">
      <alignment horizontal="center" vertical="center"/>
    </xf>
    <xf numFmtId="4" fontId="10" fillId="0" borderId="46" xfId="4" applyNumberFormat="1" applyFont="1" applyBorder="1" applyAlignment="1">
      <alignment horizontal="center" vertical="center"/>
    </xf>
    <xf numFmtId="4" fontId="10" fillId="0" borderId="20" xfId="4" applyNumberFormat="1" applyFont="1" applyBorder="1" applyAlignment="1">
      <alignment horizontal="center" vertical="center"/>
    </xf>
    <xf numFmtId="4" fontId="10" fillId="0" borderId="45" xfId="4" applyNumberFormat="1" applyFont="1" applyBorder="1" applyAlignment="1">
      <alignment horizontal="center" vertical="center"/>
    </xf>
    <xf numFmtId="4" fontId="10" fillId="0" borderId="0" xfId="4" applyNumberFormat="1" applyFont="1" applyAlignment="1">
      <alignment horizontal="center" vertical="center"/>
    </xf>
    <xf numFmtId="0" fontId="43" fillId="0" borderId="3" xfId="4" applyFont="1" applyBorder="1" applyAlignment="1">
      <alignment vertical="center" wrapText="1"/>
    </xf>
    <xf numFmtId="4" fontId="10" fillId="0" borderId="3" xfId="4" applyNumberFormat="1" applyFont="1" applyBorder="1" applyAlignment="1">
      <alignment vertical="center"/>
    </xf>
    <xf numFmtId="4" fontId="10" fillId="0" borderId="52" xfId="4" applyNumberFormat="1" applyFont="1" applyBorder="1" applyAlignment="1">
      <alignment vertical="center"/>
    </xf>
    <xf numFmtId="4" fontId="10" fillId="0" borderId="53" xfId="4" applyNumberFormat="1" applyFont="1" applyBorder="1" applyAlignment="1">
      <alignment vertical="center"/>
    </xf>
    <xf numFmtId="4" fontId="10" fillId="0" borderId="47" xfId="4" applyNumberFormat="1" applyFont="1" applyBorder="1" applyAlignment="1">
      <alignment vertical="center"/>
    </xf>
    <xf numFmtId="4" fontId="10" fillId="0" borderId="4" xfId="4" applyNumberFormat="1" applyFont="1" applyBorder="1" applyAlignment="1">
      <alignment vertical="center"/>
    </xf>
    <xf numFmtId="4" fontId="10" fillId="0" borderId="0" xfId="4" applyNumberFormat="1" applyFont="1" applyAlignment="1">
      <alignment vertical="center"/>
    </xf>
    <xf numFmtId="0" fontId="9" fillId="0" borderId="3" xfId="4" applyFont="1" applyBorder="1" applyAlignment="1">
      <alignment vertical="center" wrapText="1"/>
    </xf>
    <xf numFmtId="4" fontId="9" fillId="0" borderId="3" xfId="4" applyNumberFormat="1" applyFont="1" applyBorder="1" applyAlignment="1">
      <alignment vertical="center"/>
    </xf>
    <xf numFmtId="4" fontId="9" fillId="0" borderId="52" xfId="4" applyNumberFormat="1" applyFont="1" applyBorder="1" applyAlignment="1">
      <alignment vertical="center"/>
    </xf>
    <xf numFmtId="4" fontId="9" fillId="0" borderId="53" xfId="4" applyNumberFormat="1" applyFont="1" applyBorder="1" applyAlignment="1">
      <alignment vertical="center"/>
    </xf>
    <xf numFmtId="4" fontId="9" fillId="0" borderId="47" xfId="4" applyNumberFormat="1" applyFont="1" applyBorder="1" applyAlignment="1">
      <alignment vertical="center"/>
    </xf>
    <xf numFmtId="4" fontId="9" fillId="0" borderId="4" xfId="4" applyNumberFormat="1" applyFont="1" applyBorder="1" applyAlignment="1">
      <alignment vertical="center"/>
    </xf>
    <xf numFmtId="4" fontId="9" fillId="0" borderId="0" xfId="4" applyNumberFormat="1" applyFont="1" applyAlignment="1">
      <alignment vertical="center"/>
    </xf>
    <xf numFmtId="0" fontId="10" fillId="0" borderId="3" xfId="4" applyFont="1" applyBorder="1" applyAlignment="1">
      <alignment vertical="center" wrapText="1"/>
    </xf>
    <xf numFmtId="0" fontId="9" fillId="0" borderId="3" xfId="4" applyFont="1" applyBorder="1" applyAlignment="1">
      <alignment horizontal="left" vertical="center" wrapText="1"/>
    </xf>
    <xf numFmtId="0" fontId="9" fillId="0" borderId="3" xfId="4" quotePrefix="1" applyFont="1" applyBorder="1" applyAlignment="1">
      <alignment horizontal="left" vertical="center" wrapText="1"/>
    </xf>
    <xf numFmtId="0" fontId="43" fillId="0" borderId="3" xfId="4" applyFont="1" applyBorder="1" applyAlignment="1">
      <alignment horizontal="left" vertical="center" wrapText="1"/>
    </xf>
    <xf numFmtId="0" fontId="9" fillId="0" borderId="0" xfId="4" applyFont="1" applyAlignment="1">
      <alignment vertical="center" wrapText="1"/>
    </xf>
    <xf numFmtId="4" fontId="9" fillId="0" borderId="7" xfId="4" applyNumberFormat="1" applyFont="1" applyBorder="1" applyAlignment="1">
      <alignment vertical="center"/>
    </xf>
    <xf numFmtId="4" fontId="9" fillId="0" borderId="55" xfId="4" applyNumberFormat="1" applyFont="1" applyBorder="1" applyAlignment="1">
      <alignment vertical="center"/>
    </xf>
    <xf numFmtId="4" fontId="9" fillId="0" borderId="73" xfId="4" applyNumberFormat="1" applyFont="1" applyBorder="1" applyAlignment="1">
      <alignment vertical="center"/>
    </xf>
    <xf numFmtId="4" fontId="9" fillId="0" borderId="48" xfId="4" applyNumberFormat="1" applyFont="1" applyBorder="1" applyAlignment="1">
      <alignment vertical="center"/>
    </xf>
    <xf numFmtId="4" fontId="9" fillId="0" borderId="8" xfId="4" applyNumberFormat="1" applyFont="1" applyBorder="1" applyAlignment="1">
      <alignment vertical="center"/>
    </xf>
    <xf numFmtId="0" fontId="44" fillId="12" borderId="5" xfId="4" applyFont="1" applyFill="1" applyBorder="1" applyAlignment="1">
      <alignment horizontal="center" vertical="center" wrapText="1"/>
    </xf>
    <xf numFmtId="4" fontId="44" fillId="12" borderId="41" xfId="4" applyNumberFormat="1" applyFont="1" applyFill="1" applyBorder="1" applyAlignment="1">
      <alignment vertical="center"/>
    </xf>
    <xf numFmtId="4" fontId="44" fillId="12" borderId="5" xfId="4" applyNumberFormat="1" applyFont="1" applyFill="1" applyBorder="1" applyAlignment="1">
      <alignment vertical="center"/>
    </xf>
    <xf numFmtId="0" fontId="10" fillId="0" borderId="3" xfId="4" applyFont="1" applyBorder="1" applyAlignment="1">
      <alignment horizontal="center" vertical="center" wrapText="1"/>
    </xf>
    <xf numFmtId="0" fontId="10" fillId="0" borderId="5" xfId="4" applyFont="1" applyBorder="1" applyAlignment="1">
      <alignment horizontal="center" vertical="center" wrapText="1"/>
    </xf>
    <xf numFmtId="4" fontId="10" fillId="0" borderId="41" xfId="4" applyNumberFormat="1" applyFont="1" applyBorder="1" applyAlignment="1">
      <alignment vertical="center"/>
    </xf>
    <xf numFmtId="4" fontId="10" fillId="0" borderId="19" xfId="4" applyNumberFormat="1" applyFont="1" applyBorder="1" applyAlignment="1">
      <alignment vertical="center"/>
    </xf>
    <xf numFmtId="4" fontId="10" fillId="0" borderId="15" xfId="4" applyNumberFormat="1" applyFont="1" applyBorder="1" applyAlignment="1">
      <alignment vertical="center"/>
    </xf>
    <xf numFmtId="4" fontId="10" fillId="0" borderId="17" xfId="4" applyNumberFormat="1" applyFont="1" applyBorder="1" applyAlignment="1">
      <alignment vertical="center"/>
    </xf>
    <xf numFmtId="4" fontId="10" fillId="0" borderId="14" xfId="4" applyNumberFormat="1" applyFont="1" applyBorder="1" applyAlignment="1">
      <alignment vertical="center"/>
    </xf>
    <xf numFmtId="4" fontId="10" fillId="0" borderId="42" xfId="4" applyNumberFormat="1" applyFont="1" applyBorder="1" applyAlignment="1">
      <alignment vertical="center"/>
    </xf>
    <xf numFmtId="0" fontId="20" fillId="0" borderId="0" xfId="4" applyFont="1" applyAlignment="1">
      <alignment vertical="center"/>
    </xf>
    <xf numFmtId="4" fontId="24" fillId="0" borderId="0" xfId="0" applyNumberFormat="1" applyFont="1" applyAlignment="1">
      <alignment vertical="center"/>
    </xf>
    <xf numFmtId="0" fontId="34" fillId="12" borderId="41" xfId="4" applyFont="1" applyFill="1" applyBorder="1" applyAlignment="1">
      <alignment horizontal="center" vertical="center" textRotation="90" wrapText="1"/>
    </xf>
    <xf numFmtId="0" fontId="34" fillId="12" borderId="15" xfId="4" applyFont="1" applyFill="1" applyBorder="1" applyAlignment="1">
      <alignment horizontal="center" vertical="center" textRotation="90" wrapText="1"/>
    </xf>
    <xf numFmtId="0" fontId="34" fillId="12" borderId="17" xfId="4" applyFont="1" applyFill="1" applyBorder="1" applyAlignment="1">
      <alignment horizontal="center" vertical="center" textRotation="90" wrapText="1"/>
    </xf>
    <xf numFmtId="0" fontId="34" fillId="12" borderId="14" xfId="4" applyFont="1" applyFill="1" applyBorder="1" applyAlignment="1">
      <alignment horizontal="center" vertical="center" textRotation="90" wrapText="1"/>
    </xf>
    <xf numFmtId="0" fontId="10" fillId="0" borderId="0" xfId="0" applyFont="1" applyAlignment="1">
      <alignment horizontal="center" vertical="center"/>
    </xf>
    <xf numFmtId="0" fontId="9" fillId="0" borderId="67" xfId="0" applyFont="1" applyBorder="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left"/>
    </xf>
    <xf numFmtId="0" fontId="21" fillId="0" borderId="0" xfId="2" applyFont="1" applyAlignment="1">
      <alignment vertical="center"/>
    </xf>
    <xf numFmtId="0" fontId="20" fillId="0" borderId="0" xfId="0" applyFont="1" applyAlignment="1">
      <alignment horizontal="left"/>
    </xf>
    <xf numFmtId="0" fontId="20" fillId="0" borderId="0" xfId="0" applyFont="1" applyAlignment="1">
      <alignment horizontal="right"/>
    </xf>
    <xf numFmtId="0" fontId="20" fillId="0" borderId="0" xfId="0" applyFont="1" applyAlignment="1">
      <alignment horizontal="center"/>
    </xf>
    <xf numFmtId="0" fontId="9" fillId="0" borderId="0" xfId="0" applyFont="1" applyAlignment="1">
      <alignment horizontal="center" vertical="center" wrapText="1"/>
    </xf>
    <xf numFmtId="0" fontId="34" fillId="12" borderId="22" xfId="0" applyFont="1" applyFill="1" applyBorder="1" applyAlignment="1">
      <alignment horizontal="right" vertical="center" wrapText="1"/>
    </xf>
    <xf numFmtId="0" fontId="34" fillId="12" borderId="22" xfId="0" applyFont="1" applyFill="1" applyBorder="1" applyAlignment="1">
      <alignment horizontal="center" vertical="center" wrapText="1"/>
    </xf>
    <xf numFmtId="0" fontId="9" fillId="0" borderId="0" xfId="0" applyFont="1" applyAlignment="1">
      <alignment horizontal="justify" vertical="center" wrapText="1"/>
    </xf>
    <xf numFmtId="0" fontId="9" fillId="0" borderId="25" xfId="0" applyFont="1" applyBorder="1" applyAlignment="1">
      <alignment horizontal="left" vertical="center" wrapText="1"/>
    </xf>
    <xf numFmtId="0" fontId="9" fillId="0" borderId="25" xfId="0" applyFont="1" applyBorder="1" applyAlignment="1">
      <alignment horizontal="justify" vertical="center"/>
    </xf>
    <xf numFmtId="0" fontId="9" fillId="0" borderId="27" xfId="0" applyFont="1" applyBorder="1" applyAlignment="1">
      <alignment horizontal="justify" vertical="center"/>
    </xf>
    <xf numFmtId="0" fontId="9" fillId="0" borderId="27" xfId="0" applyFont="1" applyBorder="1" applyAlignment="1">
      <alignment horizontal="right" vertical="center"/>
    </xf>
    <xf numFmtId="10" fontId="9" fillId="0" borderId="1" xfId="0" applyNumberFormat="1" applyFont="1" applyBorder="1" applyAlignment="1">
      <alignment horizontal="right" vertical="center" wrapText="1"/>
    </xf>
    <xf numFmtId="0" fontId="9" fillId="0" borderId="1" xfId="0" applyFont="1" applyBorder="1" applyAlignment="1">
      <alignment horizontal="right" vertical="center" wrapText="1"/>
    </xf>
    <xf numFmtId="0" fontId="46" fillId="5" borderId="27" xfId="0" applyFont="1" applyFill="1" applyBorder="1" applyAlignment="1">
      <alignment horizontal="right" vertical="center"/>
    </xf>
    <xf numFmtId="0" fontId="46" fillId="5" borderId="28" xfId="0" applyFont="1" applyFill="1" applyBorder="1" applyAlignment="1">
      <alignment horizontal="right" vertical="center"/>
    </xf>
    <xf numFmtId="166" fontId="9" fillId="0" borderId="27" xfId="12" applyNumberFormat="1" applyFont="1" applyBorder="1" applyAlignment="1">
      <alignment horizontal="right" vertical="center"/>
    </xf>
    <xf numFmtId="3" fontId="9" fillId="0" borderId="1" xfId="0" applyNumberFormat="1" applyFont="1" applyBorder="1" applyAlignment="1">
      <alignment horizontal="right" vertical="center" wrapText="1"/>
    </xf>
    <xf numFmtId="166" fontId="46" fillId="5" borderId="27" xfId="12" applyNumberFormat="1" applyFont="1" applyFill="1" applyBorder="1" applyAlignment="1">
      <alignment horizontal="right" vertical="center"/>
    </xf>
    <xf numFmtId="9" fontId="9" fillId="0" borderId="27" xfId="0" applyNumberFormat="1" applyFont="1" applyBorder="1" applyAlignment="1">
      <alignment horizontal="right" vertical="center"/>
    </xf>
    <xf numFmtId="9" fontId="46" fillId="5" borderId="27" xfId="0" applyNumberFormat="1" applyFont="1" applyFill="1" applyBorder="1" applyAlignment="1">
      <alignment horizontal="right" vertical="center"/>
    </xf>
    <xf numFmtId="9" fontId="46" fillId="5" borderId="28" xfId="0" applyNumberFormat="1" applyFont="1" applyFill="1" applyBorder="1" applyAlignment="1">
      <alignment horizontal="right" vertical="center"/>
    </xf>
    <xf numFmtId="3" fontId="46" fillId="5" borderId="27" xfId="0" applyNumberFormat="1" applyFont="1" applyFill="1" applyBorder="1" applyAlignment="1">
      <alignment horizontal="right" vertical="center"/>
    </xf>
    <xf numFmtId="3" fontId="46" fillId="5" borderId="28" xfId="0" applyNumberFormat="1" applyFont="1" applyFill="1" applyBorder="1" applyAlignment="1">
      <alignment horizontal="right" vertical="center"/>
    </xf>
    <xf numFmtId="3" fontId="9" fillId="0" borderId="27" xfId="0" applyNumberFormat="1" applyFont="1" applyBorder="1" applyAlignment="1">
      <alignment horizontal="right" vertical="center"/>
    </xf>
    <xf numFmtId="43" fontId="9" fillId="0" borderId="1" xfId="12" applyFont="1" applyBorder="1" applyAlignment="1">
      <alignment horizontal="right" vertical="center" wrapText="1"/>
    </xf>
    <xf numFmtId="0" fontId="9" fillId="0" borderId="1" xfId="12" applyNumberFormat="1" applyFont="1" applyBorder="1" applyAlignment="1">
      <alignment horizontal="right" vertical="center" wrapText="1"/>
    </xf>
    <xf numFmtId="4" fontId="9" fillId="0" borderId="1" xfId="0" applyNumberFormat="1" applyFont="1" applyBorder="1" applyAlignment="1">
      <alignment horizontal="right" vertical="center" wrapText="1"/>
    </xf>
    <xf numFmtId="0" fontId="9" fillId="0" borderId="37" xfId="0" applyFont="1" applyBorder="1" applyAlignment="1">
      <alignment horizontal="left" vertical="center" wrapText="1"/>
    </xf>
    <xf numFmtId="0" fontId="9" fillId="0" borderId="37" xfId="0" applyFont="1" applyBorder="1" applyAlignment="1">
      <alignment horizontal="justify" vertical="center"/>
    </xf>
    <xf numFmtId="0" fontId="9" fillId="0" borderId="39" xfId="0" applyFont="1" applyBorder="1" applyAlignment="1">
      <alignment horizontal="justify" vertical="center"/>
    </xf>
    <xf numFmtId="0" fontId="9" fillId="0" borderId="39" xfId="0" applyFont="1" applyBorder="1" applyAlignment="1">
      <alignment horizontal="right" vertical="center"/>
    </xf>
    <xf numFmtId="0" fontId="9" fillId="0" borderId="39" xfId="0" applyFont="1" applyBorder="1" applyAlignment="1">
      <alignment horizontal="center" vertical="center"/>
    </xf>
    <xf numFmtId="0" fontId="9" fillId="0" borderId="40" xfId="0" applyFont="1" applyBorder="1" applyAlignment="1">
      <alignment horizontal="right" vertical="center" wrapText="1"/>
    </xf>
    <xf numFmtId="0" fontId="46" fillId="5" borderId="39" xfId="0" applyFont="1" applyFill="1" applyBorder="1" applyAlignment="1">
      <alignment horizontal="right" vertical="center"/>
    </xf>
    <xf numFmtId="0" fontId="46" fillId="5" borderId="38" xfId="0" applyFont="1" applyFill="1" applyBorder="1" applyAlignment="1">
      <alignment horizontal="right" vertical="center"/>
    </xf>
    <xf numFmtId="0" fontId="9" fillId="0" borderId="0" xfId="0" applyFont="1" applyAlignment="1">
      <alignment horizontal="right"/>
    </xf>
    <xf numFmtId="0" fontId="30" fillId="0" borderId="0" xfId="0" applyFont="1"/>
    <xf numFmtId="0" fontId="20" fillId="0" borderId="0" xfId="0" applyFont="1" applyAlignment="1">
      <alignment horizontal="left" wrapText="1"/>
    </xf>
    <xf numFmtId="0" fontId="9" fillId="0" borderId="39" xfId="0" applyFont="1" applyBorder="1" applyAlignment="1">
      <alignment horizontal="center" vertical="center" wrapText="1"/>
    </xf>
    <xf numFmtId="0" fontId="21" fillId="0" borderId="0" xfId="2" applyFont="1" applyAlignment="1">
      <alignment horizontal="center" vertical="center"/>
    </xf>
    <xf numFmtId="0" fontId="9" fillId="0" borderId="25" xfId="0" applyFont="1" applyBorder="1" applyAlignment="1">
      <alignment horizontal="center" vertical="center"/>
    </xf>
    <xf numFmtId="0" fontId="9" fillId="0" borderId="37" xfId="0" applyFont="1" applyBorder="1" applyAlignment="1">
      <alignment horizontal="center" vertical="center"/>
    </xf>
    <xf numFmtId="0" fontId="34" fillId="12" borderId="27" xfId="0" applyFont="1" applyFill="1" applyBorder="1" applyAlignment="1">
      <alignment horizontal="center" vertical="center"/>
    </xf>
    <xf numFmtId="0" fontId="10" fillId="6" borderId="27" xfId="0" applyFont="1" applyFill="1" applyBorder="1" applyAlignment="1">
      <alignment vertical="center"/>
    </xf>
    <xf numFmtId="3" fontId="9" fillId="0" borderId="0" xfId="0" applyNumberFormat="1" applyFont="1" applyAlignment="1">
      <alignment vertical="center"/>
    </xf>
    <xf numFmtId="0" fontId="9" fillId="0" borderId="0" xfId="0" applyFont="1" applyAlignment="1">
      <alignment horizontal="left" vertical="center"/>
    </xf>
    <xf numFmtId="0" fontId="30" fillId="0" borderId="0" xfId="2" applyFont="1" applyAlignment="1">
      <alignment vertical="center"/>
    </xf>
    <xf numFmtId="0" fontId="34" fillId="12" borderId="27" xfId="0" applyFont="1" applyFill="1" applyBorder="1" applyAlignment="1">
      <alignment horizontal="center" wrapText="1"/>
    </xf>
    <xf numFmtId="0" fontId="29" fillId="0" borderId="0" xfId="0" applyFont="1" applyAlignment="1">
      <alignment vertical="center"/>
    </xf>
    <xf numFmtId="3" fontId="13" fillId="0" borderId="0" xfId="0" applyNumberFormat="1" applyFont="1" applyAlignment="1">
      <alignment vertical="center" wrapText="1"/>
    </xf>
    <xf numFmtId="3" fontId="13" fillId="0" borderId="27" xfId="0" applyNumberFormat="1" applyFont="1" applyBorder="1" applyAlignment="1">
      <alignment vertical="center" wrapText="1"/>
    </xf>
    <xf numFmtId="4" fontId="13" fillId="0" borderId="27" xfId="0" applyNumberFormat="1" applyFont="1" applyBorder="1" applyAlignment="1">
      <alignment horizontal="right" vertical="center" wrapText="1"/>
    </xf>
    <xf numFmtId="0" fontId="30" fillId="0" borderId="67" xfId="0" applyFont="1" applyBorder="1" applyAlignment="1">
      <alignment horizontal="left" vertical="center"/>
    </xf>
    <xf numFmtId="0" fontId="30" fillId="0" borderId="0" xfId="0" applyFont="1" applyAlignment="1">
      <alignment horizontal="left" vertical="center"/>
    </xf>
    <xf numFmtId="0" fontId="13" fillId="0" borderId="27" xfId="0" applyFont="1" applyBorder="1" applyAlignment="1">
      <alignment vertical="center" wrapText="1"/>
    </xf>
    <xf numFmtId="0" fontId="10" fillId="0" borderId="0" xfId="2" applyFont="1" applyAlignment="1">
      <alignment horizontal="left" vertical="center" wrapText="1"/>
    </xf>
    <xf numFmtId="4" fontId="9" fillId="0" borderId="27" xfId="0" applyNumberFormat="1" applyFont="1" applyBorder="1" applyAlignment="1">
      <alignment vertical="center" wrapText="1"/>
    </xf>
    <xf numFmtId="4" fontId="34" fillId="12" borderId="27" xfId="0" applyNumberFormat="1" applyFont="1" applyFill="1" applyBorder="1" applyAlignment="1">
      <alignment vertical="center" wrapText="1"/>
    </xf>
    <xf numFmtId="4" fontId="10" fillId="0" borderId="0" xfId="0" applyNumberFormat="1" applyFont="1" applyAlignment="1">
      <alignment vertical="center" wrapText="1"/>
    </xf>
    <xf numFmtId="0" fontId="42" fillId="0" borderId="0" xfId="2" applyFont="1" applyAlignment="1">
      <alignment vertical="center"/>
    </xf>
    <xf numFmtId="0" fontId="34" fillId="12" borderId="5" xfId="0" applyFont="1" applyFill="1" applyBorder="1" applyAlignment="1">
      <alignment horizontal="center" vertical="center" textRotation="90" wrapText="1"/>
    </xf>
    <xf numFmtId="0" fontId="34" fillId="12" borderId="19" xfId="0" applyFont="1" applyFill="1" applyBorder="1" applyAlignment="1">
      <alignment horizontal="center" vertical="center" textRotation="90" wrapText="1"/>
    </xf>
    <xf numFmtId="0" fontId="34" fillId="12" borderId="17" xfId="0" applyFont="1" applyFill="1" applyBorder="1" applyAlignment="1">
      <alignment horizontal="center" vertical="center" textRotation="90" wrapText="1"/>
    </xf>
    <xf numFmtId="0" fontId="42" fillId="0" borderId="0" xfId="0" applyFont="1" applyAlignment="1">
      <alignment horizontal="center" vertical="center" wrapText="1"/>
    </xf>
    <xf numFmtId="49" fontId="42" fillId="0" borderId="0" xfId="3" applyFont="1" applyAlignment="1">
      <alignment horizontal="left" vertical="center"/>
    </xf>
    <xf numFmtId="0" fontId="49" fillId="0" borderId="0" xfId="0" applyFont="1" applyAlignment="1">
      <alignment vertical="center"/>
    </xf>
    <xf numFmtId="0" fontId="9" fillId="0" borderId="6" xfId="0" applyFont="1" applyBorder="1" applyAlignment="1">
      <alignment vertical="center"/>
    </xf>
    <xf numFmtId="0" fontId="9" fillId="0" borderId="11" xfId="0" applyFont="1" applyBorder="1" applyAlignment="1">
      <alignment vertical="center"/>
    </xf>
    <xf numFmtId="0" fontId="9" fillId="0" borderId="29" xfId="0" applyFont="1" applyBorder="1" applyAlignment="1">
      <alignment vertical="center"/>
    </xf>
    <xf numFmtId="0" fontId="9" fillId="0" borderId="31" xfId="0" applyFont="1" applyBorder="1" applyAlignment="1">
      <alignment vertical="center"/>
    </xf>
    <xf numFmtId="0" fontId="9" fillId="0" borderId="30" xfId="0" applyFont="1" applyBorder="1" applyAlignment="1">
      <alignment vertical="center"/>
    </xf>
    <xf numFmtId="0" fontId="9" fillId="0" borderId="63" xfId="0" applyFont="1" applyBorder="1" applyAlignment="1">
      <alignment vertical="center"/>
    </xf>
    <xf numFmtId="49" fontId="9" fillId="0" borderId="3" xfId="0" applyNumberFormat="1" applyFont="1" applyBorder="1" applyAlignment="1">
      <alignment horizontal="left" vertical="center"/>
    </xf>
    <xf numFmtId="0" fontId="9" fillId="0" borderId="25" xfId="0" applyFont="1" applyBorder="1" applyAlignment="1">
      <alignment vertical="center"/>
    </xf>
    <xf numFmtId="0" fontId="9" fillId="0" borderId="28" xfId="0" applyFont="1" applyBorder="1" applyAlignment="1">
      <alignment vertical="center"/>
    </xf>
    <xf numFmtId="0" fontId="9" fillId="0" borderId="26" xfId="0" applyFont="1" applyBorder="1" applyAlignment="1">
      <alignment vertical="center"/>
    </xf>
    <xf numFmtId="0" fontId="9" fillId="0" borderId="33" xfId="0" applyFont="1" applyBorder="1" applyAlignment="1">
      <alignment vertical="center"/>
    </xf>
    <xf numFmtId="0" fontId="9" fillId="0" borderId="35" xfId="0" applyFont="1" applyBorder="1" applyAlignment="1">
      <alignment vertical="center"/>
    </xf>
    <xf numFmtId="0" fontId="9" fillId="0" borderId="36" xfId="0" applyFont="1" applyBorder="1" applyAlignment="1">
      <alignment vertical="center"/>
    </xf>
    <xf numFmtId="0" fontId="9" fillId="0" borderId="34" xfId="0" applyFont="1" applyBorder="1" applyAlignment="1">
      <alignment vertical="center"/>
    </xf>
    <xf numFmtId="49" fontId="9" fillId="0" borderId="7" xfId="0" applyNumberFormat="1" applyFont="1" applyBorder="1" applyAlignment="1">
      <alignment horizontal="left" vertical="center"/>
    </xf>
    <xf numFmtId="0" fontId="9" fillId="3" borderId="10" xfId="0" applyFont="1" applyFill="1" applyBorder="1" applyAlignment="1">
      <alignment horizontal="right" vertical="center"/>
    </xf>
    <xf numFmtId="0" fontId="9" fillId="3" borderId="37" xfId="0" applyFont="1" applyFill="1" applyBorder="1" applyAlignment="1">
      <alignment vertical="center"/>
    </xf>
    <xf numFmtId="0" fontId="9" fillId="3" borderId="39" xfId="0" applyFont="1" applyFill="1" applyBorder="1" applyAlignment="1">
      <alignment vertical="center"/>
    </xf>
    <xf numFmtId="0" fontId="9" fillId="3" borderId="38" xfId="0" applyFont="1" applyFill="1" applyBorder="1" applyAlignment="1">
      <alignment vertical="center"/>
    </xf>
    <xf numFmtId="0" fontId="9" fillId="3" borderId="49" xfId="0" applyFont="1" applyFill="1" applyBorder="1" applyAlignment="1">
      <alignment vertical="center"/>
    </xf>
    <xf numFmtId="0" fontId="9" fillId="0" borderId="3" xfId="0" applyFont="1" applyBorder="1" applyAlignment="1">
      <alignment vertical="center"/>
    </xf>
    <xf numFmtId="0" fontId="9" fillId="0" borderId="21" xfId="0" applyFont="1" applyBorder="1" applyAlignment="1">
      <alignment vertical="center"/>
    </xf>
    <xf numFmtId="0" fontId="9" fillId="0" borderId="22" xfId="0" applyFont="1" applyBorder="1" applyAlignment="1">
      <alignment vertical="center"/>
    </xf>
    <xf numFmtId="0" fontId="9" fillId="0" borderId="24" xfId="0" applyFont="1" applyBorder="1" applyAlignment="1">
      <alignment vertical="center"/>
    </xf>
    <xf numFmtId="0" fontId="9" fillId="0" borderId="43" xfId="0" applyFont="1" applyBorder="1" applyAlignment="1">
      <alignment vertical="center"/>
    </xf>
    <xf numFmtId="10" fontId="9" fillId="0" borderId="27" xfId="13" applyNumberFormat="1" applyFont="1" applyBorder="1" applyAlignment="1">
      <alignment vertical="center"/>
    </xf>
    <xf numFmtId="0" fontId="9" fillId="0" borderId="7" xfId="0" applyFont="1" applyBorder="1" applyAlignment="1">
      <alignment horizontal="right" vertical="center"/>
    </xf>
    <xf numFmtId="4" fontId="9" fillId="0" borderId="31" xfId="0" applyNumberFormat="1" applyFont="1" applyBorder="1" applyAlignment="1">
      <alignment vertical="center"/>
    </xf>
    <xf numFmtId="4" fontId="10" fillId="0" borderId="30" xfId="0" applyNumberFormat="1" applyFont="1" applyBorder="1" applyAlignment="1">
      <alignment vertical="center"/>
    </xf>
    <xf numFmtId="4" fontId="9" fillId="0" borderId="29" xfId="0" applyNumberFormat="1" applyFont="1" applyBorder="1" applyAlignment="1">
      <alignment vertical="center"/>
    </xf>
    <xf numFmtId="4" fontId="9" fillId="0" borderId="63" xfId="0" applyNumberFormat="1" applyFont="1" applyBorder="1" applyAlignment="1">
      <alignment vertical="center"/>
    </xf>
    <xf numFmtId="4" fontId="10" fillId="0" borderId="31" xfId="0" applyNumberFormat="1" applyFont="1" applyBorder="1" applyAlignment="1">
      <alignment vertical="center"/>
    </xf>
    <xf numFmtId="4" fontId="10" fillId="0" borderId="28" xfId="0" applyNumberFormat="1" applyFont="1" applyBorder="1" applyAlignment="1">
      <alignment vertical="center"/>
    </xf>
    <xf numFmtId="4" fontId="9" fillId="0" borderId="25" xfId="0" applyNumberFormat="1" applyFont="1" applyBorder="1" applyAlignment="1">
      <alignment vertical="center"/>
    </xf>
    <xf numFmtId="4" fontId="9" fillId="0" borderId="26" xfId="0" applyNumberFormat="1" applyFont="1" applyBorder="1" applyAlignment="1">
      <alignment vertical="center"/>
    </xf>
    <xf numFmtId="4" fontId="10" fillId="0" borderId="27" xfId="0" applyNumberFormat="1" applyFont="1" applyBorder="1" applyAlignment="1">
      <alignment vertical="center"/>
    </xf>
    <xf numFmtId="4" fontId="10" fillId="3" borderId="39" xfId="0" applyNumberFormat="1" applyFont="1" applyFill="1" applyBorder="1" applyAlignment="1">
      <alignment vertical="center"/>
    </xf>
    <xf numFmtId="4" fontId="10" fillId="3" borderId="39" xfId="0" applyNumberFormat="1" applyFont="1" applyFill="1" applyBorder="1" applyAlignment="1">
      <alignment horizontal="right" vertical="center"/>
    </xf>
    <xf numFmtId="4" fontId="9" fillId="0" borderId="30" xfId="0" applyNumberFormat="1" applyFont="1" applyBorder="1" applyAlignment="1">
      <alignment vertical="center"/>
    </xf>
    <xf numFmtId="4" fontId="9" fillId="0" borderId="28" xfId="0" applyNumberFormat="1" applyFont="1" applyBorder="1" applyAlignment="1">
      <alignment vertical="center"/>
    </xf>
    <xf numFmtId="4" fontId="9" fillId="3" borderId="39" xfId="0" applyNumberFormat="1" applyFont="1" applyFill="1" applyBorder="1" applyAlignment="1">
      <alignment vertical="center"/>
    </xf>
    <xf numFmtId="4" fontId="9" fillId="3" borderId="38" xfId="0" applyNumberFormat="1" applyFont="1" applyFill="1" applyBorder="1" applyAlignment="1">
      <alignment vertical="center"/>
    </xf>
    <xf numFmtId="4" fontId="9" fillId="3" borderId="37" xfId="0" applyNumberFormat="1" applyFont="1" applyFill="1" applyBorder="1" applyAlignment="1">
      <alignment vertical="center"/>
    </xf>
    <xf numFmtId="4" fontId="9" fillId="3" borderId="49" xfId="0" applyNumberFormat="1" applyFont="1" applyFill="1" applyBorder="1" applyAlignment="1">
      <alignment vertical="center"/>
    </xf>
    <xf numFmtId="4" fontId="10" fillId="3" borderId="38" xfId="0" applyNumberFormat="1" applyFont="1" applyFill="1" applyBorder="1" applyAlignment="1">
      <alignment vertical="center"/>
    </xf>
    <xf numFmtId="49" fontId="35" fillId="12" borderId="37" xfId="3" applyFont="1" applyFill="1" applyBorder="1" applyAlignment="1">
      <alignment horizontal="center" vertical="center" textRotation="90" wrapText="1"/>
    </xf>
    <xf numFmtId="49" fontId="35" fillId="12" borderId="39" xfId="3" applyFont="1" applyFill="1" applyBorder="1" applyAlignment="1">
      <alignment horizontal="center" vertical="center" textRotation="90" wrapText="1"/>
    </xf>
    <xf numFmtId="49" fontId="35" fillId="12" borderId="38" xfId="3" applyFont="1" applyFill="1" applyBorder="1" applyAlignment="1">
      <alignment horizontal="center" vertical="center" textRotation="90" wrapText="1"/>
    </xf>
    <xf numFmtId="49" fontId="35" fillId="12" borderId="49" xfId="3" applyFont="1" applyFill="1" applyBorder="1" applyAlignment="1">
      <alignment horizontal="center" vertical="center" textRotation="90" wrapText="1"/>
    </xf>
    <xf numFmtId="49" fontId="34" fillId="12" borderId="39" xfId="3" applyFont="1" applyFill="1" applyBorder="1" applyAlignment="1">
      <alignment horizontal="center" vertical="center" textRotation="90" wrapText="1"/>
    </xf>
    <xf numFmtId="49" fontId="34" fillId="12" borderId="38" xfId="3" applyFont="1" applyFill="1" applyBorder="1" applyAlignment="1">
      <alignment horizontal="center" vertical="center" textRotation="90" wrapText="1"/>
    </xf>
    <xf numFmtId="0" fontId="35" fillId="12" borderId="11" xfId="0" applyFont="1" applyFill="1" applyBorder="1" applyAlignment="1">
      <alignment vertical="center"/>
    </xf>
    <xf numFmtId="0" fontId="35" fillId="12" borderId="29" xfId="0" applyFont="1" applyFill="1" applyBorder="1" applyAlignment="1">
      <alignment vertical="center"/>
    </xf>
    <xf numFmtId="4" fontId="34" fillId="12" borderId="31" xfId="0" applyNumberFormat="1" applyFont="1" applyFill="1" applyBorder="1" applyAlignment="1">
      <alignment vertical="center"/>
    </xf>
    <xf numFmtId="4" fontId="34" fillId="12" borderId="30" xfId="0" applyNumberFormat="1" applyFont="1" applyFill="1" applyBorder="1" applyAlignment="1">
      <alignment vertical="center"/>
    </xf>
    <xf numFmtId="4" fontId="35" fillId="12" borderId="29" xfId="0" applyNumberFormat="1" applyFont="1" applyFill="1" applyBorder="1" applyAlignment="1">
      <alignment vertical="center"/>
    </xf>
    <xf numFmtId="4" fontId="35" fillId="12" borderId="31" xfId="0" applyNumberFormat="1" applyFont="1" applyFill="1" applyBorder="1" applyAlignment="1">
      <alignment vertical="center"/>
    </xf>
    <xf numFmtId="4" fontId="34" fillId="12" borderId="58" xfId="0" applyNumberFormat="1" applyFont="1" applyFill="1" applyBorder="1" applyAlignment="1">
      <alignment vertical="center"/>
    </xf>
    <xf numFmtId="4" fontId="35" fillId="12" borderId="63" xfId="0" applyNumberFormat="1" applyFont="1" applyFill="1" applyBorder="1" applyAlignment="1">
      <alignment vertical="center"/>
    </xf>
    <xf numFmtId="0" fontId="35" fillId="12" borderId="13" xfId="0" applyFont="1" applyFill="1" applyBorder="1" applyAlignment="1">
      <alignment vertical="center"/>
    </xf>
    <xf numFmtId="0" fontId="35" fillId="12" borderId="25" xfId="0" applyFont="1" applyFill="1" applyBorder="1" applyAlignment="1">
      <alignment vertical="center"/>
    </xf>
    <xf numFmtId="4" fontId="34" fillId="12" borderId="1" xfId="0" applyNumberFormat="1" applyFont="1" applyFill="1" applyBorder="1" applyAlignment="1">
      <alignment vertical="center"/>
    </xf>
    <xf numFmtId="4" fontId="34" fillId="12" borderId="28" xfId="0" applyNumberFormat="1" applyFont="1" applyFill="1" applyBorder="1" applyAlignment="1">
      <alignment vertical="center"/>
    </xf>
    <xf numFmtId="4" fontId="34" fillId="12" borderId="2" xfId="0" applyNumberFormat="1" applyFont="1" applyFill="1" applyBorder="1" applyAlignment="1">
      <alignment vertical="center"/>
    </xf>
    <xf numFmtId="4" fontId="34" fillId="12" borderId="66" xfId="0" applyNumberFormat="1" applyFont="1" applyFill="1" applyBorder="1" applyAlignment="1">
      <alignment vertical="center"/>
    </xf>
    <xf numFmtId="4" fontId="34" fillId="12" borderId="37" xfId="0" applyNumberFormat="1" applyFont="1" applyFill="1" applyBorder="1" applyAlignment="1">
      <alignment vertical="center"/>
    </xf>
    <xf numFmtId="4" fontId="34" fillId="12" borderId="39" xfId="0" applyNumberFormat="1" applyFont="1" applyFill="1" applyBorder="1" applyAlignment="1">
      <alignment vertical="center"/>
    </xf>
    <xf numFmtId="4" fontId="34" fillId="12" borderId="38" xfId="0" applyNumberFormat="1" applyFont="1" applyFill="1" applyBorder="1" applyAlignment="1">
      <alignment vertical="center"/>
    </xf>
    <xf numFmtId="4" fontId="34" fillId="12" borderId="49" xfId="0" applyNumberFormat="1" applyFont="1" applyFill="1" applyBorder="1" applyAlignment="1">
      <alignment vertical="center"/>
    </xf>
    <xf numFmtId="0" fontId="35" fillId="12" borderId="10" xfId="0" applyFont="1" applyFill="1" applyBorder="1" applyAlignment="1">
      <alignment horizontal="right" vertical="center"/>
    </xf>
    <xf numFmtId="0" fontId="35" fillId="12" borderId="37" xfId="0" applyFont="1" applyFill="1" applyBorder="1" applyAlignment="1">
      <alignment vertical="center"/>
    </xf>
    <xf numFmtId="4" fontId="34" fillId="12" borderId="39" xfId="0" applyNumberFormat="1" applyFont="1" applyFill="1" applyBorder="1" applyAlignment="1">
      <alignment horizontal="right" vertical="center"/>
    </xf>
    <xf numFmtId="0" fontId="34" fillId="12" borderId="61" xfId="2" applyFont="1" applyFill="1" applyBorder="1" applyAlignment="1">
      <alignment horizontal="center" vertical="center"/>
    </xf>
    <xf numFmtId="0" fontId="34" fillId="12" borderId="44" xfId="2" applyFont="1" applyFill="1" applyBorder="1" applyAlignment="1">
      <alignment horizontal="center" vertical="center" wrapText="1"/>
    </xf>
    <xf numFmtId="0" fontId="35" fillId="12" borderId="26" xfId="2" applyFont="1" applyFill="1" applyBorder="1" applyAlignment="1">
      <alignment horizontal="center" vertical="center" textRotation="90" wrapText="1"/>
    </xf>
    <xf numFmtId="0" fontId="35" fillId="12" borderId="27" xfId="2" applyFont="1" applyFill="1" applyBorder="1" applyAlignment="1">
      <alignment horizontal="center" vertical="center" textRotation="90" wrapText="1"/>
    </xf>
    <xf numFmtId="0" fontId="34" fillId="12" borderId="27" xfId="2" applyFont="1" applyFill="1" applyBorder="1" applyAlignment="1">
      <alignment horizontal="center" vertical="center" textRotation="90" wrapText="1"/>
    </xf>
    <xf numFmtId="0" fontId="34" fillId="12" borderId="1" xfId="2" applyFont="1" applyFill="1" applyBorder="1" applyAlignment="1">
      <alignment horizontal="center" vertical="center" textRotation="90" wrapText="1"/>
    </xf>
    <xf numFmtId="0" fontId="34" fillId="12" borderId="28" xfId="2" applyFont="1" applyFill="1" applyBorder="1" applyAlignment="1">
      <alignment horizontal="center" vertical="center" textRotation="90" wrapText="1"/>
    </xf>
    <xf numFmtId="0" fontId="34" fillId="12" borderId="60" xfId="2" applyFont="1" applyFill="1" applyBorder="1" applyAlignment="1">
      <alignment horizontal="center" vertical="center"/>
    </xf>
    <xf numFmtId="0" fontId="34" fillId="12" borderId="2" xfId="2" applyFont="1" applyFill="1" applyBorder="1" applyAlignment="1">
      <alignment horizontal="center" vertical="center" wrapText="1"/>
    </xf>
    <xf numFmtId="0" fontId="35" fillId="12" borderId="25" xfId="2" applyFont="1" applyFill="1" applyBorder="1" applyAlignment="1">
      <alignment horizontal="center" vertical="center" textRotation="90" wrapText="1"/>
    </xf>
    <xf numFmtId="0" fontId="35" fillId="12" borderId="34" xfId="2" applyFont="1" applyFill="1" applyBorder="1" applyAlignment="1">
      <alignment horizontal="center" vertical="center" textRotation="90" wrapText="1"/>
    </xf>
    <xf numFmtId="0" fontId="35" fillId="12" borderId="35" xfId="2" applyFont="1" applyFill="1" applyBorder="1" applyAlignment="1">
      <alignment horizontal="center" vertical="center" textRotation="90" wrapText="1"/>
    </xf>
    <xf numFmtId="0" fontId="34" fillId="12" borderId="35" xfId="2" applyFont="1" applyFill="1" applyBorder="1" applyAlignment="1">
      <alignment horizontal="center" vertical="center" textRotation="90" wrapText="1"/>
    </xf>
    <xf numFmtId="0" fontId="34" fillId="12" borderId="76" xfId="2" applyFont="1" applyFill="1" applyBorder="1" applyAlignment="1">
      <alignment horizontal="center" vertical="center" textRotation="90" wrapText="1"/>
    </xf>
    <xf numFmtId="0" fontId="34" fillId="12" borderId="36" xfId="2" applyFont="1" applyFill="1" applyBorder="1" applyAlignment="1">
      <alignment horizontal="center" vertical="center" textRotation="90" wrapText="1"/>
    </xf>
    <xf numFmtId="0" fontId="35" fillId="12" borderId="33" xfId="2" applyFont="1" applyFill="1" applyBorder="1" applyAlignment="1">
      <alignment horizontal="center" vertical="center" textRotation="90" wrapText="1"/>
    </xf>
    <xf numFmtId="0" fontId="10" fillId="5" borderId="13" xfId="2" applyFont="1" applyFill="1" applyBorder="1" applyAlignment="1">
      <alignment horizontal="center" vertical="center" wrapText="1"/>
    </xf>
    <xf numFmtId="0" fontId="9" fillId="5" borderId="0" xfId="2" applyFont="1" applyFill="1" applyAlignment="1">
      <alignment horizontal="center" vertical="center" textRotation="90" wrapText="1"/>
    </xf>
    <xf numFmtId="0" fontId="10" fillId="5" borderId="0" xfId="2" applyFont="1" applyFill="1" applyAlignment="1">
      <alignment horizontal="center" vertical="center" textRotation="90" wrapText="1"/>
    </xf>
    <xf numFmtId="0" fontId="10" fillId="5" borderId="4" xfId="2" applyFont="1" applyFill="1" applyBorder="1" applyAlignment="1">
      <alignment horizontal="center" vertical="center" textRotation="90" wrapText="1"/>
    </xf>
    <xf numFmtId="0" fontId="9" fillId="5" borderId="3" xfId="2" applyFont="1" applyFill="1" applyBorder="1" applyAlignment="1">
      <alignment horizontal="center" vertical="center" textRotation="90" wrapText="1"/>
    </xf>
    <xf numFmtId="0" fontId="10" fillId="4" borderId="44" xfId="2" applyFont="1" applyFill="1" applyBorder="1" applyAlignment="1">
      <alignment horizontal="left" vertical="center" wrapText="1"/>
    </xf>
    <xf numFmtId="0" fontId="9" fillId="0" borderId="44" xfId="2" applyFont="1" applyBorder="1" applyAlignment="1">
      <alignment horizontal="center" vertical="center"/>
    </xf>
    <xf numFmtId="0" fontId="10" fillId="4" borderId="44" xfId="2" applyFont="1" applyFill="1" applyBorder="1" applyAlignment="1">
      <alignment horizontal="center" vertical="center"/>
    </xf>
    <xf numFmtId="0" fontId="9" fillId="0" borderId="44" xfId="0" applyFont="1" applyBorder="1" applyAlignment="1" applyProtection="1">
      <alignment horizontal="center"/>
      <protection locked="0"/>
    </xf>
    <xf numFmtId="0" fontId="9" fillId="0" borderId="77" xfId="0" applyFont="1" applyBorder="1" applyAlignment="1" applyProtection="1">
      <alignment horizontal="center"/>
      <protection locked="0"/>
    </xf>
    <xf numFmtId="0" fontId="9" fillId="0" borderId="77" xfId="2" applyFont="1" applyBorder="1" applyAlignment="1">
      <alignment horizontal="center" vertical="center"/>
    </xf>
    <xf numFmtId="43" fontId="34" fillId="12" borderId="1" xfId="5" applyFont="1" applyFill="1" applyBorder="1" applyAlignment="1">
      <alignment horizontal="center" vertical="center" textRotation="90" wrapText="1"/>
    </xf>
    <xf numFmtId="43" fontId="34" fillId="12" borderId="28" xfId="5" applyFont="1" applyFill="1" applyBorder="1" applyAlignment="1">
      <alignment horizontal="center" vertical="center" textRotation="90" wrapText="1"/>
    </xf>
    <xf numFmtId="49" fontId="35" fillId="12" borderId="27" xfId="2" applyNumberFormat="1" applyFont="1" applyFill="1" applyBorder="1" applyAlignment="1">
      <alignment horizontal="center" vertical="center" textRotation="90" wrapText="1"/>
    </xf>
    <xf numFmtId="0" fontId="10" fillId="0" borderId="13" xfId="2" applyFont="1" applyBorder="1" applyAlignment="1">
      <alignment horizontal="center" vertical="center" wrapText="1"/>
    </xf>
    <xf numFmtId="0" fontId="10" fillId="5" borderId="61" xfId="2" applyFont="1" applyFill="1" applyBorder="1" applyAlignment="1">
      <alignment horizontal="center" vertical="center"/>
    </xf>
    <xf numFmtId="0" fontId="10" fillId="5" borderId="44" xfId="2" applyFont="1" applyFill="1" applyBorder="1" applyAlignment="1">
      <alignment horizontal="center" vertical="center" wrapText="1"/>
    </xf>
    <xf numFmtId="0" fontId="9" fillId="5" borderId="26" xfId="2" applyFont="1" applyFill="1" applyBorder="1" applyAlignment="1">
      <alignment horizontal="center" vertical="center" textRotation="90" wrapText="1"/>
    </xf>
    <xf numFmtId="0" fontId="9" fillId="5" borderId="27" xfId="2" applyFont="1" applyFill="1" applyBorder="1" applyAlignment="1">
      <alignment horizontal="center" vertical="center" textRotation="90" wrapText="1"/>
    </xf>
    <xf numFmtId="0" fontId="10" fillId="5" borderId="27" xfId="2" applyFont="1" applyFill="1" applyBorder="1" applyAlignment="1">
      <alignment horizontal="center" vertical="center" textRotation="90" wrapText="1"/>
    </xf>
    <xf numFmtId="0" fontId="10" fillId="5" borderId="1" xfId="2" applyFont="1" applyFill="1" applyBorder="1" applyAlignment="1">
      <alignment horizontal="center" vertical="center" textRotation="90" wrapText="1"/>
    </xf>
    <xf numFmtId="0" fontId="10" fillId="5" borderId="28" xfId="2" applyFont="1" applyFill="1" applyBorder="1" applyAlignment="1">
      <alignment horizontal="center" vertical="center" textRotation="90" wrapText="1"/>
    </xf>
    <xf numFmtId="0" fontId="35" fillId="12" borderId="26" xfId="2" applyFont="1" applyFill="1" applyBorder="1" applyAlignment="1">
      <alignment horizontal="center" vertical="center" wrapText="1"/>
    </xf>
    <xf numFmtId="0" fontId="35" fillId="12" borderId="27" xfId="2" applyFont="1" applyFill="1" applyBorder="1" applyAlignment="1">
      <alignment horizontal="center" vertical="center" wrapText="1"/>
    </xf>
    <xf numFmtId="4" fontId="34" fillId="12" borderId="28" xfId="2" applyNumberFormat="1" applyFont="1" applyFill="1" applyBorder="1" applyAlignment="1">
      <alignment horizontal="center" vertical="center" textRotation="90" wrapText="1"/>
    </xf>
    <xf numFmtId="4" fontId="20" fillId="13" borderId="79" xfId="0" applyNumberFormat="1" applyFont="1" applyFill="1" applyBorder="1"/>
    <xf numFmtId="2" fontId="9" fillId="0" borderId="0" xfId="0" applyNumberFormat="1" applyFont="1"/>
    <xf numFmtId="4" fontId="51" fillId="0" borderId="27" xfId="5" applyNumberFormat="1" applyFont="1" applyBorder="1" applyAlignment="1">
      <alignment horizontal="right" vertical="center"/>
    </xf>
    <xf numFmtId="4" fontId="21" fillId="13" borderId="80" xfId="0" applyNumberFormat="1" applyFont="1" applyFill="1" applyBorder="1" applyAlignment="1">
      <alignment vertical="center"/>
    </xf>
    <xf numFmtId="0" fontId="34" fillId="12" borderId="27" xfId="0" applyFont="1" applyFill="1" applyBorder="1" applyAlignment="1">
      <alignment horizontal="center" vertical="center" textRotation="90" wrapText="1"/>
    </xf>
    <xf numFmtId="4" fontId="34" fillId="12" borderId="27" xfId="0" applyNumberFormat="1" applyFont="1" applyFill="1" applyBorder="1" applyAlignment="1">
      <alignment horizontal="center" vertical="center" textRotation="90" wrapText="1"/>
    </xf>
    <xf numFmtId="0" fontId="35" fillId="12" borderId="27" xfId="0" applyFont="1" applyFill="1" applyBorder="1"/>
    <xf numFmtId="0" fontId="9" fillId="0" borderId="27" xfId="0" applyFont="1" applyBorder="1" applyAlignment="1">
      <alignment horizontal="left"/>
    </xf>
    <xf numFmtId="0" fontId="34" fillId="12" borderId="27" xfId="4" applyFont="1" applyFill="1" applyBorder="1" applyAlignment="1">
      <alignment horizontal="center" vertical="center" wrapText="1"/>
    </xf>
    <xf numFmtId="0" fontId="34" fillId="12" borderId="27" xfId="4" applyFont="1" applyFill="1" applyBorder="1" applyAlignment="1">
      <alignment horizontal="center" vertical="center" textRotation="90" wrapText="1"/>
    </xf>
    <xf numFmtId="4" fontId="34" fillId="12" borderId="27" xfId="4" applyNumberFormat="1" applyFont="1" applyFill="1" applyBorder="1" applyAlignment="1">
      <alignment horizontal="center" vertical="center" textRotation="90" wrapText="1"/>
    </xf>
    <xf numFmtId="4" fontId="34" fillId="12" borderId="27" xfId="0" applyNumberFormat="1" applyFont="1" applyFill="1" applyBorder="1" applyAlignment="1">
      <alignment horizontal="right" vertical="center" textRotation="90" wrapText="1"/>
    </xf>
    <xf numFmtId="4" fontId="34" fillId="12" borderId="27" xfId="0" applyNumberFormat="1" applyFont="1" applyFill="1" applyBorder="1" applyAlignment="1">
      <alignment horizontal="center" vertical="center" wrapText="1"/>
    </xf>
    <xf numFmtId="4" fontId="34" fillId="12" borderId="27" xfId="5" applyNumberFormat="1" applyFont="1" applyFill="1" applyBorder="1" applyAlignment="1">
      <alignment horizontal="center" vertical="center" textRotation="90" wrapText="1"/>
    </xf>
    <xf numFmtId="0" fontId="34" fillId="12" borderId="27" xfId="2" applyFont="1" applyFill="1" applyBorder="1" applyAlignment="1">
      <alignment horizontal="center" vertical="center"/>
    </xf>
    <xf numFmtId="0" fontId="10" fillId="5" borderId="0" xfId="2" applyFont="1" applyFill="1" applyAlignment="1">
      <alignment vertical="center" wrapText="1"/>
    </xf>
    <xf numFmtId="0" fontId="34" fillId="12" borderId="27" xfId="0" applyFont="1" applyFill="1" applyBorder="1" applyAlignment="1">
      <alignment wrapText="1"/>
    </xf>
    <xf numFmtId="0" fontId="9" fillId="0" borderId="27" xfId="0" applyFont="1" applyBorder="1" applyAlignment="1">
      <alignment horizontal="left" wrapText="1"/>
    </xf>
    <xf numFmtId="0" fontId="10" fillId="0" borderId="27" xfId="0" applyFont="1" applyBorder="1" applyAlignment="1">
      <alignment horizontal="left" wrapText="1"/>
    </xf>
    <xf numFmtId="0" fontId="34" fillId="12" borderId="27" xfId="0" applyFont="1" applyFill="1" applyBorder="1" applyAlignment="1">
      <alignment horizontal="left" wrapText="1"/>
    </xf>
    <xf numFmtId="0" fontId="31" fillId="0" borderId="27" xfId="16" applyFont="1" applyBorder="1" applyAlignment="1">
      <alignment horizontal="left" wrapText="1"/>
    </xf>
    <xf numFmtId="0" fontId="9" fillId="0" borderId="27" xfId="4" applyFont="1" applyBorder="1" applyAlignment="1">
      <alignment wrapText="1"/>
    </xf>
    <xf numFmtId="0" fontId="36" fillId="0" borderId="27" xfId="7" applyFont="1" applyBorder="1" applyAlignment="1">
      <alignment horizontal="left" wrapText="1"/>
    </xf>
    <xf numFmtId="0" fontId="31" fillId="0" borderId="27" xfId="7" applyFont="1" applyBorder="1" applyAlignment="1">
      <alignment horizontal="left" wrapText="1"/>
    </xf>
    <xf numFmtId="0" fontId="9" fillId="0" borderId="27" xfId="0" applyFont="1" applyBorder="1" applyAlignment="1">
      <alignment horizontal="center" wrapText="1"/>
    </xf>
    <xf numFmtId="0" fontId="35" fillId="12" borderId="27" xfId="0" applyFont="1" applyFill="1" applyBorder="1" applyAlignment="1">
      <alignment wrapText="1"/>
    </xf>
    <xf numFmtId="0" fontId="9" fillId="0" borderId="27" xfId="2" applyFont="1" applyBorder="1" applyAlignment="1">
      <alignment horizontal="center" vertical="center" wrapText="1"/>
    </xf>
    <xf numFmtId="0" fontId="9" fillId="5" borderId="27" xfId="0" applyFont="1" applyFill="1" applyBorder="1" applyAlignment="1">
      <alignment wrapText="1"/>
    </xf>
    <xf numFmtId="0" fontId="9" fillId="5" borderId="27" xfId="2" applyFont="1" applyFill="1" applyBorder="1" applyAlignment="1">
      <alignment horizontal="left" vertical="center" wrapText="1"/>
    </xf>
    <xf numFmtId="0" fontId="10" fillId="5" borderId="27" xfId="0" applyFont="1" applyFill="1" applyBorder="1" applyAlignment="1">
      <alignment horizontal="center" wrapText="1"/>
    </xf>
    <xf numFmtId="0" fontId="9" fillId="5" borderId="27" xfId="2" applyFont="1" applyFill="1" applyBorder="1" applyAlignment="1">
      <alignment horizontal="center" vertical="center" wrapText="1"/>
    </xf>
    <xf numFmtId="0" fontId="9" fillId="5" borderId="27" xfId="0" applyFont="1" applyFill="1" applyBorder="1" applyAlignment="1">
      <alignment horizontal="center" wrapText="1"/>
    </xf>
    <xf numFmtId="0" fontId="34" fillId="12" borderId="27" xfId="4" applyFont="1" applyFill="1" applyBorder="1" applyAlignment="1">
      <alignment horizontal="center" wrapText="1"/>
    </xf>
    <xf numFmtId="0" fontId="9" fillId="0" borderId="27" xfId="4" applyFont="1" applyBorder="1" applyAlignment="1">
      <alignment horizontal="center" wrapText="1"/>
    </xf>
    <xf numFmtId="0" fontId="10" fillId="4" borderId="27" xfId="2" applyFont="1" applyFill="1" applyBorder="1" applyAlignment="1">
      <alignment horizontal="center" vertical="center" wrapText="1"/>
    </xf>
    <xf numFmtId="0" fontId="9" fillId="4" borderId="27" xfId="0" applyFont="1" applyFill="1" applyBorder="1" applyAlignment="1">
      <alignment horizontal="center" wrapText="1"/>
    </xf>
    <xf numFmtId="0" fontId="33" fillId="5" borderId="27" xfId="0" applyFont="1" applyFill="1" applyBorder="1" applyAlignment="1">
      <alignment horizontal="center" wrapText="1"/>
    </xf>
    <xf numFmtId="0" fontId="10" fillId="0" borderId="27" xfId="0" applyFont="1" applyBorder="1" applyAlignment="1">
      <alignment horizontal="center" wrapText="1"/>
    </xf>
    <xf numFmtId="0" fontId="34" fillId="12" borderId="27" xfId="2" applyFont="1" applyFill="1" applyBorder="1" applyAlignment="1">
      <alignment horizontal="center" vertical="center" wrapText="1"/>
    </xf>
    <xf numFmtId="0" fontId="9" fillId="5" borderId="0" xfId="0" applyFont="1" applyFill="1" applyAlignment="1">
      <alignment wrapText="1"/>
    </xf>
    <xf numFmtId="4" fontId="10" fillId="5" borderId="0" xfId="2" applyNumberFormat="1" applyFont="1" applyFill="1" applyAlignment="1">
      <alignment vertical="center" wrapText="1"/>
    </xf>
    <xf numFmtId="4" fontId="9" fillId="5" borderId="0" xfId="0" applyNumberFormat="1" applyFont="1" applyFill="1" applyAlignment="1">
      <alignment wrapText="1"/>
    </xf>
    <xf numFmtId="0" fontId="9" fillId="5" borderId="0" xfId="0" applyFont="1" applyFill="1" applyAlignment="1">
      <alignment horizontal="center" wrapText="1"/>
    </xf>
    <xf numFmtId="0" fontId="10" fillId="5" borderId="0" xfId="2" applyFont="1" applyFill="1" applyAlignment="1">
      <alignment horizontal="center" vertical="center" wrapText="1"/>
    </xf>
    <xf numFmtId="4" fontId="34" fillId="12" borderId="27" xfId="0" applyNumberFormat="1" applyFont="1" applyFill="1" applyBorder="1" applyAlignment="1">
      <alignment wrapText="1"/>
    </xf>
    <xf numFmtId="0" fontId="10" fillId="5" borderId="0" xfId="0" applyFont="1" applyFill="1" applyAlignment="1">
      <alignment wrapText="1"/>
    </xf>
    <xf numFmtId="4" fontId="34" fillId="12" borderId="27" xfId="0" applyNumberFormat="1" applyFont="1" applyFill="1" applyBorder="1" applyAlignment="1">
      <alignment horizontal="center" wrapText="1"/>
    </xf>
    <xf numFmtId="4" fontId="34" fillId="12" borderId="27" xfId="0" quotePrefix="1" applyNumberFormat="1" applyFont="1" applyFill="1" applyBorder="1" applyAlignment="1">
      <alignment horizontal="center" wrapText="1"/>
    </xf>
    <xf numFmtId="4" fontId="9" fillId="0" borderId="27" xfId="0" applyNumberFormat="1" applyFont="1" applyBorder="1" applyAlignment="1">
      <alignment wrapText="1"/>
    </xf>
    <xf numFmtId="4" fontId="9" fillId="0" borderId="27" xfId="0" applyNumberFormat="1" applyFont="1" applyBorder="1" applyAlignment="1">
      <alignment horizontal="center" wrapText="1"/>
    </xf>
    <xf numFmtId="4" fontId="9" fillId="0" borderId="27" xfId="0" applyNumberFormat="1" applyFont="1" applyBorder="1" applyAlignment="1">
      <alignment horizontal="right" wrapText="1"/>
    </xf>
    <xf numFmtId="4" fontId="20" fillId="0" borderId="27" xfId="5" applyNumberFormat="1" applyFont="1" applyFill="1" applyBorder="1" applyAlignment="1">
      <alignment horizontal="right" vertical="center" wrapText="1"/>
    </xf>
    <xf numFmtId="4" fontId="20" fillId="0" borderId="27" xfId="5" applyNumberFormat="1" applyFont="1" applyFill="1" applyBorder="1" applyAlignment="1">
      <alignment horizontal="right" wrapText="1"/>
    </xf>
    <xf numFmtId="4" fontId="35" fillId="12" borderId="27" xfId="0" applyNumberFormat="1" applyFont="1" applyFill="1" applyBorder="1" applyAlignment="1">
      <alignment horizontal="center" wrapText="1"/>
    </xf>
    <xf numFmtId="4" fontId="35" fillId="12" borderId="27" xfId="0" applyNumberFormat="1" applyFont="1" applyFill="1" applyBorder="1" applyAlignment="1">
      <alignment horizontal="right" wrapText="1"/>
    </xf>
    <xf numFmtId="4" fontId="35" fillId="12" borderId="27" xfId="0" applyNumberFormat="1" applyFont="1" applyFill="1" applyBorder="1" applyAlignment="1">
      <alignment wrapText="1"/>
    </xf>
    <xf numFmtId="0" fontId="35" fillId="12" borderId="27" xfId="0" applyFont="1" applyFill="1" applyBorder="1" applyAlignment="1">
      <alignment horizontal="center" wrapText="1"/>
    </xf>
    <xf numFmtId="4" fontId="10" fillId="0" borderId="27" xfId="0" applyNumberFormat="1" applyFont="1" applyBorder="1" applyAlignment="1">
      <alignment wrapText="1"/>
    </xf>
    <xf numFmtId="3" fontId="10" fillId="0" borderId="27" xfId="0" applyNumberFormat="1" applyFont="1" applyBorder="1" applyAlignment="1">
      <alignment horizontal="center" wrapText="1"/>
    </xf>
    <xf numFmtId="4" fontId="9" fillId="0" borderId="27" xfId="5" applyNumberFormat="1" applyFont="1" applyBorder="1" applyAlignment="1">
      <alignment wrapText="1"/>
    </xf>
    <xf numFmtId="4" fontId="35" fillId="12" borderId="27" xfId="5" applyNumberFormat="1" applyFont="1" applyFill="1" applyBorder="1" applyAlignment="1">
      <alignment wrapText="1"/>
    </xf>
    <xf numFmtId="4" fontId="9" fillId="0" borderId="0" xfId="0" applyNumberFormat="1" applyFont="1" applyAlignment="1">
      <alignment horizontal="center" wrapText="1"/>
    </xf>
    <xf numFmtId="4" fontId="9" fillId="0" borderId="0" xfId="0" applyNumberFormat="1" applyFont="1" applyAlignment="1">
      <alignment horizontal="right" wrapText="1"/>
    </xf>
    <xf numFmtId="4" fontId="9" fillId="0" borderId="0" xfId="0" applyNumberFormat="1" applyFont="1" applyAlignment="1">
      <alignment wrapText="1"/>
    </xf>
    <xf numFmtId="0" fontId="31" fillId="0" borderId="27" xfId="16" applyFont="1" applyBorder="1" applyAlignment="1">
      <alignment horizontal="center" wrapText="1"/>
    </xf>
    <xf numFmtId="4" fontId="31" fillId="0" borderId="27" xfId="16" applyNumberFormat="1" applyFont="1" applyBorder="1" applyAlignment="1">
      <alignment wrapText="1"/>
    </xf>
    <xf numFmtId="4" fontId="36" fillId="0" borderId="27" xfId="16" applyNumberFormat="1" applyFont="1" applyBorder="1" applyAlignment="1">
      <alignment wrapText="1"/>
    </xf>
    <xf numFmtId="4" fontId="9" fillId="0" borderId="27" xfId="4" applyNumberFormat="1" applyFont="1" applyBorder="1" applyAlignment="1">
      <alignment wrapText="1"/>
    </xf>
    <xf numFmtId="0" fontId="31" fillId="0" borderId="27" xfId="7" applyFont="1" applyBorder="1" applyAlignment="1">
      <alignment horizontal="center" wrapText="1"/>
    </xf>
    <xf numFmtId="4" fontId="36" fillId="0" borderId="27" xfId="7" applyNumberFormat="1" applyFont="1" applyBorder="1" applyAlignment="1">
      <alignment wrapText="1"/>
    </xf>
    <xf numFmtId="4" fontId="31" fillId="0" borderId="27" xfId="7" applyNumberFormat="1" applyFont="1" applyBorder="1" applyAlignment="1">
      <alignment wrapText="1"/>
    </xf>
    <xf numFmtId="43" fontId="9" fillId="0" borderId="27" xfId="5" applyFont="1" applyBorder="1" applyAlignment="1">
      <alignment wrapText="1"/>
    </xf>
    <xf numFmtId="43" fontId="9" fillId="0" borderId="27" xfId="5" applyFont="1" applyBorder="1" applyAlignment="1">
      <alignment horizontal="center" wrapText="1"/>
    </xf>
    <xf numFmtId="3" fontId="34" fillId="12" borderId="27" xfId="0" applyNumberFormat="1" applyFont="1" applyFill="1" applyBorder="1" applyAlignment="1">
      <alignment horizontal="center" vertical="center" wrapText="1"/>
    </xf>
    <xf numFmtId="4" fontId="34" fillId="12" borderId="27" xfId="5" applyNumberFormat="1" applyFont="1" applyFill="1" applyBorder="1" applyAlignment="1">
      <alignment horizontal="center" vertical="center" wrapText="1"/>
    </xf>
    <xf numFmtId="43" fontId="34" fillId="12" borderId="27" xfId="5" applyFont="1" applyFill="1" applyBorder="1" applyAlignment="1">
      <alignment horizontal="center" vertical="center" wrapText="1"/>
    </xf>
    <xf numFmtId="171" fontId="9" fillId="0" borderId="27" xfId="0" applyNumberFormat="1" applyFont="1" applyBorder="1" applyAlignment="1">
      <alignment horizontal="center" wrapText="1"/>
    </xf>
    <xf numFmtId="4" fontId="34" fillId="12" borderId="27" xfId="5" applyNumberFormat="1" applyFont="1" applyFill="1" applyBorder="1" applyAlignment="1">
      <alignment wrapText="1"/>
    </xf>
    <xf numFmtId="43" fontId="34" fillId="12" borderId="27" xfId="5" applyFont="1" applyFill="1" applyBorder="1" applyAlignment="1">
      <alignment wrapText="1"/>
    </xf>
    <xf numFmtId="43" fontId="34" fillId="12" borderId="27" xfId="5" applyFont="1" applyFill="1" applyBorder="1" applyAlignment="1">
      <alignment horizontal="center" wrapText="1"/>
    </xf>
    <xf numFmtId="4" fontId="33" fillId="5" borderId="27" xfId="0" applyNumberFormat="1" applyFont="1" applyFill="1" applyBorder="1" applyAlignment="1">
      <alignment wrapText="1"/>
    </xf>
    <xf numFmtId="171" fontId="35" fillId="12" borderId="27" xfId="0" applyNumberFormat="1" applyFont="1" applyFill="1" applyBorder="1" applyAlignment="1">
      <alignment horizontal="center" wrapText="1"/>
    </xf>
    <xf numFmtId="4" fontId="9" fillId="5" borderId="27" xfId="0" applyNumberFormat="1" applyFont="1" applyFill="1" applyBorder="1" applyAlignment="1">
      <alignment wrapText="1"/>
    </xf>
    <xf numFmtId="4" fontId="20" fillId="5" borderId="27" xfId="16" applyNumberFormat="1" applyFont="1" applyFill="1" applyBorder="1" applyAlignment="1">
      <alignment horizontal="right" wrapText="1"/>
    </xf>
    <xf numFmtId="4" fontId="20" fillId="5" borderId="27" xfId="0" applyNumberFormat="1" applyFont="1" applyFill="1" applyBorder="1" applyAlignment="1">
      <alignment wrapText="1"/>
    </xf>
    <xf numFmtId="4" fontId="10" fillId="5" borderId="27" xfId="0" applyNumberFormat="1" applyFont="1" applyFill="1" applyBorder="1" applyAlignment="1">
      <alignment wrapText="1"/>
    </xf>
    <xf numFmtId="0" fontId="10" fillId="5" borderId="27" xfId="0" applyFont="1" applyFill="1" applyBorder="1" applyAlignment="1">
      <alignment horizontal="right" wrapText="1"/>
    </xf>
    <xf numFmtId="170" fontId="10" fillId="5" borderId="27" xfId="0" applyNumberFormat="1" applyFont="1" applyFill="1" applyBorder="1" applyAlignment="1">
      <alignment horizontal="center" wrapText="1"/>
    </xf>
    <xf numFmtId="0" fontId="9" fillId="5" borderId="27" xfId="0" applyFont="1" applyFill="1" applyBorder="1" applyAlignment="1">
      <alignment horizontal="right" wrapText="1"/>
    </xf>
    <xf numFmtId="4" fontId="9" fillId="5" borderId="27" xfId="0" applyNumberFormat="1" applyFont="1" applyFill="1" applyBorder="1" applyAlignment="1">
      <alignment horizontal="center" wrapText="1"/>
    </xf>
    <xf numFmtId="4" fontId="9" fillId="5" borderId="27" xfId="0" applyNumberFormat="1" applyFont="1" applyFill="1" applyBorder="1" applyAlignment="1" applyProtection="1">
      <alignment wrapText="1"/>
      <protection locked="0"/>
    </xf>
    <xf numFmtId="4" fontId="37" fillId="5" borderId="27" xfId="0" applyNumberFormat="1" applyFont="1" applyFill="1" applyBorder="1" applyAlignment="1" applyProtection="1">
      <alignment wrapText="1"/>
      <protection locked="0"/>
    </xf>
    <xf numFmtId="3" fontId="9" fillId="5" borderId="27" xfId="0" applyNumberFormat="1" applyFont="1" applyFill="1" applyBorder="1" applyAlignment="1">
      <alignment horizontal="center" wrapText="1"/>
    </xf>
    <xf numFmtId="3" fontId="9" fillId="5" borderId="27" xfId="0" applyNumberFormat="1" applyFont="1" applyFill="1" applyBorder="1" applyAlignment="1">
      <alignment wrapText="1"/>
    </xf>
    <xf numFmtId="4" fontId="9" fillId="5" borderId="27" xfId="0" applyNumberFormat="1" applyFont="1" applyFill="1" applyBorder="1" applyAlignment="1">
      <alignment horizontal="right" wrapText="1"/>
    </xf>
    <xf numFmtId="170" fontId="9" fillId="5" borderId="27" xfId="0" applyNumberFormat="1" applyFont="1" applyFill="1" applyBorder="1" applyAlignment="1">
      <alignment horizontal="center" wrapText="1"/>
    </xf>
    <xf numFmtId="170" fontId="9" fillId="5" borderId="27" xfId="0" applyNumberFormat="1" applyFont="1" applyFill="1" applyBorder="1" applyAlignment="1">
      <alignment wrapText="1"/>
    </xf>
    <xf numFmtId="4" fontId="9" fillId="4" borderId="27" xfId="0" applyNumberFormat="1" applyFont="1" applyFill="1" applyBorder="1" applyAlignment="1">
      <alignment wrapText="1"/>
    </xf>
    <xf numFmtId="0" fontId="9" fillId="4" borderId="27" xfId="0" applyFont="1" applyFill="1" applyBorder="1" applyAlignment="1">
      <alignment wrapText="1"/>
    </xf>
    <xf numFmtId="4" fontId="9" fillId="4" borderId="27" xfId="0" applyNumberFormat="1" applyFont="1" applyFill="1" applyBorder="1" applyAlignment="1">
      <alignment horizontal="center" wrapText="1"/>
    </xf>
    <xf numFmtId="3" fontId="35" fillId="12" borderId="27" xfId="0" applyNumberFormat="1" applyFont="1" applyFill="1" applyBorder="1" applyAlignment="1">
      <alignment horizontal="center" wrapText="1"/>
    </xf>
    <xf numFmtId="3" fontId="35" fillId="12" borderId="27" xfId="0" applyNumberFormat="1" applyFont="1" applyFill="1" applyBorder="1" applyAlignment="1">
      <alignment wrapText="1"/>
    </xf>
    <xf numFmtId="4" fontId="34" fillId="12" borderId="27" xfId="4" applyNumberFormat="1" applyFont="1" applyFill="1" applyBorder="1" applyAlignment="1">
      <alignment wrapText="1"/>
    </xf>
    <xf numFmtId="0" fontId="34" fillId="12" borderId="27" xfId="4" applyFont="1" applyFill="1" applyBorder="1" applyAlignment="1">
      <alignment wrapText="1"/>
    </xf>
    <xf numFmtId="4" fontId="35" fillId="12" borderId="27" xfId="4" applyNumberFormat="1" applyFont="1" applyFill="1" applyBorder="1" applyAlignment="1">
      <alignment wrapText="1"/>
    </xf>
    <xf numFmtId="0" fontId="35" fillId="12" borderId="27" xfId="4" applyFont="1" applyFill="1" applyBorder="1" applyAlignment="1">
      <alignment horizontal="center" wrapText="1"/>
    </xf>
    <xf numFmtId="4" fontId="34" fillId="12" borderId="27" xfId="4" applyNumberFormat="1" applyFont="1" applyFill="1" applyBorder="1" applyAlignment="1">
      <alignment horizontal="center" wrapText="1"/>
    </xf>
    <xf numFmtId="4" fontId="34" fillId="12" borderId="27" xfId="4" quotePrefix="1" applyNumberFormat="1" applyFont="1" applyFill="1" applyBorder="1" applyAlignment="1">
      <alignment horizontal="center" wrapText="1"/>
    </xf>
    <xf numFmtId="1" fontId="10" fillId="0" borderId="27" xfId="2" applyNumberFormat="1" applyFont="1" applyBorder="1" applyAlignment="1">
      <alignment horizontal="center" vertical="center" wrapText="1"/>
    </xf>
    <xf numFmtId="1" fontId="9" fillId="0" borderId="27" xfId="2" applyNumberFormat="1" applyFont="1" applyBorder="1" applyAlignment="1">
      <alignment horizontal="center" vertical="center" wrapText="1"/>
    </xf>
    <xf numFmtId="3" fontId="9" fillId="0" borderId="27" xfId="4" applyNumberFormat="1" applyFont="1" applyBorder="1" applyAlignment="1">
      <alignment horizontal="center" wrapText="1"/>
    </xf>
    <xf numFmtId="1" fontId="9" fillId="0" borderId="27" xfId="4" applyNumberFormat="1" applyFont="1" applyBorder="1" applyAlignment="1">
      <alignment horizontal="center" wrapText="1"/>
    </xf>
    <xf numFmtId="1" fontId="10" fillId="0" borderId="27" xfId="4" applyNumberFormat="1" applyFont="1" applyBorder="1" applyAlignment="1">
      <alignment horizontal="center" wrapText="1"/>
    </xf>
    <xf numFmtId="1" fontId="34" fillId="12" borderId="27" xfId="4" applyNumberFormat="1" applyFont="1" applyFill="1" applyBorder="1" applyAlignment="1">
      <alignment horizontal="center" wrapText="1"/>
    </xf>
    <xf numFmtId="4" fontId="34" fillId="12" borderId="27" xfId="4" applyNumberFormat="1" applyFont="1" applyFill="1" applyBorder="1" applyAlignment="1">
      <alignment horizontal="right" wrapText="1"/>
    </xf>
    <xf numFmtId="4" fontId="34" fillId="12" borderId="27" xfId="0" quotePrefix="1" applyNumberFormat="1" applyFont="1" applyFill="1" applyBorder="1" applyAlignment="1">
      <alignment horizontal="right" wrapText="1"/>
    </xf>
    <xf numFmtId="4" fontId="9" fillId="0" borderId="27" xfId="10" applyNumberFormat="1" applyFont="1" applyBorder="1" applyAlignment="1">
      <alignment wrapText="1"/>
    </xf>
    <xf numFmtId="4" fontId="9" fillId="0" borderId="27" xfId="5" applyNumberFormat="1" applyFont="1" applyBorder="1" applyAlignment="1">
      <alignment vertical="center" wrapText="1"/>
    </xf>
    <xf numFmtId="4" fontId="9" fillId="0" borderId="27" xfId="2" applyNumberFormat="1" applyFont="1" applyBorder="1" applyAlignment="1">
      <alignment horizontal="center" vertical="center" wrapText="1"/>
    </xf>
    <xf numFmtId="0" fontId="9" fillId="0" borderId="27" xfId="2" applyFont="1" applyBorder="1" applyAlignment="1">
      <alignment vertical="center" wrapText="1"/>
    </xf>
    <xf numFmtId="4" fontId="9" fillId="5" borderId="27" xfId="10" applyNumberFormat="1" applyFont="1" applyFill="1" applyBorder="1" applyAlignment="1">
      <alignment wrapText="1"/>
    </xf>
    <xf numFmtId="4" fontId="9" fillId="4" borderId="27" xfId="10" applyNumberFormat="1" applyFont="1" applyFill="1" applyBorder="1" applyAlignment="1">
      <alignment wrapText="1"/>
    </xf>
    <xf numFmtId="4" fontId="10" fillId="4" borderId="27" xfId="5" applyNumberFormat="1" applyFont="1" applyFill="1" applyBorder="1" applyAlignment="1">
      <alignment vertical="center" wrapText="1"/>
    </xf>
    <xf numFmtId="4" fontId="10" fillId="4" borderId="27" xfId="2" applyNumberFormat="1" applyFont="1" applyFill="1" applyBorder="1" applyAlignment="1">
      <alignment horizontal="center" vertical="center" wrapText="1"/>
    </xf>
    <xf numFmtId="0" fontId="10" fillId="4" borderId="27" xfId="2" applyFont="1" applyFill="1" applyBorder="1" applyAlignment="1">
      <alignment vertical="center" wrapText="1"/>
    </xf>
    <xf numFmtId="0" fontId="10" fillId="2" borderId="27" xfId="2" applyFont="1" applyFill="1" applyBorder="1" applyAlignment="1">
      <alignment horizontal="center" vertical="center" wrapText="1"/>
    </xf>
    <xf numFmtId="4" fontId="9" fillId="0" borderId="27" xfId="5" applyNumberFormat="1" applyFont="1" applyFill="1" applyBorder="1" applyAlignment="1">
      <alignment vertical="center" wrapText="1"/>
    </xf>
    <xf numFmtId="0" fontId="9" fillId="4" borderId="27" xfId="2" applyFont="1" applyFill="1" applyBorder="1" applyAlignment="1">
      <alignment horizontal="center" vertical="center" wrapText="1"/>
    </xf>
    <xf numFmtId="4" fontId="9" fillId="4" borderId="27" xfId="5" applyNumberFormat="1" applyFont="1" applyFill="1" applyBorder="1" applyAlignment="1">
      <alignment vertical="center" wrapText="1"/>
    </xf>
    <xf numFmtId="4" fontId="9" fillId="4" borderId="27" xfId="2" applyNumberFormat="1" applyFont="1" applyFill="1" applyBorder="1" applyAlignment="1">
      <alignment horizontal="center" vertical="center" wrapText="1"/>
    </xf>
    <xf numFmtId="0" fontId="9" fillId="4" borderId="27" xfId="2" applyFont="1" applyFill="1" applyBorder="1" applyAlignment="1">
      <alignment vertical="center" wrapText="1"/>
    </xf>
    <xf numFmtId="43" fontId="9" fillId="0" borderId="27" xfId="5" applyFont="1" applyBorder="1" applyAlignment="1">
      <alignment horizontal="center" vertical="center" wrapText="1"/>
    </xf>
    <xf numFmtId="0" fontId="9" fillId="14" borderId="27" xfId="0" applyFont="1" applyFill="1" applyBorder="1" applyAlignment="1">
      <alignment horizontal="center" wrapText="1"/>
    </xf>
    <xf numFmtId="4" fontId="9" fillId="14" borderId="27" xfId="0" applyNumberFormat="1" applyFont="1" applyFill="1" applyBorder="1" applyAlignment="1">
      <alignment horizontal="center" wrapText="1"/>
    </xf>
    <xf numFmtId="4" fontId="9" fillId="14" borderId="27" xfId="0" applyNumberFormat="1" applyFont="1" applyFill="1" applyBorder="1" applyAlignment="1">
      <alignment wrapText="1"/>
    </xf>
    <xf numFmtId="0" fontId="9" fillId="14" borderId="27" xfId="0" applyFont="1" applyFill="1" applyBorder="1" applyAlignment="1">
      <alignment horizontal="center" vertical="center" wrapText="1"/>
    </xf>
    <xf numFmtId="0" fontId="9" fillId="4" borderId="27" xfId="0" applyFont="1" applyFill="1" applyBorder="1" applyAlignment="1">
      <alignment horizontal="center" vertical="center" wrapText="1"/>
    </xf>
    <xf numFmtId="175" fontId="9" fillId="0" borderId="27" xfId="0" applyNumberFormat="1" applyFont="1" applyBorder="1" applyAlignment="1">
      <alignment horizontal="center" wrapText="1"/>
    </xf>
    <xf numFmtId="4" fontId="9" fillId="0" borderId="27" xfId="14" applyNumberFormat="1" applyFont="1" applyBorder="1" applyAlignment="1">
      <alignment wrapText="1"/>
    </xf>
    <xf numFmtId="2" fontId="35" fillId="12" borderId="27" xfId="0" applyNumberFormat="1" applyFont="1" applyFill="1" applyBorder="1" applyAlignment="1">
      <alignment horizontal="center" wrapText="1"/>
    </xf>
    <xf numFmtId="4" fontId="35" fillId="12" borderId="27" xfId="14" applyNumberFormat="1" applyFont="1" applyFill="1" applyBorder="1" applyAlignment="1">
      <alignment wrapText="1"/>
    </xf>
    <xf numFmtId="170" fontId="9" fillId="0" borderId="27" xfId="0" applyNumberFormat="1" applyFont="1" applyBorder="1" applyAlignment="1">
      <alignment horizontal="center" wrapText="1"/>
    </xf>
    <xf numFmtId="0" fontId="33" fillId="0" borderId="27" xfId="0" applyFont="1" applyBorder="1" applyAlignment="1">
      <alignment horizontal="center" wrapText="1"/>
    </xf>
    <xf numFmtId="4" fontId="33" fillId="0" borderId="27" xfId="0" applyNumberFormat="1" applyFont="1" applyBorder="1" applyAlignment="1">
      <alignment wrapText="1"/>
    </xf>
    <xf numFmtId="170" fontId="33" fillId="0" borderId="27" xfId="0" applyNumberFormat="1" applyFont="1" applyBorder="1" applyAlignment="1">
      <alignment horizontal="center" wrapText="1"/>
    </xf>
    <xf numFmtId="170" fontId="35" fillId="12" borderId="27" xfId="0" applyNumberFormat="1" applyFont="1" applyFill="1" applyBorder="1" applyAlignment="1">
      <alignment horizontal="center" wrapText="1"/>
    </xf>
    <xf numFmtId="4" fontId="20" fillId="0" borderId="27" xfId="0" applyNumberFormat="1" applyFont="1" applyBorder="1" applyAlignment="1">
      <alignment wrapText="1"/>
    </xf>
    <xf numFmtId="4" fontId="34" fillId="12" borderId="27" xfId="5" quotePrefix="1" applyNumberFormat="1" applyFont="1" applyFill="1" applyBorder="1" applyAlignment="1">
      <alignment horizontal="center" wrapText="1"/>
    </xf>
    <xf numFmtId="0" fontId="10" fillId="0" borderId="27" xfId="0" applyFont="1" applyBorder="1" applyAlignment="1">
      <alignment horizontal="center" vertical="center" wrapText="1"/>
    </xf>
    <xf numFmtId="4" fontId="10" fillId="0" borderId="27" xfId="5" applyNumberFormat="1" applyFont="1" applyFill="1" applyBorder="1" applyAlignment="1">
      <alignment wrapText="1"/>
    </xf>
    <xf numFmtId="4" fontId="9" fillId="0" borderId="27" xfId="5" applyNumberFormat="1" applyFont="1" applyFill="1" applyBorder="1" applyAlignment="1">
      <alignment wrapText="1"/>
    </xf>
    <xf numFmtId="43" fontId="9" fillId="0" borderId="27" xfId="5" applyFont="1" applyFill="1" applyBorder="1" applyAlignment="1">
      <alignment horizontal="center" wrapText="1"/>
    </xf>
    <xf numFmtId="4" fontId="10" fillId="0" borderId="27" xfId="5" applyNumberFormat="1" applyFont="1" applyBorder="1" applyAlignment="1">
      <alignment wrapText="1"/>
    </xf>
    <xf numFmtId="166" fontId="34" fillId="12" borderId="27" xfId="5" applyNumberFormat="1" applyFont="1" applyFill="1" applyBorder="1" applyAlignment="1">
      <alignment horizontal="center" vertical="center" wrapText="1"/>
    </xf>
    <xf numFmtId="4" fontId="34" fillId="12" borderId="27" xfId="5" applyNumberFormat="1" applyFont="1" applyFill="1" applyBorder="1" applyAlignment="1">
      <alignment horizontal="center" wrapText="1"/>
    </xf>
    <xf numFmtId="4" fontId="10" fillId="0" borderId="27" xfId="0" applyNumberFormat="1" applyFont="1" applyBorder="1" applyAlignment="1">
      <alignment horizontal="center" wrapText="1"/>
    </xf>
    <xf numFmtId="4" fontId="10" fillId="0" borderId="27" xfId="2" applyNumberFormat="1" applyFont="1" applyBorder="1" applyAlignment="1">
      <alignment horizontal="center" vertical="center" wrapText="1"/>
    </xf>
    <xf numFmtId="4" fontId="9" fillId="5" borderId="27" xfId="5" applyNumberFormat="1" applyFont="1" applyFill="1" applyBorder="1" applyAlignment="1">
      <alignment wrapText="1"/>
    </xf>
    <xf numFmtId="171" fontId="9" fillId="5" borderId="27" xfId="0" applyNumberFormat="1" applyFont="1" applyFill="1" applyBorder="1" applyAlignment="1">
      <alignment horizontal="center" wrapText="1"/>
    </xf>
    <xf numFmtId="4" fontId="10" fillId="0" borderId="27" xfId="5" applyNumberFormat="1" applyFont="1" applyBorder="1" applyAlignment="1">
      <alignment horizontal="center" wrapText="1"/>
    </xf>
    <xf numFmtId="43" fontId="10" fillId="0" borderId="27" xfId="5" applyFont="1" applyBorder="1" applyAlignment="1">
      <alignment horizontal="center" wrapText="1"/>
    </xf>
    <xf numFmtId="43" fontId="10" fillId="15" borderId="27" xfId="5" applyFont="1" applyFill="1" applyBorder="1" applyAlignment="1">
      <alignment horizontal="center" wrapText="1"/>
    </xf>
    <xf numFmtId="4" fontId="34" fillId="12" borderId="27" xfId="5" applyNumberFormat="1" applyFont="1" applyFill="1" applyBorder="1" applyAlignment="1">
      <alignment vertical="center" wrapText="1"/>
    </xf>
    <xf numFmtId="0" fontId="10" fillId="5" borderId="0" xfId="2" applyFont="1" applyFill="1" applyAlignment="1">
      <alignment horizontal="left" vertical="center" wrapText="1"/>
    </xf>
    <xf numFmtId="0" fontId="35" fillId="12" borderId="27" xfId="0" applyFont="1" applyFill="1" applyBorder="1" applyAlignment="1">
      <alignment horizontal="left" vertical="center" wrapText="1"/>
    </xf>
    <xf numFmtId="0" fontId="9" fillId="0" borderId="0" xfId="0" applyFont="1" applyAlignment="1">
      <alignment horizontal="left" wrapText="1"/>
    </xf>
    <xf numFmtId="0" fontId="24" fillId="11" borderId="27" xfId="0" applyFont="1" applyFill="1" applyBorder="1" applyAlignment="1">
      <alignment horizontal="left" wrapText="1"/>
    </xf>
    <xf numFmtId="0" fontId="9" fillId="11" borderId="27" xfId="0" applyFont="1" applyFill="1" applyBorder="1" applyAlignment="1">
      <alignment horizontal="left" wrapText="1"/>
    </xf>
    <xf numFmtId="0" fontId="10" fillId="0" borderId="0" xfId="0" applyFont="1" applyAlignment="1">
      <alignment horizontal="left" wrapText="1"/>
    </xf>
    <xf numFmtId="0" fontId="36" fillId="0" borderId="27" xfId="16" applyFont="1" applyBorder="1" applyAlignment="1">
      <alignment horizontal="left" wrapText="1"/>
    </xf>
    <xf numFmtId="0" fontId="9" fillId="0" borderId="27" xfId="4" applyFont="1" applyBorder="1" applyAlignment="1">
      <alignment horizontal="left" wrapText="1"/>
    </xf>
    <xf numFmtId="3" fontId="9" fillId="0" borderId="27" xfId="0" applyNumberFormat="1" applyFont="1" applyBorder="1" applyAlignment="1">
      <alignment horizontal="left" wrapText="1"/>
    </xf>
    <xf numFmtId="3" fontId="10" fillId="0" borderId="27" xfId="0" applyNumberFormat="1" applyFont="1" applyBorder="1" applyAlignment="1">
      <alignment horizontal="left" wrapText="1"/>
    </xf>
    <xf numFmtId="0" fontId="35" fillId="12" borderId="27" xfId="0" applyFont="1" applyFill="1" applyBorder="1" applyAlignment="1">
      <alignment horizontal="left" wrapText="1"/>
    </xf>
    <xf numFmtId="0" fontId="10" fillId="5" borderId="27" xfId="2" applyFont="1" applyFill="1" applyBorder="1" applyAlignment="1">
      <alignment horizontal="left" vertical="center" wrapText="1"/>
    </xf>
    <xf numFmtId="0" fontId="9" fillId="0" borderId="27" xfId="2" applyFont="1" applyBorder="1" applyAlignment="1">
      <alignment horizontal="left" vertical="center" wrapText="1"/>
    </xf>
    <xf numFmtId="0" fontId="9" fillId="5" borderId="27" xfId="0" applyFont="1" applyFill="1" applyBorder="1" applyAlignment="1">
      <alignment horizontal="left" wrapText="1"/>
    </xf>
    <xf numFmtId="0" fontId="10" fillId="5" borderId="27" xfId="0" applyFont="1" applyFill="1" applyBorder="1" applyAlignment="1">
      <alignment horizontal="left" wrapText="1"/>
    </xf>
    <xf numFmtId="0" fontId="10" fillId="5" borderId="27" xfId="0" applyFont="1" applyFill="1" applyBorder="1" applyAlignment="1" applyProtection="1">
      <alignment horizontal="left" wrapText="1"/>
      <protection locked="0"/>
    </xf>
    <xf numFmtId="0" fontId="9" fillId="5" borderId="27" xfId="0" applyFont="1" applyFill="1" applyBorder="1" applyAlignment="1" applyProtection="1">
      <alignment horizontal="left" wrapText="1"/>
      <protection locked="0"/>
    </xf>
    <xf numFmtId="0" fontId="9" fillId="4" borderId="27" xfId="0" applyFont="1" applyFill="1" applyBorder="1" applyAlignment="1" applyProtection="1">
      <alignment horizontal="left" wrapText="1"/>
      <protection locked="0"/>
    </xf>
    <xf numFmtId="0" fontId="9" fillId="0" borderId="27" xfId="0" applyFont="1" applyBorder="1" applyAlignment="1" applyProtection="1">
      <alignment horizontal="left" wrapText="1"/>
      <protection locked="0"/>
    </xf>
    <xf numFmtId="0" fontId="34" fillId="12" borderId="27" xfId="0" applyFont="1" applyFill="1" applyBorder="1" applyAlignment="1">
      <alignment horizontal="left" vertical="center" wrapText="1"/>
    </xf>
    <xf numFmtId="0" fontId="34" fillId="12" borderId="27" xfId="4" applyFont="1" applyFill="1" applyBorder="1" applyAlignment="1">
      <alignment horizontal="left" vertical="center" wrapText="1"/>
    </xf>
    <xf numFmtId="0" fontId="10" fillId="0" borderId="27" xfId="4" applyFont="1" applyBorder="1" applyAlignment="1">
      <alignment horizontal="left" wrapText="1"/>
    </xf>
    <xf numFmtId="0" fontId="34" fillId="12" borderId="27" xfId="4" applyFont="1" applyFill="1" applyBorder="1" applyAlignment="1">
      <alignment horizontal="left" wrapText="1"/>
    </xf>
    <xf numFmtId="0" fontId="10" fillId="4" borderId="27" xfId="2" applyFont="1" applyFill="1" applyBorder="1" applyAlignment="1">
      <alignment horizontal="left" vertical="center" wrapText="1"/>
    </xf>
    <xf numFmtId="0" fontId="10" fillId="14" borderId="27" xfId="2" applyFont="1" applyFill="1" applyBorder="1" applyAlignment="1">
      <alignment horizontal="left" vertical="center" wrapText="1"/>
    </xf>
    <xf numFmtId="0" fontId="10" fillId="4" borderId="27" xfId="0" applyFont="1" applyFill="1" applyBorder="1" applyAlignment="1">
      <alignment horizontal="left" vertical="center" wrapText="1"/>
    </xf>
    <xf numFmtId="0" fontId="9" fillId="4" borderId="27" xfId="0" applyFont="1" applyFill="1" applyBorder="1" applyAlignment="1">
      <alignment horizontal="left" wrapText="1"/>
    </xf>
    <xf numFmtId="0" fontId="33" fillId="0" borderId="27" xfId="0" applyFont="1" applyBorder="1" applyAlignment="1">
      <alignment horizontal="left" vertical="center" wrapText="1"/>
    </xf>
    <xf numFmtId="0" fontId="10" fillId="11" borderId="27" xfId="2" applyFont="1" applyFill="1" applyBorder="1" applyAlignment="1">
      <alignment horizontal="left" vertical="center" wrapText="1"/>
    </xf>
    <xf numFmtId="0" fontId="9" fillId="11" borderId="27" xfId="2" applyFont="1" applyFill="1" applyBorder="1" applyAlignment="1">
      <alignment horizontal="left" vertical="center" wrapText="1"/>
    </xf>
    <xf numFmtId="0" fontId="33" fillId="5" borderId="27" xfId="0" applyFont="1" applyFill="1" applyBorder="1" applyAlignment="1">
      <alignment horizontal="left" wrapText="1"/>
    </xf>
    <xf numFmtId="0" fontId="34" fillId="12" borderId="27" xfId="2" applyFont="1" applyFill="1" applyBorder="1" applyAlignment="1">
      <alignment horizontal="left" vertical="center" wrapText="1"/>
    </xf>
    <xf numFmtId="4" fontId="9" fillId="0" borderId="0" xfId="0" applyNumberFormat="1" applyFont="1" applyAlignment="1">
      <alignment horizontal="left"/>
    </xf>
    <xf numFmtId="10" fontId="9" fillId="0" borderId="13" xfId="2" applyNumberFormat="1" applyFont="1" applyBorder="1" applyAlignment="1">
      <alignment horizontal="center" vertical="center"/>
    </xf>
    <xf numFmtId="10" fontId="34" fillId="12" borderId="5" xfId="2" applyNumberFormat="1" applyFont="1" applyFill="1" applyBorder="1" applyAlignment="1">
      <alignment vertical="center"/>
    </xf>
    <xf numFmtId="4" fontId="34" fillId="12" borderId="5" xfId="2" applyNumberFormat="1" applyFont="1" applyFill="1" applyBorder="1" applyAlignment="1">
      <alignment horizontal="center" vertical="center"/>
    </xf>
    <xf numFmtId="0" fontId="10" fillId="0" borderId="0" xfId="2" applyFont="1" applyAlignment="1">
      <alignment vertical="center" wrapText="1"/>
    </xf>
    <xf numFmtId="0" fontId="10" fillId="2" borderId="4" xfId="2" applyFont="1" applyFill="1" applyBorder="1" applyAlignment="1">
      <alignment horizontal="center" vertical="center" wrapText="1"/>
    </xf>
    <xf numFmtId="14" fontId="34" fillId="12" borderId="27" xfId="2" applyNumberFormat="1" applyFont="1" applyFill="1" applyBorder="1" applyAlignment="1">
      <alignment horizontal="center" vertical="center" wrapText="1"/>
    </xf>
    <xf numFmtId="0" fontId="10" fillId="0" borderId="0" xfId="2" applyFont="1" applyAlignment="1">
      <alignment horizontal="center" vertical="center" wrapText="1"/>
    </xf>
    <xf numFmtId="0" fontId="46" fillId="0" borderId="27" xfId="0" applyFont="1" applyBorder="1" applyAlignment="1">
      <alignment vertical="center" wrapText="1"/>
    </xf>
    <xf numFmtId="0" fontId="52" fillId="0" borderId="27" xfId="0" applyFont="1" applyBorder="1" applyAlignment="1">
      <alignment vertical="center" wrapText="1"/>
    </xf>
    <xf numFmtId="0" fontId="52" fillId="8" borderId="27" xfId="0" applyFont="1" applyFill="1" applyBorder="1" applyAlignment="1">
      <alignment horizontal="justify" vertical="center" wrapText="1"/>
    </xf>
    <xf numFmtId="0" fontId="52" fillId="9" borderId="27" xfId="0" applyFont="1" applyFill="1" applyBorder="1" applyAlignment="1">
      <alignment horizontal="justify" vertical="center" wrapText="1"/>
    </xf>
    <xf numFmtId="4" fontId="46" fillId="9" borderId="27" xfId="0" applyNumberFormat="1" applyFont="1" applyFill="1" applyBorder="1" applyAlignment="1">
      <alignment horizontal="right" vertical="center" wrapText="1"/>
    </xf>
    <xf numFmtId="0" fontId="46" fillId="8" borderId="27" xfId="0" applyFont="1" applyFill="1" applyBorder="1" applyAlignment="1">
      <alignment vertical="center" wrapText="1"/>
    </xf>
    <xf numFmtId="0" fontId="52" fillId="0" borderId="27" xfId="0" applyFont="1" applyBorder="1" applyAlignment="1">
      <alignment horizontal="center" vertical="center" wrapText="1"/>
    </xf>
    <xf numFmtId="14" fontId="9" fillId="0" borderId="27" xfId="2" applyNumberFormat="1" applyFont="1" applyBorder="1" applyAlignment="1">
      <alignment horizontal="center" vertical="center" wrapText="1"/>
    </xf>
    <xf numFmtId="0" fontId="24" fillId="0" borderId="27" xfId="0" applyFont="1" applyBorder="1" applyAlignment="1">
      <alignment vertical="center" wrapText="1"/>
    </xf>
    <xf numFmtId="4" fontId="24" fillId="0" borderId="27" xfId="0" applyNumberFormat="1" applyFont="1" applyBorder="1" applyAlignment="1">
      <alignment horizontal="right" vertical="center" wrapText="1"/>
    </xf>
    <xf numFmtId="4" fontId="53" fillId="0" borderId="27" xfId="0" applyNumberFormat="1" applyFont="1" applyBorder="1" applyAlignment="1">
      <alignment horizontal="right" vertical="center" wrapText="1"/>
    </xf>
    <xf numFmtId="49" fontId="9" fillId="0" borderId="27" xfId="2" applyNumberFormat="1" applyFont="1" applyBorder="1" applyAlignment="1">
      <alignment vertical="center" wrapText="1"/>
    </xf>
    <xf numFmtId="0" fontId="31" fillId="0" borderId="27" xfId="0" applyFont="1" applyBorder="1" applyAlignment="1">
      <alignment horizontal="left" vertical="center" wrapText="1"/>
    </xf>
    <xf numFmtId="0" fontId="9" fillId="5" borderId="27" xfId="2" applyFont="1" applyFill="1" applyBorder="1" applyAlignment="1">
      <alignment vertical="center" wrapText="1"/>
    </xf>
    <xf numFmtId="3" fontId="9" fillId="5" borderId="27" xfId="2" applyNumberFormat="1" applyFont="1" applyFill="1" applyBorder="1" applyAlignment="1">
      <alignment horizontal="center" vertical="center" wrapText="1"/>
    </xf>
    <xf numFmtId="3" fontId="9" fillId="0" borderId="27" xfId="2" applyNumberFormat="1" applyFont="1" applyBorder="1" applyAlignment="1">
      <alignment horizontal="center" vertical="center" wrapText="1"/>
    </xf>
    <xf numFmtId="14" fontId="9" fillId="0" borderId="27" xfId="2" applyNumberFormat="1" applyFont="1" applyBorder="1" applyAlignment="1">
      <alignment vertical="center" wrapText="1"/>
    </xf>
    <xf numFmtId="0" fontId="34" fillId="12" borderId="27" xfId="2" applyFont="1" applyFill="1" applyBorder="1" applyAlignment="1">
      <alignment vertical="center" wrapText="1"/>
    </xf>
    <xf numFmtId="0" fontId="53" fillId="0" borderId="27" xfId="0" applyFont="1" applyBorder="1" applyAlignment="1">
      <alignment horizontal="left" vertical="center" wrapText="1"/>
    </xf>
    <xf numFmtId="0" fontId="9" fillId="0" borderId="27" xfId="15" applyFont="1" applyBorder="1" applyAlignment="1">
      <alignment horizontal="left" vertical="center" wrapText="1"/>
    </xf>
    <xf numFmtId="0" fontId="31" fillId="5" borderId="27" xfId="0" applyFont="1" applyFill="1" applyBorder="1" applyAlignment="1">
      <alignment horizontal="left" vertical="center" wrapText="1"/>
    </xf>
    <xf numFmtId="49" fontId="9" fillId="0" borderId="27" xfId="2" applyNumberFormat="1" applyFont="1" applyBorder="1" applyAlignment="1">
      <alignment horizontal="left" vertical="center"/>
    </xf>
    <xf numFmtId="0" fontId="10" fillId="0" borderId="0" xfId="2" applyFont="1" applyAlignment="1">
      <alignment horizontal="center"/>
    </xf>
    <xf numFmtId="0" fontId="10" fillId="0" borderId="0" xfId="2" applyFont="1" applyAlignment="1">
      <alignment horizontal="left"/>
    </xf>
    <xf numFmtId="0" fontId="10" fillId="0" borderId="0" xfId="0" applyFont="1" applyAlignment="1">
      <alignment vertical="center" wrapText="1"/>
    </xf>
    <xf numFmtId="0" fontId="10" fillId="17" borderId="27" xfId="0" applyFont="1" applyFill="1" applyBorder="1" applyAlignment="1">
      <alignment vertical="center" wrapText="1"/>
    </xf>
    <xf numFmtId="0" fontId="24" fillId="0" borderId="27" xfId="0" applyFont="1" applyBorder="1" applyAlignment="1">
      <alignment horizontal="left" vertical="center" wrapText="1"/>
    </xf>
    <xf numFmtId="0" fontId="24" fillId="0" borderId="27" xfId="0" applyFont="1" applyBorder="1" applyAlignment="1" applyProtection="1">
      <alignment vertical="center" wrapText="1"/>
      <protection locked="0"/>
    </xf>
    <xf numFmtId="0" fontId="24" fillId="0" borderId="27" xfId="7" applyFont="1" applyBorder="1" applyAlignment="1" applyProtection="1">
      <alignment vertical="center" wrapText="1"/>
      <protection locked="0"/>
    </xf>
    <xf numFmtId="0" fontId="9" fillId="0" borderId="27" xfId="7" applyFont="1" applyBorder="1" applyAlignment="1" applyProtection="1">
      <alignment vertical="center" wrapText="1"/>
      <protection locked="0"/>
    </xf>
    <xf numFmtId="0" fontId="10" fillId="0" borderId="0" xfId="2" applyFont="1" applyAlignment="1">
      <alignment horizontal="right" vertical="center" wrapText="1"/>
    </xf>
    <xf numFmtId="14" fontId="10" fillId="0" borderId="0" xfId="2" applyNumberFormat="1" applyFont="1" applyAlignment="1">
      <alignment vertical="center" wrapText="1"/>
    </xf>
    <xf numFmtId="0" fontId="10" fillId="0" borderId="0" xfId="0" applyFont="1" applyAlignment="1">
      <alignment horizontal="right" vertical="center" wrapText="1"/>
    </xf>
    <xf numFmtId="49" fontId="12" fillId="0" borderId="0" xfId="1" quotePrefix="1" applyNumberFormat="1" applyFont="1" applyAlignment="1">
      <alignment horizontal="left" vertical="center" wrapText="1"/>
    </xf>
    <xf numFmtId="14" fontId="9" fillId="0" borderId="0" xfId="0" applyNumberFormat="1" applyFont="1" applyAlignment="1">
      <alignment vertical="center" wrapText="1"/>
    </xf>
    <xf numFmtId="0" fontId="10" fillId="2" borderId="4" xfId="2" applyFont="1" applyFill="1" applyBorder="1" applyAlignment="1">
      <alignment vertical="center" wrapText="1"/>
    </xf>
    <xf numFmtId="0" fontId="10" fillId="2" borderId="20" xfId="2" applyFont="1" applyFill="1" applyBorder="1" applyAlignment="1">
      <alignment horizontal="center" vertical="center" wrapText="1"/>
    </xf>
    <xf numFmtId="0" fontId="10" fillId="2" borderId="20" xfId="2" applyFont="1" applyFill="1" applyBorder="1" applyAlignment="1">
      <alignment horizontal="right" vertical="center" wrapText="1"/>
    </xf>
    <xf numFmtId="0" fontId="10" fillId="2" borderId="20" xfId="2" applyFont="1" applyFill="1" applyBorder="1" applyAlignment="1">
      <alignment horizontal="left" vertical="center" wrapText="1"/>
    </xf>
    <xf numFmtId="14" fontId="10" fillId="2" borderId="20" xfId="2" applyNumberFormat="1" applyFont="1" applyFill="1" applyBorder="1" applyAlignment="1">
      <alignment horizontal="center" vertical="center" wrapText="1"/>
    </xf>
    <xf numFmtId="0" fontId="10" fillId="17" borderId="27" xfId="0" applyFont="1" applyFill="1" applyBorder="1" applyAlignment="1">
      <alignment horizontal="center" vertical="center" wrapText="1"/>
    </xf>
    <xf numFmtId="0" fontId="10" fillId="17" borderId="27" xfId="0" applyFont="1" applyFill="1" applyBorder="1" applyAlignment="1">
      <alignment horizontal="right" vertical="center" wrapText="1"/>
    </xf>
    <xf numFmtId="0" fontId="10" fillId="17" borderId="27" xfId="0" applyFont="1" applyFill="1" applyBorder="1" applyAlignment="1">
      <alignment horizontal="left" vertical="center" wrapText="1"/>
    </xf>
    <xf numFmtId="14" fontId="10" fillId="17" borderId="27" xfId="0" applyNumberFormat="1" applyFont="1" applyFill="1" applyBorder="1" applyAlignment="1">
      <alignment vertical="center" wrapText="1"/>
    </xf>
    <xf numFmtId="4" fontId="46" fillId="0" borderId="27" xfId="0" applyNumberFormat="1" applyFont="1" applyBorder="1" applyAlignment="1">
      <alignment horizontal="right" vertical="center" wrapText="1"/>
    </xf>
    <xf numFmtId="4" fontId="9" fillId="0" borderId="27" xfId="2" applyNumberFormat="1" applyFont="1" applyBorder="1" applyAlignment="1">
      <alignment horizontal="right" vertical="center" wrapText="1"/>
    </xf>
    <xf numFmtId="0" fontId="9" fillId="0" borderId="27" xfId="2" applyFont="1" applyBorder="1" applyAlignment="1">
      <alignment horizontal="right" vertical="center" wrapText="1"/>
    </xf>
    <xf numFmtId="43" fontId="9" fillId="0" borderId="27" xfId="12" applyFont="1" applyFill="1" applyBorder="1" applyAlignment="1">
      <alignment horizontal="right" vertical="center" wrapText="1"/>
    </xf>
    <xf numFmtId="49" fontId="9" fillId="0" borderId="27" xfId="1" applyNumberFormat="1" applyFont="1" applyBorder="1" applyAlignment="1">
      <alignment vertical="center" wrapText="1"/>
    </xf>
    <xf numFmtId="49" fontId="9" fillId="0" borderId="27" xfId="1" applyNumberFormat="1" applyFont="1" applyBorder="1" applyAlignment="1">
      <alignment horizontal="center" vertical="center" wrapText="1"/>
    </xf>
    <xf numFmtId="0" fontId="9" fillId="7" borderId="27" xfId="2" applyFont="1" applyFill="1" applyBorder="1" applyAlignment="1">
      <alignment vertical="center" wrapText="1"/>
    </xf>
    <xf numFmtId="43" fontId="9" fillId="7" borderId="27" xfId="12" applyFont="1" applyFill="1" applyBorder="1" applyAlignment="1">
      <alignment horizontal="right" vertical="center" wrapText="1"/>
    </xf>
    <xf numFmtId="4" fontId="52" fillId="0" borderId="27" xfId="0" applyNumberFormat="1" applyFont="1" applyBorder="1" applyAlignment="1">
      <alignment horizontal="right" vertical="center" wrapText="1"/>
    </xf>
    <xf numFmtId="0" fontId="24" fillId="0" borderId="27" xfId="0" applyFont="1" applyBorder="1" applyAlignment="1">
      <alignment horizontal="center" vertical="center" wrapText="1"/>
    </xf>
    <xf numFmtId="14" fontId="24" fillId="0" borderId="27" xfId="0" applyNumberFormat="1" applyFont="1" applyBorder="1" applyAlignment="1">
      <alignment vertical="center" wrapText="1"/>
    </xf>
    <xf numFmtId="14" fontId="9" fillId="0" borderId="27" xfId="0" applyNumberFormat="1" applyFont="1" applyBorder="1" applyAlignment="1">
      <alignment vertical="center" wrapText="1"/>
    </xf>
    <xf numFmtId="14" fontId="24" fillId="0" borderId="27" xfId="0" applyNumberFormat="1" applyFont="1" applyBorder="1" applyAlignment="1">
      <alignment horizontal="right" vertical="center" wrapText="1"/>
    </xf>
    <xf numFmtId="43" fontId="9" fillId="0" borderId="27" xfId="2" applyNumberFormat="1" applyFont="1" applyBorder="1" applyAlignment="1">
      <alignment horizontal="right" vertical="center" wrapText="1"/>
    </xf>
    <xf numFmtId="14" fontId="9" fillId="0" borderId="27" xfId="0" applyNumberFormat="1" applyFont="1" applyBorder="1" applyAlignment="1">
      <alignment horizontal="center" vertical="center" wrapText="1"/>
    </xf>
    <xf numFmtId="0" fontId="9" fillId="0" borderId="27" xfId="2" applyFont="1" applyBorder="1" applyAlignment="1">
      <alignment horizontal="justify" vertical="center" wrapText="1"/>
    </xf>
    <xf numFmtId="14" fontId="9" fillId="0" borderId="27" xfId="2" applyNumberFormat="1" applyFont="1" applyBorder="1" applyAlignment="1">
      <alignment horizontal="justify" vertical="center" wrapText="1"/>
    </xf>
    <xf numFmtId="14" fontId="9" fillId="0" borderId="27" xfId="2" applyNumberFormat="1" applyFont="1" applyBorder="1" applyAlignment="1">
      <alignment horizontal="right" vertical="center" wrapText="1"/>
    </xf>
    <xf numFmtId="3" fontId="31" fillId="0" borderId="27" xfId="0" applyNumberFormat="1" applyFont="1" applyBorder="1" applyAlignment="1">
      <alignment horizontal="center" vertical="center" wrapText="1"/>
    </xf>
    <xf numFmtId="4" fontId="31" fillId="0" borderId="27" xfId="0" applyNumberFormat="1" applyFont="1" applyBorder="1" applyAlignment="1">
      <alignment horizontal="right" vertical="center" wrapText="1"/>
    </xf>
    <xf numFmtId="14" fontId="31" fillId="0" borderId="27" xfId="0" applyNumberFormat="1" applyFont="1" applyBorder="1" applyAlignment="1">
      <alignment horizontal="center" vertical="center" wrapText="1"/>
    </xf>
    <xf numFmtId="4" fontId="31" fillId="5" borderId="27" xfId="0" applyNumberFormat="1" applyFont="1" applyFill="1" applyBorder="1" applyAlignment="1">
      <alignment horizontal="right" vertical="center" wrapText="1"/>
    </xf>
    <xf numFmtId="14" fontId="31" fillId="5" borderId="27" xfId="0" applyNumberFormat="1" applyFont="1" applyFill="1" applyBorder="1" applyAlignment="1">
      <alignment horizontal="center" vertical="center" wrapText="1"/>
    </xf>
    <xf numFmtId="43" fontId="9" fillId="0" borderId="27" xfId="12" applyFont="1" applyBorder="1" applyAlignment="1">
      <alignment horizontal="right" vertical="center" wrapText="1"/>
    </xf>
    <xf numFmtId="167" fontId="9" fillId="0" borderId="27" xfId="0" applyNumberFormat="1" applyFont="1" applyBorder="1" applyAlignment="1">
      <alignment horizontal="right" vertical="center" wrapText="1"/>
    </xf>
    <xf numFmtId="49" fontId="9" fillId="0" borderId="27" xfId="2" applyNumberFormat="1" applyFont="1" applyBorder="1" applyAlignment="1">
      <alignment horizontal="left" vertical="center" wrapText="1"/>
    </xf>
    <xf numFmtId="0" fontId="9" fillId="0" borderId="27" xfId="0" applyFont="1" applyBorder="1" applyAlignment="1">
      <alignment horizontal="right" vertical="center" wrapText="1"/>
    </xf>
    <xf numFmtId="4" fontId="24" fillId="0" borderId="27" xfId="0" applyNumberFormat="1" applyFont="1" applyBorder="1" applyAlignment="1" applyProtection="1">
      <alignment horizontal="right" vertical="center" wrapText="1"/>
      <protection locked="0"/>
    </xf>
    <xf numFmtId="0" fontId="24" fillId="0" borderId="27" xfId="0" applyFont="1" applyBorder="1" applyAlignment="1" applyProtection="1">
      <alignment horizontal="left" vertical="center" wrapText="1"/>
      <protection locked="0"/>
    </xf>
    <xf numFmtId="0" fontId="24" fillId="0" borderId="27" xfId="0" applyFont="1" applyBorder="1" applyAlignment="1" applyProtection="1">
      <alignment horizontal="center" vertical="center" wrapText="1"/>
      <protection locked="0"/>
    </xf>
    <xf numFmtId="14" fontId="24" fillId="0" borderId="27" xfId="6" applyNumberFormat="1" applyFont="1" applyBorder="1" applyAlignment="1" applyProtection="1">
      <alignment vertical="center" wrapText="1"/>
      <protection locked="0"/>
    </xf>
    <xf numFmtId="14" fontId="9" fillId="0" borderId="27" xfId="0" applyNumberFormat="1" applyFont="1" applyBorder="1" applyAlignment="1">
      <alignment horizontal="left" vertical="center" wrapText="1"/>
    </xf>
    <xf numFmtId="4" fontId="24" fillId="0" borderId="27" xfId="7" applyNumberFormat="1" applyFont="1" applyBorder="1" applyAlignment="1" applyProtection="1">
      <alignment horizontal="right" vertical="center" wrapText="1"/>
      <protection locked="0"/>
    </xf>
    <xf numFmtId="0" fontId="24" fillId="0" borderId="27" xfId="7" applyFont="1" applyBorder="1" applyAlignment="1" applyProtection="1">
      <alignment horizontal="left" vertical="center" wrapText="1"/>
      <protection locked="0"/>
    </xf>
    <xf numFmtId="0" fontId="9" fillId="0" borderId="27" xfId="7" applyFont="1" applyBorder="1" applyAlignment="1" applyProtection="1">
      <alignment horizontal="right" vertical="center" wrapText="1"/>
      <protection locked="0"/>
    </xf>
    <xf numFmtId="0" fontId="9" fillId="0" borderId="27" xfId="7" applyFont="1" applyBorder="1" applyAlignment="1" applyProtection="1">
      <alignment horizontal="left" vertical="center" wrapText="1"/>
      <protection locked="0"/>
    </xf>
    <xf numFmtId="14" fontId="31" fillId="0" borderId="27" xfId="6" applyNumberFormat="1" applyFont="1" applyBorder="1" applyAlignment="1" applyProtection="1">
      <alignment vertical="center" wrapText="1"/>
      <protection locked="0"/>
    </xf>
    <xf numFmtId="0" fontId="31" fillId="0" borderId="27" xfId="7" applyFont="1" applyBorder="1" applyAlignment="1" applyProtection="1">
      <alignment vertical="center" wrapText="1"/>
      <protection locked="0"/>
    </xf>
    <xf numFmtId="0" fontId="24" fillId="0" borderId="27" xfId="7" applyFont="1" applyBorder="1" applyAlignment="1">
      <alignment vertical="center" wrapText="1"/>
    </xf>
    <xf numFmtId="0" fontId="24" fillId="0" borderId="27" xfId="7" applyFont="1" applyBorder="1" applyAlignment="1" applyProtection="1">
      <alignment horizontal="center" vertical="center" wrapText="1"/>
      <protection locked="0"/>
    </xf>
    <xf numFmtId="0" fontId="9" fillId="0" borderId="27" xfId="2" quotePrefix="1" applyFont="1" applyBorder="1" applyAlignment="1">
      <alignment vertical="center" wrapText="1"/>
    </xf>
    <xf numFmtId="0" fontId="9" fillId="5" borderId="27" xfId="2" applyFont="1" applyFill="1" applyBorder="1" applyAlignment="1">
      <alignment horizontal="right" vertical="center" wrapText="1"/>
    </xf>
    <xf numFmtId="14" fontId="9" fillId="5" borderId="27" xfId="2" applyNumberFormat="1" applyFont="1" applyFill="1" applyBorder="1" applyAlignment="1">
      <alignment horizontal="center" vertical="center" wrapText="1"/>
    </xf>
    <xf numFmtId="49" fontId="54" fillId="10" borderId="27" xfId="4" applyNumberFormat="1" applyFont="1" applyFill="1" applyBorder="1" applyAlignment="1">
      <alignment horizontal="left" vertical="center" wrapText="1"/>
    </xf>
    <xf numFmtId="14" fontId="9" fillId="0" borderId="27" xfId="2" quotePrefix="1" applyNumberFormat="1" applyFont="1" applyBorder="1" applyAlignment="1">
      <alignment horizontal="center" vertical="center" wrapText="1"/>
    </xf>
    <xf numFmtId="0" fontId="9" fillId="0" borderId="0" xfId="0" applyFont="1" applyAlignment="1">
      <alignment horizontal="right" vertical="center" wrapText="1"/>
    </xf>
    <xf numFmtId="0" fontId="21" fillId="18" borderId="27" xfId="2" applyFont="1" applyFill="1" applyBorder="1" applyAlignment="1">
      <alignment horizontal="left" vertical="center"/>
    </xf>
    <xf numFmtId="0" fontId="21" fillId="18" borderId="27" xfId="2" applyFont="1" applyFill="1" applyBorder="1" applyAlignment="1">
      <alignment vertical="center" wrapText="1"/>
    </xf>
    <xf numFmtId="4" fontId="55" fillId="0" borderId="27" xfId="0" applyNumberFormat="1" applyFont="1" applyBorder="1" applyAlignment="1">
      <alignment horizontal="right" vertical="center" wrapText="1"/>
    </xf>
    <xf numFmtId="0" fontId="55" fillId="0" borderId="27" xfId="0" applyFont="1" applyBorder="1" applyAlignment="1">
      <alignment horizontal="left" vertical="center" wrapText="1"/>
    </xf>
    <xf numFmtId="0" fontId="55" fillId="0" borderId="27" xfId="0" applyFont="1" applyBorder="1" applyAlignment="1">
      <alignment horizontal="left" vertical="center"/>
    </xf>
    <xf numFmtId="0" fontId="35" fillId="12" borderId="27" xfId="0" applyFont="1" applyFill="1" applyBorder="1" applyAlignment="1">
      <alignment horizontal="left"/>
    </xf>
    <xf numFmtId="4" fontId="10" fillId="0" borderId="0" xfId="2" applyNumberFormat="1" applyFont="1" applyAlignment="1">
      <alignment horizontal="right" vertical="center" wrapText="1"/>
    </xf>
    <xf numFmtId="4" fontId="12" fillId="0" borderId="0" xfId="1" quotePrefix="1" applyNumberFormat="1" applyFont="1" applyAlignment="1">
      <alignment horizontal="right" vertical="center" wrapText="1"/>
    </xf>
    <xf numFmtId="4" fontId="34" fillId="12" borderId="27" xfId="2" applyNumberFormat="1" applyFont="1" applyFill="1" applyBorder="1" applyAlignment="1">
      <alignment horizontal="center" vertical="center" wrapText="1"/>
    </xf>
    <xf numFmtId="4" fontId="21" fillId="18" borderId="27" xfId="2" applyNumberFormat="1" applyFont="1" applyFill="1" applyBorder="1" applyAlignment="1">
      <alignment horizontal="right" vertical="center" wrapText="1"/>
    </xf>
    <xf numFmtId="4" fontId="56" fillId="0" borderId="13" xfId="0" applyNumberFormat="1" applyFont="1" applyBorder="1"/>
    <xf numFmtId="4" fontId="56" fillId="0" borderId="0" xfId="0" applyNumberFormat="1" applyFont="1"/>
    <xf numFmtId="0" fontId="34" fillId="12" borderId="5" xfId="4" applyFont="1" applyFill="1" applyBorder="1" applyAlignment="1">
      <alignment horizontal="center" vertical="center"/>
    </xf>
    <xf numFmtId="0" fontId="34" fillId="12" borderId="5" xfId="4" applyFont="1" applyFill="1" applyBorder="1" applyAlignment="1">
      <alignment horizontal="center" vertical="center" wrapText="1"/>
    </xf>
    <xf numFmtId="0" fontId="34" fillId="12" borderId="17" xfId="4" applyFont="1" applyFill="1" applyBorder="1" applyAlignment="1">
      <alignment horizontal="center" vertical="center"/>
    </xf>
    <xf numFmtId="4" fontId="34" fillId="12" borderId="17" xfId="4" applyNumberFormat="1" applyFont="1" applyFill="1" applyBorder="1" applyAlignment="1">
      <alignment horizontal="center" vertical="center"/>
    </xf>
    <xf numFmtId="4" fontId="24" fillId="0" borderId="8" xfId="4" applyNumberFormat="1" applyFont="1" applyBorder="1"/>
    <xf numFmtId="4" fontId="9" fillId="0" borderId="74" xfId="4" applyNumberFormat="1" applyFont="1" applyBorder="1"/>
    <xf numFmtId="4" fontId="9" fillId="0" borderId="8" xfId="12" applyNumberFormat="1" applyFont="1" applyBorder="1"/>
    <xf numFmtId="4" fontId="9" fillId="0" borderId="8" xfId="4" applyNumberFormat="1" applyFont="1" applyBorder="1" applyAlignment="1">
      <alignment horizontal="right"/>
    </xf>
    <xf numFmtId="0" fontId="9" fillId="0" borderId="0" xfId="4" applyFont="1" applyAlignment="1">
      <alignment wrapText="1"/>
    </xf>
    <xf numFmtId="0" fontId="10" fillId="0" borderId="13" xfId="4" applyFont="1" applyBorder="1" applyAlignment="1">
      <alignment wrapText="1"/>
    </xf>
    <xf numFmtId="0" fontId="9" fillId="0" borderId="13" xfId="4" applyFont="1" applyBorder="1" applyAlignment="1">
      <alignment wrapText="1"/>
    </xf>
    <xf numFmtId="0" fontId="9" fillId="0" borderId="13" xfId="0" applyFont="1" applyBorder="1" applyAlignment="1">
      <alignment wrapText="1"/>
    </xf>
    <xf numFmtId="0" fontId="23" fillId="0" borderId="13" xfId="0" applyFont="1" applyBorder="1" applyAlignment="1">
      <alignment wrapText="1"/>
    </xf>
    <xf numFmtId="0" fontId="9" fillId="0" borderId="10" xfId="4" applyFont="1" applyBorder="1" applyAlignment="1">
      <alignment wrapText="1"/>
    </xf>
    <xf numFmtId="0" fontId="9" fillId="0" borderId="10" xfId="0" applyFont="1" applyBorder="1" applyAlignment="1">
      <alignment wrapText="1"/>
    </xf>
    <xf numFmtId="0" fontId="9" fillId="0" borderId="3" xfId="4" applyFont="1" applyBorder="1" applyAlignment="1">
      <alignment wrapText="1"/>
    </xf>
    <xf numFmtId="0" fontId="9" fillId="0" borderId="7" xfId="4" applyFont="1" applyBorder="1" applyAlignment="1">
      <alignment wrapText="1"/>
    </xf>
    <xf numFmtId="0" fontId="9" fillId="0" borderId="3" xfId="10" applyFont="1" applyBorder="1" applyAlignment="1">
      <alignment wrapText="1"/>
    </xf>
    <xf numFmtId="0" fontId="10" fillId="0" borderId="3" xfId="4" applyFont="1" applyBorder="1" applyAlignment="1">
      <alignment wrapText="1"/>
    </xf>
    <xf numFmtId="0" fontId="9" fillId="0" borderId="13" xfId="4" applyFont="1" applyBorder="1" applyAlignment="1">
      <alignment horizontal="left" wrapText="1"/>
    </xf>
    <xf numFmtId="0" fontId="9" fillId="0" borderId="13" xfId="4" applyFont="1" applyBorder="1" applyAlignment="1">
      <alignment horizontal="center" wrapText="1"/>
    </xf>
    <xf numFmtId="0" fontId="9" fillId="0" borderId="0" xfId="4" applyFont="1" applyAlignment="1">
      <alignment horizontal="left"/>
    </xf>
    <xf numFmtId="0" fontId="9" fillId="0" borderId="4" xfId="4" applyFont="1" applyBorder="1" applyAlignment="1">
      <alignment horizontal="left"/>
    </xf>
    <xf numFmtId="0" fontId="9" fillId="0" borderId="8" xfId="4" applyFont="1" applyBorder="1" applyAlignment="1">
      <alignment horizontal="left"/>
    </xf>
    <xf numFmtId="0" fontId="9" fillId="0" borderId="74" xfId="4" applyFont="1" applyBorder="1" applyAlignment="1">
      <alignment horizontal="left"/>
    </xf>
    <xf numFmtId="0" fontId="9" fillId="0" borderId="13" xfId="10" applyFont="1" applyBorder="1" applyAlignment="1">
      <alignment horizontal="left"/>
    </xf>
    <xf numFmtId="0" fontId="9" fillId="0" borderId="75" xfId="10" applyFont="1" applyBorder="1" applyAlignment="1">
      <alignment horizontal="left"/>
    </xf>
    <xf numFmtId="49" fontId="9" fillId="0" borderId="4" xfId="4" applyNumberFormat="1" applyFont="1" applyBorder="1" applyAlignment="1">
      <alignment horizontal="left"/>
    </xf>
    <xf numFmtId="49" fontId="9" fillId="0" borderId="8" xfId="4" applyNumberFormat="1" applyFont="1" applyBorder="1" applyAlignment="1">
      <alignment horizontal="left"/>
    </xf>
    <xf numFmtId="0" fontId="9" fillId="0" borderId="10" xfId="4" applyFont="1" applyBorder="1" applyAlignment="1">
      <alignment horizontal="left" vertical="center" wrapText="1"/>
    </xf>
    <xf numFmtId="172" fontId="9" fillId="0" borderId="4" xfId="12" applyNumberFormat="1" applyFont="1" applyBorder="1" applyAlignment="1">
      <alignment horizontal="left"/>
    </xf>
    <xf numFmtId="0" fontId="9" fillId="0" borderId="13" xfId="4" applyFont="1" applyBorder="1" applyAlignment="1">
      <alignment horizontal="left" vertical="center"/>
    </xf>
    <xf numFmtId="0" fontId="9" fillId="0" borderId="10" xfId="4" applyFont="1" applyBorder="1" applyAlignment="1">
      <alignment horizontal="left" vertical="center"/>
    </xf>
    <xf numFmtId="0" fontId="10" fillId="18" borderId="11" xfId="4" applyFont="1" applyFill="1" applyBorder="1" applyAlignment="1">
      <alignment wrapText="1"/>
    </xf>
    <xf numFmtId="0" fontId="10" fillId="18" borderId="20" xfId="4" applyFont="1" applyFill="1" applyBorder="1" applyAlignment="1">
      <alignment horizontal="left"/>
    </xf>
    <xf numFmtId="3" fontId="10" fillId="18" borderId="4" xfId="4" applyNumberFormat="1" applyFont="1" applyFill="1" applyBorder="1" applyAlignment="1">
      <alignment horizontal="center"/>
    </xf>
    <xf numFmtId="3" fontId="10" fillId="18" borderId="13" xfId="4" applyNumberFormat="1" applyFont="1" applyFill="1" applyBorder="1" applyAlignment="1">
      <alignment horizontal="center"/>
    </xf>
    <xf numFmtId="3" fontId="10" fillId="18" borderId="4" xfId="4" applyNumberFormat="1" applyFont="1" applyFill="1" applyBorder="1" applyAlignment="1">
      <alignment horizontal="center" vertical="center"/>
    </xf>
    <xf numFmtId="4" fontId="10" fillId="18" borderId="4" xfId="4" applyNumberFormat="1" applyFont="1" applyFill="1" applyBorder="1"/>
    <xf numFmtId="0" fontId="34" fillId="12" borderId="18" xfId="4" applyFont="1" applyFill="1" applyBorder="1" applyAlignment="1">
      <alignment horizontal="left" vertical="center"/>
    </xf>
    <xf numFmtId="3" fontId="10" fillId="18" borderId="0" xfId="4" applyNumberFormat="1" applyFont="1" applyFill="1" applyAlignment="1">
      <alignment horizontal="left"/>
    </xf>
    <xf numFmtId="3" fontId="9" fillId="0" borderId="13" xfId="0" applyNumberFormat="1" applyFont="1" applyBorder="1" applyAlignment="1">
      <alignment horizontal="left"/>
    </xf>
    <xf numFmtId="3" fontId="9" fillId="0" borderId="0" xfId="4" applyNumberFormat="1" applyFont="1" applyAlignment="1">
      <alignment horizontal="left"/>
    </xf>
    <xf numFmtId="3" fontId="9" fillId="0" borderId="0" xfId="0" applyNumberFormat="1" applyFont="1" applyAlignment="1">
      <alignment horizontal="left"/>
    </xf>
    <xf numFmtId="169" fontId="9" fillId="0" borderId="0" xfId="4" applyNumberFormat="1" applyFont="1" applyAlignment="1">
      <alignment horizontal="left"/>
    </xf>
    <xf numFmtId="169" fontId="9" fillId="0" borderId="74" xfId="4" applyNumberFormat="1" applyFont="1" applyBorder="1" applyAlignment="1">
      <alignment horizontal="left"/>
    </xf>
    <xf numFmtId="3" fontId="9" fillId="0" borderId="74" xfId="4" applyNumberFormat="1" applyFont="1" applyBorder="1" applyAlignment="1">
      <alignment horizontal="left"/>
    </xf>
    <xf numFmtId="3" fontId="9" fillId="0" borderId="74" xfId="0" applyNumberFormat="1" applyFont="1" applyBorder="1" applyAlignment="1">
      <alignment horizontal="left"/>
    </xf>
    <xf numFmtId="49" fontId="24" fillId="0" borderId="0" xfId="4" applyNumberFormat="1" applyFont="1" applyAlignment="1">
      <alignment horizontal="left"/>
    </xf>
    <xf numFmtId="3" fontId="24" fillId="0" borderId="0" xfId="4" applyNumberFormat="1" applyFont="1" applyAlignment="1">
      <alignment horizontal="left"/>
    </xf>
    <xf numFmtId="3" fontId="24" fillId="0" borderId="74" xfId="4" applyNumberFormat="1" applyFont="1" applyBorder="1" applyAlignment="1">
      <alignment horizontal="left"/>
    </xf>
    <xf numFmtId="3" fontId="9" fillId="0" borderId="13" xfId="10" applyNumberFormat="1" applyFont="1" applyBorder="1" applyAlignment="1">
      <alignment horizontal="left"/>
    </xf>
    <xf numFmtId="3" fontId="9" fillId="0" borderId="4" xfId="4" applyNumberFormat="1" applyFont="1" applyBorder="1" applyAlignment="1">
      <alignment horizontal="left"/>
    </xf>
    <xf numFmtId="49" fontId="9" fillId="0" borderId="0" xfId="4" applyNumberFormat="1" applyFont="1" applyAlignment="1">
      <alignment horizontal="left"/>
    </xf>
    <xf numFmtId="49" fontId="9" fillId="0" borderId="74" xfId="4" applyNumberFormat="1" applyFont="1" applyBorder="1" applyAlignment="1">
      <alignment horizontal="left"/>
    </xf>
    <xf numFmtId="3" fontId="9" fillId="0" borderId="13" xfId="4" applyNumberFormat="1" applyFont="1" applyBorder="1" applyAlignment="1">
      <alignment horizontal="left"/>
    </xf>
    <xf numFmtId="0" fontId="9" fillId="0" borderId="10" xfId="4" applyFont="1" applyBorder="1" applyAlignment="1">
      <alignment horizontal="left"/>
    </xf>
    <xf numFmtId="0" fontId="34" fillId="12" borderId="57" xfId="0" applyFont="1" applyFill="1" applyBorder="1" applyAlignment="1">
      <alignment horizontal="center" vertical="center" wrapText="1"/>
    </xf>
    <xf numFmtId="0" fontId="34" fillId="12" borderId="50" xfId="0" applyFont="1" applyFill="1" applyBorder="1" applyAlignment="1">
      <alignment horizontal="center" vertical="center" wrapText="1"/>
    </xf>
    <xf numFmtId="0" fontId="34" fillId="12" borderId="6" xfId="0" applyFont="1" applyFill="1" applyBorder="1" applyAlignment="1">
      <alignment horizontal="center" vertical="center" wrapText="1"/>
    </xf>
    <xf numFmtId="0" fontId="34" fillId="12" borderId="46" xfId="0" applyFont="1" applyFill="1" applyBorder="1" applyAlignment="1">
      <alignment horizontal="center" vertical="center" wrapText="1"/>
    </xf>
    <xf numFmtId="165" fontId="34" fillId="12" borderId="46" xfId="0" applyNumberFormat="1" applyFont="1" applyFill="1" applyBorder="1" applyAlignment="1">
      <alignment vertical="center" textRotation="90" wrapText="1"/>
    </xf>
    <xf numFmtId="165" fontId="34" fillId="12" borderId="46" xfId="0" applyNumberFormat="1" applyFont="1" applyFill="1" applyBorder="1" applyAlignment="1">
      <alignment horizontal="center" vertical="center" textRotation="90" wrapText="1"/>
    </xf>
    <xf numFmtId="165" fontId="34" fillId="12" borderId="51" xfId="0" applyNumberFormat="1" applyFont="1" applyFill="1" applyBorder="1" applyAlignment="1">
      <alignment horizontal="center" vertical="center" textRotation="90" wrapText="1"/>
    </xf>
    <xf numFmtId="0" fontId="34" fillId="12" borderId="20" xfId="0" applyFont="1" applyFill="1" applyBorder="1" applyAlignment="1">
      <alignment horizontal="center" vertical="center" wrapText="1"/>
    </xf>
    <xf numFmtId="165" fontId="9" fillId="0" borderId="0" xfId="0" applyNumberFormat="1" applyFont="1" applyAlignment="1">
      <alignment vertical="center"/>
    </xf>
    <xf numFmtId="0" fontId="10" fillId="0" borderId="0" xfId="0" applyFont="1" applyAlignment="1">
      <alignment horizontal="center" vertical="center" textRotation="90" wrapText="1"/>
    </xf>
    <xf numFmtId="14" fontId="26" fillId="0" borderId="27" xfId="0" applyNumberFormat="1" applyFont="1" applyBorder="1" applyAlignment="1">
      <alignment vertical="center"/>
    </xf>
    <xf numFmtId="4" fontId="26" fillId="0" borderId="27" xfId="9" applyNumberFormat="1" applyFont="1" applyBorder="1" applyAlignment="1">
      <alignment vertical="center"/>
    </xf>
    <xf numFmtId="4" fontId="26" fillId="0" borderId="27" xfId="0" applyNumberFormat="1" applyFont="1" applyBorder="1" applyAlignment="1">
      <alignment vertical="center"/>
    </xf>
    <xf numFmtId="49" fontId="26" fillId="0" borderId="27" xfId="0" applyNumberFormat="1" applyFont="1" applyBorder="1" applyAlignment="1">
      <alignment horizontal="left" vertical="center"/>
    </xf>
    <xf numFmtId="4" fontId="26" fillId="0" borderId="27" xfId="9" applyNumberFormat="1" applyFont="1" applyBorder="1" applyAlignment="1">
      <alignment horizontal="right" vertical="center"/>
    </xf>
    <xf numFmtId="0" fontId="26" fillId="0" borderId="27" xfId="4" applyFont="1" applyBorder="1" applyAlignment="1">
      <alignment horizontal="left" vertical="center"/>
    </xf>
    <xf numFmtId="0" fontId="26" fillId="0" borderId="27" xfId="4" applyFont="1" applyBorder="1" applyAlignment="1">
      <alignment vertical="center"/>
    </xf>
    <xf numFmtId="0" fontId="26" fillId="5" borderId="27" xfId="4" applyFont="1" applyFill="1" applyBorder="1" applyAlignment="1">
      <alignment vertical="center"/>
    </xf>
    <xf numFmtId="0" fontId="26" fillId="0" borderId="27" xfId="4" applyFont="1" applyBorder="1" applyAlignment="1">
      <alignment horizontal="center" vertical="center"/>
    </xf>
    <xf numFmtId="43" fontId="26" fillId="0" borderId="27" xfId="9" applyFont="1" applyBorder="1" applyAlignment="1">
      <alignment vertical="center"/>
    </xf>
    <xf numFmtId="0" fontId="26" fillId="0" borderId="27" xfId="0" applyFont="1" applyBorder="1" applyAlignment="1">
      <alignment horizontal="center" vertical="center" wrapText="1"/>
    </xf>
    <xf numFmtId="2" fontId="26" fillId="0" borderId="27" xfId="0" applyNumberFormat="1" applyFont="1" applyBorder="1" applyAlignment="1">
      <alignment vertical="center"/>
    </xf>
    <xf numFmtId="4" fontId="26" fillId="11" borderId="27" xfId="0" applyNumberFormat="1" applyFont="1" applyFill="1" applyBorder="1" applyAlignment="1">
      <alignment vertical="center"/>
    </xf>
    <xf numFmtId="14" fontId="26" fillId="0" borderId="27" xfId="0" applyNumberFormat="1" applyFont="1" applyBorder="1" applyAlignment="1">
      <alignment horizontal="left" vertical="center"/>
    </xf>
    <xf numFmtId="14" fontId="26" fillId="0" borderId="27" xfId="4" applyNumberFormat="1" applyFont="1" applyBorder="1" applyAlignment="1">
      <alignment vertical="center"/>
    </xf>
    <xf numFmtId="4" fontId="26" fillId="0" borderId="27" xfId="4" applyNumberFormat="1" applyFont="1" applyBorder="1" applyAlignment="1">
      <alignment vertical="center"/>
    </xf>
    <xf numFmtId="0" fontId="35" fillId="12" borderId="27" xfId="0" applyFont="1" applyFill="1" applyBorder="1" applyAlignment="1">
      <alignment vertical="center"/>
    </xf>
    <xf numFmtId="0" fontId="27" fillId="0" borderId="27" xfId="0" applyFont="1" applyBorder="1" applyAlignment="1">
      <alignment horizontal="left" vertical="center"/>
    </xf>
    <xf numFmtId="0" fontId="27" fillId="0" borderId="27" xfId="0" applyFont="1" applyBorder="1" applyAlignment="1">
      <alignment horizontal="left" vertical="center" wrapText="1"/>
    </xf>
    <xf numFmtId="0" fontId="59" fillId="0" borderId="27" xfId="0" applyFont="1" applyBorder="1" applyAlignment="1">
      <alignment horizontal="left" vertical="center" wrapText="1"/>
    </xf>
    <xf numFmtId="0" fontId="58" fillId="0" borderId="27" xfId="0" applyFont="1" applyBorder="1" applyAlignment="1">
      <alignment horizontal="left" vertical="center" wrapText="1"/>
    </xf>
    <xf numFmtId="0" fontId="26" fillId="5" borderId="27" xfId="6" applyFont="1" applyFill="1" applyBorder="1" applyAlignment="1">
      <alignment horizontal="left" vertical="center" wrapText="1"/>
    </xf>
    <xf numFmtId="0" fontId="9" fillId="5" borderId="27" xfId="0" applyFont="1" applyFill="1" applyBorder="1" applyAlignment="1">
      <alignment horizontal="center" vertical="center" wrapText="1"/>
    </xf>
    <xf numFmtId="49" fontId="9" fillId="5" borderId="27" xfId="0" applyNumberFormat="1" applyFont="1" applyFill="1" applyBorder="1" applyAlignment="1">
      <alignment horizontal="center" vertical="center" wrapText="1"/>
    </xf>
    <xf numFmtId="0" fontId="10" fillId="5" borderId="27" xfId="0" applyFont="1" applyFill="1" applyBorder="1" applyAlignment="1">
      <alignment horizontal="center" vertical="center" wrapText="1"/>
    </xf>
    <xf numFmtId="165" fontId="9" fillId="5" borderId="27" xfId="0" applyNumberFormat="1" applyFont="1" applyFill="1" applyBorder="1" applyAlignment="1">
      <alignment horizontal="center" vertical="center" textRotation="90" wrapText="1"/>
    </xf>
    <xf numFmtId="1" fontId="9" fillId="5" borderId="27" xfId="0" applyNumberFormat="1" applyFont="1" applyFill="1" applyBorder="1" applyAlignment="1">
      <alignment horizontal="center" vertical="center" wrapText="1"/>
    </xf>
    <xf numFmtId="0" fontId="31" fillId="0" borderId="27" xfId="6" applyFont="1" applyBorder="1" applyAlignment="1">
      <alignment horizontal="left" vertical="center" wrapText="1"/>
    </xf>
    <xf numFmtId="4" fontId="31" fillId="0" borderId="27" xfId="6" applyNumberFormat="1" applyFont="1" applyBorder="1" applyAlignment="1">
      <alignment horizontal="right" vertical="center" wrapText="1"/>
    </xf>
    <xf numFmtId="178" fontId="31" fillId="0" borderId="27" xfId="6" applyNumberFormat="1" applyFont="1" applyBorder="1" applyAlignment="1">
      <alignment horizontal="center" vertical="center" wrapText="1"/>
    </xf>
    <xf numFmtId="0" fontId="53" fillId="9" borderId="27" xfId="0" applyFont="1" applyFill="1" applyBorder="1" applyAlignment="1">
      <alignment horizontal="right" vertical="center" wrapText="1"/>
    </xf>
    <xf numFmtId="0" fontId="53" fillId="0" borderId="27" xfId="0" applyFont="1" applyBorder="1" applyAlignment="1">
      <alignment vertical="center" wrapText="1"/>
    </xf>
    <xf numFmtId="0" fontId="53" fillId="9" borderId="27" xfId="0" applyFont="1" applyFill="1" applyBorder="1" applyAlignment="1">
      <alignment horizontal="center" vertical="center" wrapText="1"/>
    </xf>
    <xf numFmtId="0" fontId="53" fillId="9" borderId="27" xfId="0" applyFont="1" applyFill="1" applyBorder="1" applyAlignment="1">
      <alignment vertical="center" wrapText="1"/>
    </xf>
    <xf numFmtId="4" fontId="53" fillId="9" borderId="27" xfId="0" applyNumberFormat="1" applyFont="1" applyFill="1" applyBorder="1" applyAlignment="1">
      <alignment horizontal="right" vertical="center" wrapText="1"/>
    </xf>
    <xf numFmtId="49" fontId="53" fillId="9" borderId="27" xfId="0" applyNumberFormat="1" applyFont="1" applyFill="1" applyBorder="1" applyAlignment="1">
      <alignment horizontal="right" vertical="center" wrapText="1"/>
    </xf>
    <xf numFmtId="0" fontId="31" fillId="0" borderId="27" xfId="0" applyFont="1" applyBorder="1" applyAlignment="1">
      <alignment vertical="center" wrapText="1"/>
    </xf>
    <xf numFmtId="0" fontId="53" fillId="0" borderId="27" xfId="0" applyFont="1" applyBorder="1" applyAlignment="1">
      <alignment horizontal="center" vertical="center" wrapText="1"/>
    </xf>
    <xf numFmtId="0" fontId="24" fillId="9" borderId="27" xfId="0" applyFont="1" applyFill="1" applyBorder="1" applyAlignment="1">
      <alignment horizontal="right" vertical="center" wrapText="1"/>
    </xf>
    <xf numFmtId="0" fontId="31" fillId="9" borderId="27" xfId="0" applyFont="1" applyFill="1" applyBorder="1" applyAlignment="1">
      <alignment horizontal="center" vertical="center" wrapText="1"/>
    </xf>
    <xf numFmtId="0" fontId="31" fillId="9" borderId="27" xfId="0" applyFont="1" applyFill="1" applyBorder="1" applyAlignment="1">
      <alignment vertical="center" wrapText="1"/>
    </xf>
    <xf numFmtId="4" fontId="31" fillId="9" borderId="27" xfId="0" applyNumberFormat="1" applyFont="1" applyFill="1" applyBorder="1" applyAlignment="1">
      <alignment horizontal="right" vertical="center" wrapText="1"/>
    </xf>
    <xf numFmtId="4" fontId="24" fillId="9" borderId="27" xfId="0" applyNumberFormat="1" applyFont="1" applyFill="1" applyBorder="1" applyAlignment="1">
      <alignment horizontal="right" vertical="center" wrapText="1"/>
    </xf>
    <xf numFmtId="0" fontId="24" fillId="0" borderId="27" xfId="4" applyFont="1" applyBorder="1" applyAlignment="1">
      <alignment horizontal="left" vertical="center" wrapText="1"/>
    </xf>
    <xf numFmtId="0" fontId="9" fillId="5" borderId="27" xfId="0" applyFont="1" applyFill="1" applyBorder="1" applyAlignment="1">
      <alignment vertical="center" wrapText="1"/>
    </xf>
    <xf numFmtId="49" fontId="9" fillId="5" borderId="27" xfId="0" applyNumberFormat="1" applyFont="1" applyFill="1" applyBorder="1" applyAlignment="1">
      <alignment vertical="center" wrapText="1"/>
    </xf>
    <xf numFmtId="0" fontId="31" fillId="5" borderId="27" xfId="0" applyFont="1" applyFill="1" applyBorder="1" applyAlignment="1">
      <alignment vertical="center" wrapText="1"/>
    </xf>
    <xf numFmtId="4" fontId="9" fillId="0" borderId="0" xfId="0" applyNumberFormat="1" applyFont="1" applyAlignment="1">
      <alignment horizontal="right" vertical="center" wrapText="1"/>
    </xf>
    <xf numFmtId="49" fontId="26" fillId="5" borderId="27" xfId="0" applyNumberFormat="1" applyFont="1" applyFill="1" applyBorder="1" applyAlignment="1">
      <alignment horizontal="left" vertical="center" wrapText="1"/>
    </xf>
    <xf numFmtId="0" fontId="26" fillId="5" borderId="27" xfId="0" applyFont="1" applyFill="1" applyBorder="1" applyAlignment="1">
      <alignment horizontal="left" vertical="center" wrapText="1"/>
    </xf>
    <xf numFmtId="0" fontId="26" fillId="5" borderId="27" xfId="6" applyFont="1" applyFill="1" applyBorder="1" applyAlignment="1">
      <alignment vertical="center" wrapText="1"/>
    </xf>
    <xf numFmtId="49" fontId="24" fillId="0" borderId="27" xfId="4" applyNumberFormat="1" applyFont="1" applyBorder="1" applyAlignment="1">
      <alignment vertical="center" wrapText="1"/>
    </xf>
    <xf numFmtId="0" fontId="24" fillId="0" borderId="27" xfId="4" applyFont="1" applyBorder="1" applyAlignment="1">
      <alignment vertical="center" wrapText="1"/>
    </xf>
    <xf numFmtId="0" fontId="24" fillId="0" borderId="27" xfId="4" applyFont="1" applyBorder="1" applyAlignment="1">
      <alignment horizontal="center" vertical="center" wrapText="1"/>
    </xf>
    <xf numFmtId="165" fontId="24" fillId="0" borderId="27" xfId="0" applyNumberFormat="1" applyFont="1" applyBorder="1" applyAlignment="1">
      <alignment horizontal="center" vertical="center" wrapText="1"/>
    </xf>
    <xf numFmtId="49" fontId="31" fillId="0" borderId="27" xfId="0" applyNumberFormat="1" applyFont="1" applyBorder="1" applyAlignment="1">
      <alignment horizontal="center" vertical="center" wrapText="1"/>
    </xf>
    <xf numFmtId="4" fontId="10" fillId="0" borderId="0" xfId="2" applyNumberFormat="1" applyFont="1" applyAlignment="1">
      <alignment vertical="center" wrapText="1"/>
    </xf>
    <xf numFmtId="4" fontId="9" fillId="0" borderId="0" xfId="0" applyNumberFormat="1" applyFont="1" applyAlignment="1">
      <alignment vertical="center" wrapText="1"/>
    </xf>
    <xf numFmtId="165" fontId="9" fillId="0" borderId="0" xfId="0" applyNumberFormat="1" applyFont="1" applyAlignment="1">
      <alignment vertical="center" wrapText="1"/>
    </xf>
    <xf numFmtId="0" fontId="9" fillId="0" borderId="27" xfId="0" quotePrefix="1" applyFont="1" applyBorder="1" applyAlignment="1">
      <alignment horizontal="center" vertical="center" wrapText="1"/>
    </xf>
    <xf numFmtId="1" fontId="9" fillId="0" borderId="27" xfId="0" applyNumberFormat="1" applyFont="1" applyBorder="1" applyAlignment="1">
      <alignment horizontal="center" vertical="center" wrapText="1"/>
    </xf>
    <xf numFmtId="4" fontId="9" fillId="0" borderId="27" xfId="0" applyNumberFormat="1" applyFont="1" applyBorder="1" applyAlignment="1">
      <alignment horizontal="right" vertical="center" wrapText="1"/>
    </xf>
    <xf numFmtId="177" fontId="9" fillId="0" borderId="27" xfId="0" applyNumberFormat="1" applyFont="1" applyBorder="1" applyAlignment="1">
      <alignment vertical="center" wrapText="1"/>
    </xf>
    <xf numFmtId="177" fontId="9" fillId="0" borderId="27" xfId="0" applyNumberFormat="1" applyFont="1" applyBorder="1" applyAlignment="1">
      <alignment horizontal="center" vertical="center" wrapText="1"/>
    </xf>
    <xf numFmtId="0" fontId="26" fillId="5" borderId="27" xfId="6" quotePrefix="1" applyFont="1" applyFill="1" applyBorder="1" applyAlignment="1">
      <alignment vertical="center" wrapText="1"/>
    </xf>
    <xf numFmtId="4" fontId="58" fillId="0" borderId="27" xfId="0" applyNumberFormat="1" applyFont="1" applyBorder="1" applyAlignment="1">
      <alignment vertical="center" wrapText="1"/>
    </xf>
    <xf numFmtId="49" fontId="26" fillId="0" borderId="27" xfId="0" applyNumberFormat="1" applyFont="1" applyBorder="1" applyAlignment="1">
      <alignment horizontal="center" vertical="center" wrapText="1"/>
    </xf>
    <xf numFmtId="0" fontId="26" fillId="0" borderId="27" xfId="2" applyFont="1" applyBorder="1" applyAlignment="1">
      <alignment horizontal="center" vertical="center" wrapText="1"/>
    </xf>
    <xf numFmtId="0" fontId="26" fillId="5" borderId="27" xfId="2" applyFont="1" applyFill="1" applyBorder="1" applyAlignment="1">
      <alignment horizontal="center" vertical="center" wrapText="1"/>
    </xf>
    <xf numFmtId="49" fontId="26" fillId="0" borderId="27" xfId="0" applyNumberFormat="1" applyFont="1" applyBorder="1" applyAlignment="1">
      <alignment vertical="center" wrapText="1"/>
    </xf>
    <xf numFmtId="4" fontId="26" fillId="0" borderId="27" xfId="0" applyNumberFormat="1" applyFont="1" applyBorder="1" applyAlignment="1">
      <alignment horizontal="right" vertical="center" wrapText="1"/>
    </xf>
    <xf numFmtId="4" fontId="58" fillId="5" borderId="27" xfId="0" applyNumberFormat="1" applyFont="1" applyFill="1" applyBorder="1" applyAlignment="1">
      <alignment vertical="center" wrapText="1"/>
    </xf>
    <xf numFmtId="4" fontId="26" fillId="0" borderId="27" xfId="0" applyNumberFormat="1" applyFont="1" applyBorder="1" applyAlignment="1">
      <alignment vertical="center" wrapText="1"/>
    </xf>
    <xf numFmtId="0" fontId="26" fillId="5" borderId="27" xfId="6" quotePrefix="1" applyFont="1" applyFill="1" applyBorder="1" applyAlignment="1">
      <alignment horizontal="left" vertical="center" wrapText="1"/>
    </xf>
    <xf numFmtId="0" fontId="26" fillId="5" borderId="27" xfId="6" applyFont="1" applyFill="1" applyBorder="1" applyAlignment="1">
      <alignment horizontal="center" vertical="center" wrapText="1"/>
    </xf>
    <xf numFmtId="49" fontId="26" fillId="0" borderId="27" xfId="0" applyNumberFormat="1" applyFont="1" applyBorder="1" applyAlignment="1">
      <alignment horizontal="left" vertical="center" wrapText="1"/>
    </xf>
    <xf numFmtId="4" fontId="24" fillId="0" borderId="27" xfId="5" applyNumberFormat="1" applyFont="1" applyBorder="1" applyAlignment="1">
      <alignment vertical="center" wrapText="1"/>
    </xf>
    <xf numFmtId="4" fontId="24" fillId="0" borderId="27" xfId="5" applyNumberFormat="1" applyFont="1" applyBorder="1" applyAlignment="1">
      <alignment horizontal="right" vertical="center" wrapText="1"/>
    </xf>
    <xf numFmtId="4" fontId="24" fillId="0" borderId="27" xfId="4" applyNumberFormat="1" applyFont="1" applyBorder="1" applyAlignment="1">
      <alignment horizontal="right" vertical="center" wrapText="1"/>
    </xf>
    <xf numFmtId="0" fontId="20" fillId="0" borderId="0" xfId="0" applyFont="1" applyAlignment="1">
      <alignment vertical="center" wrapText="1"/>
    </xf>
    <xf numFmtId="4" fontId="9" fillId="5" borderId="27" xfId="0" applyNumberFormat="1" applyFont="1" applyFill="1" applyBorder="1" applyAlignment="1">
      <alignment horizontal="right" vertical="center" wrapText="1"/>
    </xf>
    <xf numFmtId="0" fontId="9" fillId="5" borderId="27" xfId="0" quotePrefix="1" applyFont="1" applyFill="1" applyBorder="1" applyAlignment="1">
      <alignment horizontal="center" vertical="center" wrapText="1"/>
    </xf>
    <xf numFmtId="0" fontId="9" fillId="5" borderId="27" xfId="0" applyFont="1" applyFill="1" applyBorder="1" applyAlignment="1">
      <alignment horizontal="left" vertical="center" wrapText="1"/>
    </xf>
    <xf numFmtId="0" fontId="31" fillId="5" borderId="27" xfId="0" quotePrefix="1" applyFont="1" applyFill="1" applyBorder="1" applyAlignment="1">
      <alignment horizontal="center" vertical="center" wrapText="1"/>
    </xf>
    <xf numFmtId="165" fontId="9" fillId="0" borderId="27" xfId="0" applyNumberFormat="1" applyFont="1" applyBorder="1" applyAlignment="1">
      <alignment vertical="center" wrapText="1"/>
    </xf>
    <xf numFmtId="4" fontId="24" fillId="0" borderId="27" xfId="0" applyNumberFormat="1" applyFont="1" applyBorder="1" applyAlignment="1">
      <alignment vertical="center" wrapText="1"/>
    </xf>
    <xf numFmtId="49" fontId="53" fillId="0" borderId="27" xfId="0" applyNumberFormat="1" applyFont="1" applyBorder="1" applyAlignment="1">
      <alignment horizontal="right" vertical="center" wrapText="1"/>
    </xf>
    <xf numFmtId="4" fontId="24" fillId="0" borderId="27" xfId="4" applyNumberFormat="1" applyFont="1" applyBorder="1" applyAlignment="1">
      <alignment vertical="center" wrapText="1"/>
    </xf>
    <xf numFmtId="0" fontId="24" fillId="0" borderId="27" xfId="2" applyFont="1" applyBorder="1" applyAlignment="1">
      <alignment horizontal="center" vertical="center" wrapText="1"/>
    </xf>
    <xf numFmtId="181" fontId="24" fillId="0" borderId="27" xfId="18" applyNumberFormat="1" applyFont="1" applyFill="1" applyBorder="1" applyAlignment="1">
      <alignment vertical="center" wrapText="1"/>
    </xf>
    <xf numFmtId="1" fontId="24" fillId="0" borderId="27" xfId="4" applyNumberFormat="1" applyFont="1" applyBorder="1" applyAlignment="1">
      <alignment vertical="center" wrapText="1"/>
    </xf>
    <xf numFmtId="173" fontId="24" fillId="0" borderId="27" xfId="5" applyNumberFormat="1" applyFont="1" applyBorder="1" applyAlignment="1">
      <alignment vertical="center" wrapText="1"/>
    </xf>
    <xf numFmtId="49" fontId="24" fillId="0" borderId="27" xfId="4" applyNumberFormat="1" applyFont="1" applyBorder="1" applyAlignment="1">
      <alignment horizontal="center" vertical="center" wrapText="1"/>
    </xf>
    <xf numFmtId="0" fontId="9" fillId="0" borderId="27" xfId="0" quotePrefix="1" applyFont="1" applyBorder="1" applyAlignment="1">
      <alignment horizontal="left" vertical="center" wrapText="1"/>
    </xf>
    <xf numFmtId="0" fontId="34" fillId="12" borderId="27" xfId="0" applyFont="1" applyFill="1" applyBorder="1" applyAlignment="1">
      <alignment horizontal="left" vertical="center"/>
    </xf>
    <xf numFmtId="0" fontId="34" fillId="12" borderId="27" xfId="0" applyFont="1" applyFill="1" applyBorder="1" applyAlignment="1">
      <alignment vertical="center" wrapText="1"/>
    </xf>
    <xf numFmtId="165" fontId="34" fillId="12" borderId="27" xfId="0" applyNumberFormat="1" applyFont="1" applyFill="1" applyBorder="1" applyAlignment="1">
      <alignment vertical="center" wrapText="1"/>
    </xf>
    <xf numFmtId="4" fontId="34" fillId="12" borderId="27" xfId="0" applyNumberFormat="1" applyFont="1" applyFill="1" applyBorder="1" applyAlignment="1">
      <alignment horizontal="right" vertical="center" wrapText="1"/>
    </xf>
    <xf numFmtId="165" fontId="34" fillId="12" borderId="27" xfId="0" applyNumberFormat="1" applyFont="1" applyFill="1" applyBorder="1" applyAlignment="1">
      <alignment horizontal="center" vertical="center" textRotation="90" wrapText="1"/>
    </xf>
    <xf numFmtId="49" fontId="9" fillId="0" borderId="27" xfId="0" applyNumberFormat="1" applyFont="1" applyBorder="1" applyAlignment="1">
      <alignment horizontal="left" vertical="center" wrapText="1"/>
    </xf>
    <xf numFmtId="2" fontId="9" fillId="0" borderId="27" xfId="0" applyNumberFormat="1" applyFont="1" applyBorder="1" applyAlignment="1">
      <alignment horizontal="left" vertical="center" wrapText="1"/>
    </xf>
    <xf numFmtId="49" fontId="9" fillId="0" borderId="27" xfId="0" applyNumberFormat="1" applyFont="1" applyBorder="1" applyAlignment="1">
      <alignment horizontal="center" vertical="center" wrapText="1"/>
    </xf>
    <xf numFmtId="49" fontId="9" fillId="5" borderId="27" xfId="0" applyNumberFormat="1" applyFont="1" applyFill="1" applyBorder="1" applyAlignment="1">
      <alignment horizontal="left" vertical="center" wrapText="1"/>
    </xf>
    <xf numFmtId="2" fontId="9" fillId="5" borderId="27" xfId="0" applyNumberFormat="1" applyFont="1" applyFill="1" applyBorder="1" applyAlignment="1">
      <alignment horizontal="left" vertical="center" wrapText="1"/>
    </xf>
    <xf numFmtId="4" fontId="9" fillId="5" borderId="27" xfId="12" applyNumberFormat="1" applyFont="1" applyFill="1" applyBorder="1" applyAlignment="1">
      <alignment horizontal="right" vertical="center" wrapText="1"/>
    </xf>
    <xf numFmtId="43" fontId="9" fillId="5" borderId="27" xfId="12" applyFont="1" applyFill="1" applyBorder="1" applyAlignment="1">
      <alignment horizontal="center" vertical="center" wrapText="1"/>
    </xf>
    <xf numFmtId="43" fontId="9" fillId="5" borderId="27" xfId="12" applyFont="1" applyFill="1" applyBorder="1" applyAlignment="1">
      <alignment horizontal="left" vertical="center" wrapText="1"/>
    </xf>
    <xf numFmtId="43" fontId="9" fillId="0" borderId="27" xfId="12" applyFont="1" applyBorder="1" applyAlignment="1">
      <alignment horizontal="center" vertical="center" wrapText="1"/>
    </xf>
    <xf numFmtId="0" fontId="20" fillId="5" borderId="27" xfId="0" applyFont="1" applyFill="1" applyBorder="1" applyAlignment="1">
      <alignment vertical="center" wrapText="1"/>
    </xf>
    <xf numFmtId="4" fontId="20" fillId="5" borderId="27" xfId="12" applyNumberFormat="1" applyFont="1" applyFill="1" applyBorder="1" applyAlignment="1">
      <alignment vertical="center" wrapText="1"/>
    </xf>
    <xf numFmtId="0" fontId="21" fillId="5" borderId="27" xfId="0" applyFont="1" applyFill="1" applyBorder="1" applyAlignment="1">
      <alignment horizontal="center" vertical="center" wrapText="1"/>
    </xf>
    <xf numFmtId="0" fontId="20" fillId="5" borderId="27" xfId="0" applyFont="1" applyFill="1" applyBorder="1" applyAlignment="1">
      <alignment horizontal="center" vertical="center" wrapText="1"/>
    </xf>
    <xf numFmtId="165" fontId="20" fillId="5" borderId="27" xfId="0" applyNumberFormat="1" applyFont="1" applyFill="1" applyBorder="1" applyAlignment="1">
      <alignment vertical="center" wrapText="1"/>
    </xf>
    <xf numFmtId="1" fontId="20" fillId="5" borderId="27" xfId="0" applyNumberFormat="1" applyFont="1" applyFill="1" applyBorder="1" applyAlignment="1">
      <alignment horizontal="center" vertical="center" wrapText="1"/>
    </xf>
    <xf numFmtId="4" fontId="20" fillId="5" borderId="27" xfId="12" applyNumberFormat="1" applyFont="1" applyFill="1" applyBorder="1" applyAlignment="1">
      <alignment horizontal="right" vertical="center" wrapText="1"/>
    </xf>
    <xf numFmtId="4" fontId="34" fillId="12" borderId="27" xfId="2" applyNumberFormat="1" applyFont="1" applyFill="1" applyBorder="1" applyAlignment="1">
      <alignment vertical="center" wrapText="1"/>
    </xf>
    <xf numFmtId="4" fontId="34" fillId="12" borderId="27" xfId="2" applyNumberFormat="1" applyFont="1" applyFill="1" applyBorder="1" applyAlignment="1">
      <alignment horizontal="right" vertical="center" wrapText="1"/>
    </xf>
    <xf numFmtId="0" fontId="35" fillId="12" borderId="27" xfId="0" applyFont="1" applyFill="1" applyBorder="1" applyAlignment="1">
      <alignment vertical="center" wrapText="1"/>
    </xf>
    <xf numFmtId="4" fontId="35" fillId="12" borderId="27" xfId="0" applyNumberFormat="1" applyFont="1" applyFill="1" applyBorder="1" applyAlignment="1">
      <alignment vertical="center" wrapText="1"/>
    </xf>
    <xf numFmtId="0" fontId="35" fillId="12" borderId="27" xfId="0" applyFont="1" applyFill="1" applyBorder="1" applyAlignment="1">
      <alignment horizontal="center" vertical="center" wrapText="1"/>
    </xf>
    <xf numFmtId="165" fontId="35" fillId="12" borderId="27" xfId="0" applyNumberFormat="1" applyFont="1" applyFill="1" applyBorder="1" applyAlignment="1">
      <alignment vertical="center" wrapText="1"/>
    </xf>
    <xf numFmtId="4" fontId="35" fillId="12" borderId="27" xfId="0" applyNumberFormat="1" applyFont="1" applyFill="1" applyBorder="1" applyAlignment="1">
      <alignment horizontal="right" vertical="center" wrapText="1"/>
    </xf>
    <xf numFmtId="4" fontId="9" fillId="0" borderId="27" xfId="12" applyNumberFormat="1" applyFont="1" applyBorder="1" applyAlignment="1">
      <alignment horizontal="right" vertical="center" wrapText="1"/>
    </xf>
    <xf numFmtId="43" fontId="9" fillId="0" borderId="27" xfId="12" applyFont="1" applyBorder="1" applyAlignment="1">
      <alignment vertical="center" wrapText="1"/>
    </xf>
    <xf numFmtId="4" fontId="9" fillId="0" borderId="27" xfId="0" applyNumberFormat="1" applyFont="1" applyBorder="1" applyAlignment="1">
      <alignment horizontal="center" vertical="center" wrapText="1"/>
    </xf>
    <xf numFmtId="43" fontId="9" fillId="0" borderId="27" xfId="0" applyNumberFormat="1" applyFont="1" applyBorder="1" applyAlignment="1">
      <alignment horizontal="center" vertical="center" wrapText="1"/>
    </xf>
    <xf numFmtId="43" fontId="34" fillId="12" borderId="27" xfId="0" applyNumberFormat="1" applyFont="1" applyFill="1" applyBorder="1" applyAlignment="1">
      <alignment vertical="center" wrapText="1"/>
    </xf>
    <xf numFmtId="4" fontId="38" fillId="0" borderId="27" xfId="12" applyNumberFormat="1" applyFont="1" applyFill="1" applyBorder="1" applyAlignment="1">
      <alignment horizontal="center" vertical="center" wrapText="1"/>
    </xf>
    <xf numFmtId="4" fontId="38" fillId="0" borderId="27" xfId="12" quotePrefix="1" applyNumberFormat="1" applyFont="1" applyFill="1" applyBorder="1" applyAlignment="1">
      <alignment horizontal="center" vertical="center" wrapText="1"/>
    </xf>
    <xf numFmtId="4" fontId="39" fillId="0" borderId="27" xfId="12" quotePrefix="1" applyNumberFormat="1" applyFont="1" applyFill="1" applyBorder="1" applyAlignment="1">
      <alignment horizontal="center" vertical="center" wrapText="1"/>
    </xf>
    <xf numFmtId="4" fontId="26" fillId="0" borderId="27" xfId="12" quotePrefix="1" applyNumberFormat="1" applyFont="1" applyFill="1" applyBorder="1" applyAlignment="1">
      <alignment horizontal="center" vertical="center" wrapText="1"/>
    </xf>
    <xf numFmtId="4" fontId="24" fillId="0" borderId="27" xfId="12" quotePrefix="1" applyNumberFormat="1" applyFont="1" applyFill="1" applyBorder="1" applyAlignment="1">
      <alignment horizontal="center" vertical="center" wrapText="1"/>
    </xf>
    <xf numFmtId="43" fontId="26" fillId="0" borderId="27" xfId="12" quotePrefix="1" applyFont="1" applyFill="1" applyBorder="1" applyAlignment="1">
      <alignment horizontal="center" vertical="center" wrapText="1"/>
    </xf>
    <xf numFmtId="4" fontId="26" fillId="0" borderId="27" xfId="12" quotePrefix="1" applyNumberFormat="1" applyFont="1" applyFill="1" applyBorder="1" applyAlignment="1">
      <alignment horizontal="right" vertical="center" wrapText="1"/>
    </xf>
    <xf numFmtId="0" fontId="31" fillId="5" borderId="27" xfId="0" applyFont="1" applyFill="1" applyBorder="1" applyAlignment="1">
      <alignment horizontal="center" vertical="center" wrapText="1"/>
    </xf>
    <xf numFmtId="0" fontId="31" fillId="0" borderId="27" xfId="0" applyFont="1" applyBorder="1" applyAlignment="1">
      <alignment horizontal="center" vertical="center" wrapText="1"/>
    </xf>
    <xf numFmtId="176" fontId="24" fillId="5" borderId="27" xfId="0" applyNumberFormat="1" applyFont="1" applyFill="1" applyBorder="1" applyAlignment="1" applyProtection="1">
      <alignment vertical="center" wrapText="1"/>
      <protection locked="0"/>
    </xf>
    <xf numFmtId="176" fontId="31" fillId="0" borderId="27" xfId="0" applyNumberFormat="1" applyFont="1" applyBorder="1" applyAlignment="1">
      <alignment horizontal="center" vertical="center" wrapText="1"/>
    </xf>
    <xf numFmtId="4" fontId="10" fillId="0" borderId="27" xfId="0" applyNumberFormat="1" applyFont="1" applyBorder="1" applyAlignment="1">
      <alignment vertical="center" wrapText="1"/>
    </xf>
    <xf numFmtId="4" fontId="10" fillId="0" borderId="27" xfId="0" applyNumberFormat="1" applyFont="1" applyBorder="1" applyAlignment="1">
      <alignment horizontal="right" vertical="center" wrapText="1"/>
    </xf>
    <xf numFmtId="1" fontId="10" fillId="0" borderId="27" xfId="0" applyNumberFormat="1" applyFont="1" applyBorder="1" applyAlignment="1">
      <alignment horizontal="center" vertical="center" wrapText="1"/>
    </xf>
    <xf numFmtId="0" fontId="58" fillId="5" borderId="27" xfId="0" applyFont="1" applyFill="1" applyBorder="1" applyAlignment="1">
      <alignment horizontal="left" vertical="center" wrapText="1"/>
    </xf>
    <xf numFmtId="0" fontId="26" fillId="5" borderId="27" xfId="0" applyFont="1" applyFill="1" applyBorder="1" applyAlignment="1">
      <alignment horizontal="center" vertical="center" wrapText="1"/>
    </xf>
    <xf numFmtId="4" fontId="60" fillId="12" borderId="27" xfId="0" applyNumberFormat="1" applyFont="1" applyFill="1" applyBorder="1" applyAlignment="1">
      <alignment vertical="center" wrapText="1"/>
    </xf>
    <xf numFmtId="0" fontId="60" fillId="12" borderId="27" xfId="0" applyFont="1" applyFill="1" applyBorder="1" applyAlignment="1">
      <alignment horizontal="center" vertical="center" wrapText="1"/>
    </xf>
    <xf numFmtId="0" fontId="60" fillId="12" borderId="27" xfId="2" applyFont="1" applyFill="1" applyBorder="1" applyAlignment="1">
      <alignment horizontal="left" vertical="center" wrapText="1"/>
    </xf>
    <xf numFmtId="0" fontId="60" fillId="12" borderId="27" xfId="2" applyFont="1" applyFill="1" applyBorder="1" applyAlignment="1">
      <alignment horizontal="center" vertical="center" wrapText="1"/>
    </xf>
    <xf numFmtId="0" fontId="60" fillId="12" borderId="27" xfId="6" applyFont="1" applyFill="1" applyBorder="1" applyAlignment="1">
      <alignment horizontal="center" vertical="center" wrapText="1"/>
    </xf>
    <xf numFmtId="49" fontId="60" fillId="12" borderId="27" xfId="0" applyNumberFormat="1" applyFont="1" applyFill="1" applyBorder="1" applyAlignment="1">
      <alignment vertical="center" wrapText="1"/>
    </xf>
    <xf numFmtId="4" fontId="60" fillId="12" borderId="27" xfId="0" applyNumberFormat="1" applyFont="1" applyFill="1" applyBorder="1" applyAlignment="1">
      <alignment horizontal="right" vertical="center" wrapText="1"/>
    </xf>
    <xf numFmtId="4" fontId="34" fillId="12" borderId="27" xfId="4" applyNumberFormat="1" applyFont="1" applyFill="1" applyBorder="1" applyAlignment="1">
      <alignment horizontal="center" vertical="center" wrapText="1"/>
    </xf>
    <xf numFmtId="165" fontId="34" fillId="12" borderId="27" xfId="4" applyNumberFormat="1" applyFont="1" applyFill="1" applyBorder="1" applyAlignment="1">
      <alignment horizontal="center" vertical="center" textRotation="90" wrapText="1"/>
    </xf>
    <xf numFmtId="4" fontId="34" fillId="12" borderId="27" xfId="4" applyNumberFormat="1" applyFont="1" applyFill="1" applyBorder="1" applyAlignment="1">
      <alignment horizontal="right" vertical="center" textRotation="90" wrapText="1"/>
    </xf>
    <xf numFmtId="0" fontId="9" fillId="0" borderId="27" xfId="4" applyFont="1" applyBorder="1" applyAlignment="1">
      <alignment vertical="center" wrapText="1"/>
    </xf>
    <xf numFmtId="0" fontId="9" fillId="0" borderId="27" xfId="4" applyFont="1" applyBorder="1" applyAlignment="1">
      <alignment horizontal="left" vertical="center" wrapText="1"/>
    </xf>
    <xf numFmtId="4" fontId="9" fillId="0" borderId="27" xfId="4" applyNumberFormat="1" applyFont="1" applyBorder="1" applyAlignment="1">
      <alignment vertical="center" wrapText="1"/>
    </xf>
    <xf numFmtId="0" fontId="9" fillId="0" borderId="27" xfId="4" applyFont="1" applyBorder="1" applyAlignment="1">
      <alignment horizontal="center" vertical="center" wrapText="1"/>
    </xf>
    <xf numFmtId="165" fontId="9" fillId="0" borderId="27" xfId="4" applyNumberFormat="1" applyFont="1" applyBorder="1" applyAlignment="1">
      <alignment vertical="center" wrapText="1"/>
    </xf>
    <xf numFmtId="4" fontId="9" fillId="0" borderId="27" xfId="4" applyNumberFormat="1" applyFont="1" applyBorder="1" applyAlignment="1">
      <alignment horizontal="right" vertical="center" wrapText="1"/>
    </xf>
    <xf numFmtId="4" fontId="9" fillId="0" borderId="27" xfId="12" applyNumberFormat="1" applyFont="1" applyBorder="1" applyAlignment="1">
      <alignment vertical="center" wrapText="1"/>
    </xf>
    <xf numFmtId="49" fontId="9" fillId="0" borderId="27" xfId="4" applyNumberFormat="1" applyFont="1" applyBorder="1" applyAlignment="1">
      <alignment horizontal="right" vertical="center" wrapText="1"/>
    </xf>
    <xf numFmtId="4" fontId="9" fillId="0" borderId="27" xfId="12" applyNumberFormat="1" applyFont="1" applyFill="1" applyBorder="1" applyAlignment="1">
      <alignment vertical="center" wrapText="1"/>
    </xf>
    <xf numFmtId="0" fontId="35" fillId="12" borderId="27" xfId="4" applyFont="1" applyFill="1" applyBorder="1" applyAlignment="1">
      <alignment vertical="center" wrapText="1"/>
    </xf>
    <xf numFmtId="4" fontId="35" fillId="12" borderId="27" xfId="4" applyNumberFormat="1" applyFont="1" applyFill="1" applyBorder="1" applyAlignment="1">
      <alignment vertical="center" wrapText="1"/>
    </xf>
    <xf numFmtId="0" fontId="35" fillId="12" borderId="27" xfId="4" applyFont="1" applyFill="1" applyBorder="1" applyAlignment="1">
      <alignment horizontal="center" vertical="center" wrapText="1"/>
    </xf>
    <xf numFmtId="165" fontId="35" fillId="12" borderId="27" xfId="4" applyNumberFormat="1" applyFont="1" applyFill="1" applyBorder="1" applyAlignment="1">
      <alignment vertical="center" wrapText="1"/>
    </xf>
    <xf numFmtId="4" fontId="35" fillId="12" borderId="27" xfId="4" applyNumberFormat="1" applyFont="1" applyFill="1" applyBorder="1" applyAlignment="1">
      <alignment horizontal="right" vertical="center" wrapText="1"/>
    </xf>
    <xf numFmtId="49" fontId="9" fillId="0" borderId="27" xfId="0" applyNumberFormat="1" applyFont="1" applyBorder="1" applyAlignment="1">
      <alignment vertical="center" wrapText="1"/>
    </xf>
    <xf numFmtId="49" fontId="9" fillId="0" borderId="27" xfId="0" applyNumberFormat="1" applyFont="1" applyBorder="1" applyAlignment="1">
      <alignment horizontal="right" vertical="center" wrapText="1"/>
    </xf>
    <xf numFmtId="49" fontId="9" fillId="0" borderId="27" xfId="12" applyNumberFormat="1" applyFont="1" applyBorder="1" applyAlignment="1">
      <alignment horizontal="right" vertical="center" wrapText="1"/>
    </xf>
    <xf numFmtId="4" fontId="34" fillId="12" borderId="27" xfId="12" applyNumberFormat="1" applyFont="1" applyFill="1" applyBorder="1" applyAlignment="1">
      <alignment horizontal="right" vertical="center" wrapText="1"/>
    </xf>
    <xf numFmtId="0" fontId="63" fillId="12" borderId="27" xfId="0" applyFont="1" applyFill="1" applyBorder="1" applyAlignment="1">
      <alignment vertical="center" wrapText="1"/>
    </xf>
    <xf numFmtId="0" fontId="63" fillId="12" borderId="27" xfId="0" applyFont="1" applyFill="1" applyBorder="1" applyAlignment="1">
      <alignment horizontal="left" vertical="center" wrapText="1"/>
    </xf>
    <xf numFmtId="4" fontId="63" fillId="12" borderId="27" xfId="0" applyNumberFormat="1" applyFont="1" applyFill="1" applyBorder="1" applyAlignment="1">
      <alignment vertical="center" wrapText="1"/>
    </xf>
    <xf numFmtId="0" fontId="63" fillId="12" borderId="27" xfId="0" applyFont="1" applyFill="1" applyBorder="1" applyAlignment="1">
      <alignment horizontal="center" vertical="center" wrapText="1"/>
    </xf>
    <xf numFmtId="165" fontId="63" fillId="12" borderId="27" xfId="0" applyNumberFormat="1" applyFont="1" applyFill="1" applyBorder="1" applyAlignment="1">
      <alignment vertical="center" wrapText="1"/>
    </xf>
    <xf numFmtId="4" fontId="63" fillId="12" borderId="27" xfId="0" applyNumberFormat="1" applyFont="1" applyFill="1" applyBorder="1" applyAlignment="1">
      <alignment horizontal="right" vertical="center" wrapText="1"/>
    </xf>
    <xf numFmtId="0" fontId="62" fillId="12" borderId="27" xfId="0" applyFont="1" applyFill="1" applyBorder="1" applyAlignment="1">
      <alignment vertical="center" wrapText="1"/>
    </xf>
    <xf numFmtId="0" fontId="62" fillId="12" borderId="27" xfId="0" applyFont="1" applyFill="1" applyBorder="1" applyAlignment="1">
      <alignment horizontal="left" vertical="center" wrapText="1"/>
    </xf>
    <xf numFmtId="4" fontId="62" fillId="12" borderId="27" xfId="0" applyNumberFormat="1" applyFont="1" applyFill="1" applyBorder="1" applyAlignment="1">
      <alignment vertical="center" wrapText="1"/>
    </xf>
    <xf numFmtId="0" fontId="62" fillId="12" borderId="27" xfId="0" applyFont="1" applyFill="1" applyBorder="1" applyAlignment="1">
      <alignment horizontal="center" vertical="center" wrapText="1"/>
    </xf>
    <xf numFmtId="4" fontId="62" fillId="12" borderId="27" xfId="0" applyNumberFormat="1" applyFont="1" applyFill="1" applyBorder="1" applyAlignment="1">
      <alignment horizontal="center" vertical="center" wrapText="1"/>
    </xf>
    <xf numFmtId="165" fontId="62" fillId="12" borderId="27" xfId="0" applyNumberFormat="1" applyFont="1" applyFill="1" applyBorder="1" applyAlignment="1">
      <alignment horizontal="center" vertical="center" textRotation="90" wrapText="1"/>
    </xf>
    <xf numFmtId="4" fontId="62" fillId="12" borderId="27" xfId="0" applyNumberFormat="1" applyFont="1" applyFill="1" applyBorder="1" applyAlignment="1">
      <alignment horizontal="right" vertical="center" textRotation="90" wrapText="1"/>
    </xf>
    <xf numFmtId="4" fontId="24" fillId="0" borderId="27" xfId="12" applyNumberFormat="1" applyFont="1" applyBorder="1" applyAlignment="1">
      <alignment vertical="center" wrapText="1"/>
    </xf>
    <xf numFmtId="49" fontId="24" fillId="0" borderId="27" xfId="0" applyNumberFormat="1" applyFont="1" applyBorder="1" applyAlignment="1">
      <alignment vertical="center" wrapText="1"/>
    </xf>
    <xf numFmtId="0" fontId="24" fillId="0" borderId="27" xfId="2" applyFont="1" applyBorder="1" applyAlignment="1">
      <alignment horizontal="left" vertical="center" wrapText="1"/>
    </xf>
    <xf numFmtId="4" fontId="24" fillId="0" borderId="27" xfId="12" applyNumberFormat="1" applyFont="1" applyBorder="1" applyAlignment="1">
      <alignment horizontal="right" vertical="center" wrapText="1"/>
    </xf>
    <xf numFmtId="0" fontId="42" fillId="0" borderId="27" xfId="0" applyFont="1" applyBorder="1" applyAlignment="1">
      <alignment horizontal="center" vertical="center" wrapText="1"/>
    </xf>
    <xf numFmtId="0" fontId="42" fillId="0" borderId="27" xfId="0" applyFont="1" applyBorder="1" applyAlignment="1">
      <alignment horizontal="left" vertical="center" wrapText="1"/>
    </xf>
    <xf numFmtId="165" fontId="24" fillId="0" borderId="27" xfId="0" applyNumberFormat="1" applyFont="1" applyBorder="1" applyAlignment="1">
      <alignment vertical="center" wrapText="1"/>
    </xf>
    <xf numFmtId="0" fontId="36" fillId="0" borderId="27" xfId="4" applyFont="1" applyBorder="1" applyAlignment="1">
      <alignment horizontal="left" vertical="center" wrapText="1"/>
    </xf>
    <xf numFmtId="0" fontId="36" fillId="0" borderId="27" xfId="4" applyFont="1" applyBorder="1" applyAlignment="1">
      <alignment vertical="center" wrapText="1"/>
    </xf>
    <xf numFmtId="4" fontId="36" fillId="0" borderId="27" xfId="4" applyNumberFormat="1" applyFont="1" applyBorder="1" applyAlignment="1">
      <alignment vertical="center" wrapText="1"/>
    </xf>
    <xf numFmtId="0" fontId="36" fillId="0" borderId="27" xfId="4" applyFont="1" applyBorder="1" applyAlignment="1">
      <alignment horizontal="center" vertical="center" wrapText="1"/>
    </xf>
    <xf numFmtId="0" fontId="31" fillId="0" borderId="27" xfId="4" applyFont="1" applyBorder="1" applyAlignment="1">
      <alignment vertical="center" wrapText="1"/>
    </xf>
    <xf numFmtId="0" fontId="31" fillId="0" borderId="27" xfId="4" applyFont="1" applyBorder="1" applyAlignment="1">
      <alignment horizontal="center" vertical="center" wrapText="1"/>
    </xf>
    <xf numFmtId="165" fontId="31" fillId="0" borderId="27" xfId="4" applyNumberFormat="1" applyFont="1" applyBorder="1" applyAlignment="1">
      <alignment vertical="center" wrapText="1"/>
    </xf>
    <xf numFmtId="4" fontId="31" fillId="0" borderId="27" xfId="4" applyNumberFormat="1" applyFont="1" applyBorder="1" applyAlignment="1">
      <alignment horizontal="right" vertical="center" wrapText="1"/>
    </xf>
    <xf numFmtId="4" fontId="31" fillId="0" borderId="27" xfId="5" applyNumberFormat="1" applyFont="1" applyFill="1" applyBorder="1" applyAlignment="1">
      <alignment horizontal="right" vertical="center" wrapText="1"/>
    </xf>
    <xf numFmtId="0" fontId="62" fillId="12" borderId="27" xfId="4" applyFont="1" applyFill="1" applyBorder="1" applyAlignment="1">
      <alignment horizontal="left" vertical="center" wrapText="1"/>
    </xf>
    <xf numFmtId="0" fontId="62" fillId="12" borderId="27" xfId="4" applyFont="1" applyFill="1" applyBorder="1" applyAlignment="1">
      <alignment vertical="center" wrapText="1"/>
    </xf>
    <xf numFmtId="4" fontId="62" fillId="12" borderId="27" xfId="4" applyNumberFormat="1" applyFont="1" applyFill="1" applyBorder="1" applyAlignment="1">
      <alignment vertical="center" wrapText="1"/>
    </xf>
    <xf numFmtId="0" fontId="63" fillId="12" borderId="27" xfId="4" applyFont="1" applyFill="1" applyBorder="1" applyAlignment="1">
      <alignment vertical="center" wrapText="1"/>
    </xf>
    <xf numFmtId="0" fontId="63" fillId="12" borderId="27" xfId="4" applyFont="1" applyFill="1" applyBorder="1" applyAlignment="1">
      <alignment horizontal="center" vertical="center" wrapText="1"/>
    </xf>
    <xf numFmtId="165" fontId="63" fillId="12" borderId="27" xfId="4" applyNumberFormat="1" applyFont="1" applyFill="1" applyBorder="1" applyAlignment="1">
      <alignment vertical="center" wrapText="1"/>
    </xf>
    <xf numFmtId="4" fontId="62" fillId="12" borderId="27" xfId="4" applyNumberFormat="1" applyFont="1" applyFill="1" applyBorder="1" applyAlignment="1">
      <alignment horizontal="right" vertical="center" wrapText="1"/>
    </xf>
    <xf numFmtId="4" fontId="9" fillId="5" borderId="27" xfId="0" applyNumberFormat="1" applyFont="1" applyFill="1" applyBorder="1" applyAlignment="1">
      <alignment horizontal="right" vertical="center" textRotation="90" wrapText="1"/>
    </xf>
    <xf numFmtId="4" fontId="9" fillId="5" borderId="27" xfId="0" applyNumberFormat="1" applyFont="1" applyFill="1" applyBorder="1" applyAlignment="1">
      <alignment vertical="center" wrapText="1"/>
    </xf>
    <xf numFmtId="178" fontId="9" fillId="5" borderId="27" xfId="0" applyNumberFormat="1" applyFont="1" applyFill="1" applyBorder="1" applyAlignment="1">
      <alignment horizontal="center" vertical="center" wrapText="1"/>
    </xf>
    <xf numFmtId="165" fontId="9" fillId="5" borderId="27" xfId="0" applyNumberFormat="1" applyFont="1" applyFill="1" applyBorder="1" applyAlignment="1">
      <alignment vertical="center" wrapText="1"/>
    </xf>
    <xf numFmtId="178" fontId="9" fillId="5" borderId="27" xfId="0" applyNumberFormat="1" applyFont="1" applyFill="1" applyBorder="1" applyAlignment="1">
      <alignment vertical="center" wrapText="1"/>
    </xf>
    <xf numFmtId="165" fontId="9" fillId="5" borderId="27" xfId="0" applyNumberFormat="1" applyFont="1" applyFill="1" applyBorder="1" applyAlignment="1">
      <alignment horizontal="center" vertical="center" wrapText="1"/>
    </xf>
    <xf numFmtId="1" fontId="24" fillId="0" borderId="27" xfId="0" applyNumberFormat="1" applyFont="1" applyBorder="1" applyAlignment="1">
      <alignment horizontal="center" vertical="center" wrapText="1"/>
    </xf>
    <xf numFmtId="49" fontId="24" fillId="0" borderId="27" xfId="0" applyNumberFormat="1" applyFont="1" applyBorder="1" applyAlignment="1">
      <alignment horizontal="center" vertical="center" wrapText="1"/>
    </xf>
    <xf numFmtId="4" fontId="42" fillId="0" borderId="27" xfId="0" applyNumberFormat="1" applyFont="1" applyBorder="1" applyAlignment="1">
      <alignment horizontal="right" vertical="center" wrapText="1"/>
    </xf>
    <xf numFmtId="1" fontId="24" fillId="0" borderId="27" xfId="0" applyNumberFormat="1" applyFont="1" applyBorder="1" applyAlignment="1">
      <alignment vertical="center" wrapText="1"/>
    </xf>
    <xf numFmtId="0" fontId="42" fillId="0" borderId="27" xfId="0" applyFont="1" applyBorder="1" applyAlignment="1">
      <alignment vertical="center" wrapText="1"/>
    </xf>
    <xf numFmtId="4" fontId="42" fillId="0" borderId="27" xfId="0" applyNumberFormat="1" applyFont="1" applyBorder="1" applyAlignment="1">
      <alignment vertical="center" wrapText="1"/>
    </xf>
    <xf numFmtId="4" fontId="42" fillId="0" borderId="27" xfId="0" applyNumberFormat="1" applyFont="1" applyBorder="1" applyAlignment="1">
      <alignment horizontal="center" vertical="center" wrapText="1"/>
    </xf>
    <xf numFmtId="165" fontId="42" fillId="0" borderId="27" xfId="0" applyNumberFormat="1" applyFont="1" applyBorder="1" applyAlignment="1">
      <alignment horizontal="center" vertical="center" textRotation="90" wrapText="1"/>
    </xf>
    <xf numFmtId="4" fontId="42" fillId="0" borderId="27" xfId="0" applyNumberFormat="1" applyFont="1" applyBorder="1" applyAlignment="1">
      <alignment horizontal="right" vertical="center" textRotation="90" wrapText="1"/>
    </xf>
    <xf numFmtId="4" fontId="64" fillId="0" borderId="27" xfId="12" applyNumberFormat="1" applyFont="1" applyFill="1" applyBorder="1" applyAlignment="1">
      <alignment vertical="center" wrapText="1"/>
    </xf>
    <xf numFmtId="179" fontId="64" fillId="0" borderId="27" xfId="0" applyNumberFormat="1" applyFont="1" applyBorder="1" applyAlignment="1">
      <alignment vertical="center" wrapText="1"/>
    </xf>
    <xf numFmtId="179" fontId="64" fillId="0" borderId="27" xfId="0" applyNumberFormat="1" applyFont="1" applyBorder="1" applyAlignment="1">
      <alignment horizontal="center" vertical="center" wrapText="1"/>
    </xf>
    <xf numFmtId="12" fontId="24" fillId="0" borderId="27" xfId="0" applyNumberFormat="1" applyFont="1" applyBorder="1" applyAlignment="1">
      <alignment horizontal="center" vertical="center" wrapText="1"/>
    </xf>
    <xf numFmtId="4" fontId="64" fillId="0" borderId="27" xfId="12" applyNumberFormat="1" applyFont="1" applyFill="1" applyBorder="1" applyAlignment="1">
      <alignment horizontal="right" vertical="center" wrapText="1"/>
    </xf>
    <xf numFmtId="4" fontId="24" fillId="0" borderId="27" xfId="12" applyNumberFormat="1" applyFont="1" applyFill="1" applyBorder="1" applyAlignment="1">
      <alignment vertical="center" wrapText="1"/>
    </xf>
    <xf numFmtId="179" fontId="24" fillId="0" borderId="27" xfId="0" applyNumberFormat="1" applyFont="1" applyBorder="1" applyAlignment="1">
      <alignment vertical="center" wrapText="1"/>
    </xf>
    <xf numFmtId="179" fontId="24" fillId="0" borderId="27" xfId="0" applyNumberFormat="1" applyFont="1" applyBorder="1" applyAlignment="1">
      <alignment horizontal="center" vertical="center" wrapText="1"/>
    </xf>
    <xf numFmtId="4" fontId="24" fillId="0" borderId="27" xfId="12" applyNumberFormat="1" applyFont="1" applyFill="1" applyBorder="1" applyAlignment="1">
      <alignment horizontal="right" vertical="center" wrapText="1"/>
    </xf>
    <xf numFmtId="4" fontId="42" fillId="0" borderId="27" xfId="0" quotePrefix="1" applyNumberFormat="1" applyFont="1" applyBorder="1" applyAlignment="1">
      <alignment vertical="center" wrapText="1"/>
    </xf>
    <xf numFmtId="0" fontId="42" fillId="0" borderId="27" xfId="0" quotePrefix="1" applyFont="1" applyBorder="1" applyAlignment="1">
      <alignment vertical="center" wrapText="1"/>
    </xf>
    <xf numFmtId="4" fontId="42" fillId="0" borderId="27" xfId="0" quotePrefix="1" applyNumberFormat="1" applyFont="1" applyBorder="1" applyAlignment="1">
      <alignment horizontal="right" vertical="center" wrapText="1"/>
    </xf>
    <xf numFmtId="4" fontId="42" fillId="0" borderId="27" xfId="12" applyNumberFormat="1" applyFont="1" applyFill="1" applyBorder="1" applyAlignment="1">
      <alignment horizontal="right" vertical="center" wrapText="1"/>
    </xf>
    <xf numFmtId="4" fontId="62" fillId="12" borderId="27" xfId="0" quotePrefix="1" applyNumberFormat="1" applyFont="1" applyFill="1" applyBorder="1" applyAlignment="1">
      <alignment vertical="center" wrapText="1"/>
    </xf>
    <xf numFmtId="0" fontId="62" fillId="12" borderId="27" xfId="0" quotePrefix="1" applyFont="1" applyFill="1" applyBorder="1" applyAlignment="1">
      <alignment vertical="center" wrapText="1"/>
    </xf>
    <xf numFmtId="179" fontId="63" fillId="12" borderId="27" xfId="0" applyNumberFormat="1" applyFont="1" applyFill="1" applyBorder="1" applyAlignment="1">
      <alignment vertical="center" wrapText="1"/>
    </xf>
    <xf numFmtId="179" fontId="63" fillId="12" borderId="27" xfId="0" applyNumberFormat="1" applyFont="1" applyFill="1" applyBorder="1" applyAlignment="1">
      <alignment horizontal="center" vertical="center" wrapText="1"/>
    </xf>
    <xf numFmtId="12" fontId="63" fillId="12" borderId="27" xfId="0" applyNumberFormat="1" applyFont="1" applyFill="1" applyBorder="1" applyAlignment="1">
      <alignment horizontal="center" vertical="center" wrapText="1"/>
    </xf>
    <xf numFmtId="4" fontId="63" fillId="12" borderId="27" xfId="12" applyNumberFormat="1" applyFont="1" applyFill="1" applyBorder="1" applyAlignment="1">
      <alignment horizontal="right" vertical="center" wrapText="1"/>
    </xf>
    <xf numFmtId="0" fontId="62" fillId="12" borderId="27" xfId="0" quotePrefix="1" applyFont="1" applyFill="1" applyBorder="1" applyAlignment="1">
      <alignment horizontal="center" vertical="center" wrapText="1"/>
    </xf>
    <xf numFmtId="0" fontId="62" fillId="12" borderId="27" xfId="0" quotePrefix="1" applyFont="1" applyFill="1" applyBorder="1" applyAlignment="1">
      <alignment horizontal="left" vertical="center" wrapText="1"/>
    </xf>
    <xf numFmtId="179" fontId="62" fillId="12" borderId="27" xfId="0" applyNumberFormat="1" applyFont="1" applyFill="1" applyBorder="1" applyAlignment="1">
      <alignment vertical="center" wrapText="1"/>
    </xf>
    <xf numFmtId="179" fontId="62" fillId="12" borderId="27" xfId="0" applyNumberFormat="1" applyFont="1" applyFill="1" applyBorder="1" applyAlignment="1">
      <alignment horizontal="center" vertical="center" wrapText="1"/>
    </xf>
    <xf numFmtId="12" fontId="62" fillId="12" borderId="27" xfId="0" applyNumberFormat="1" applyFont="1" applyFill="1" applyBorder="1" applyAlignment="1">
      <alignment horizontal="center" vertical="center" wrapText="1"/>
    </xf>
    <xf numFmtId="4" fontId="62" fillId="12" borderId="27" xfId="12" applyNumberFormat="1" applyFont="1" applyFill="1" applyBorder="1" applyAlignment="1">
      <alignment horizontal="right" vertical="center" wrapText="1"/>
    </xf>
    <xf numFmtId="0" fontId="62" fillId="12" borderId="27" xfId="4" applyFont="1" applyFill="1" applyBorder="1" applyAlignment="1">
      <alignment horizontal="center" vertical="center" wrapText="1"/>
    </xf>
    <xf numFmtId="4" fontId="62" fillId="12" borderId="27" xfId="4" applyNumberFormat="1" applyFont="1" applyFill="1" applyBorder="1" applyAlignment="1">
      <alignment horizontal="center" vertical="center" wrapText="1"/>
    </xf>
    <xf numFmtId="165" fontId="62" fillId="12" borderId="27" xfId="4" applyNumberFormat="1" applyFont="1" applyFill="1" applyBorder="1" applyAlignment="1">
      <alignment horizontal="center" vertical="center" textRotation="90" wrapText="1"/>
    </xf>
    <xf numFmtId="4" fontId="62" fillId="12" borderId="27" xfId="4" applyNumberFormat="1" applyFont="1" applyFill="1" applyBorder="1" applyAlignment="1">
      <alignment horizontal="right" vertical="center" textRotation="90" wrapText="1"/>
    </xf>
    <xf numFmtId="4" fontId="62" fillId="12" borderId="27" xfId="0" applyNumberFormat="1" applyFont="1" applyFill="1" applyBorder="1" applyAlignment="1">
      <alignment horizontal="right" vertical="center" wrapText="1"/>
    </xf>
    <xf numFmtId="0" fontId="42" fillId="16" borderId="27" xfId="0" applyFont="1" applyFill="1" applyBorder="1" applyAlignment="1">
      <alignment horizontal="left" vertical="center" wrapText="1"/>
    </xf>
    <xf numFmtId="0" fontId="42" fillId="16" borderId="27" xfId="0" applyFont="1" applyFill="1" applyBorder="1" applyAlignment="1">
      <alignment vertical="center" wrapText="1"/>
    </xf>
    <xf numFmtId="4" fontId="42" fillId="16" borderId="27" xfId="0" applyNumberFormat="1" applyFont="1" applyFill="1" applyBorder="1" applyAlignment="1">
      <alignment vertical="center" wrapText="1"/>
    </xf>
    <xf numFmtId="0" fontId="42" fillId="16" borderId="27" xfId="0" applyFont="1" applyFill="1" applyBorder="1" applyAlignment="1">
      <alignment horizontal="center" vertical="center" wrapText="1"/>
    </xf>
    <xf numFmtId="0" fontId="42" fillId="16" borderId="27" xfId="2" applyFont="1" applyFill="1" applyBorder="1" applyAlignment="1">
      <alignment horizontal="left" vertical="center" wrapText="1"/>
    </xf>
    <xf numFmtId="0" fontId="42" fillId="16" borderId="27" xfId="2" applyFont="1" applyFill="1" applyBorder="1" applyAlignment="1">
      <alignment horizontal="center" vertical="center" wrapText="1"/>
    </xf>
    <xf numFmtId="165" fontId="42" fillId="16" borderId="27" xfId="0" applyNumberFormat="1" applyFont="1" applyFill="1" applyBorder="1" applyAlignment="1">
      <alignment vertical="center" wrapText="1"/>
    </xf>
    <xf numFmtId="4" fontId="42" fillId="16" borderId="27" xfId="0" applyNumberFormat="1" applyFont="1" applyFill="1" applyBorder="1" applyAlignment="1">
      <alignment horizontal="right" vertical="center" wrapText="1"/>
    </xf>
    <xf numFmtId="0" fontId="64" fillId="0" borderId="27" xfId="0" applyFont="1" applyBorder="1" applyAlignment="1">
      <alignment vertical="center" wrapText="1"/>
    </xf>
    <xf numFmtId="0" fontId="24" fillId="16" borderId="27" xfId="0" applyFont="1" applyFill="1" applyBorder="1" applyAlignment="1">
      <alignment vertical="center" wrapText="1"/>
    </xf>
    <xf numFmtId="4" fontId="24" fillId="16" borderId="27" xfId="0" applyNumberFormat="1" applyFont="1" applyFill="1" applyBorder="1" applyAlignment="1">
      <alignment vertical="center" wrapText="1"/>
    </xf>
    <xf numFmtId="0" fontId="24" fillId="16" borderId="27" xfId="0" applyFont="1" applyFill="1" applyBorder="1" applyAlignment="1">
      <alignment horizontal="center" vertical="center" wrapText="1"/>
    </xf>
    <xf numFmtId="0" fontId="24" fillId="16" borderId="27" xfId="2" applyFont="1" applyFill="1" applyBorder="1" applyAlignment="1">
      <alignment horizontal="left" vertical="center" wrapText="1"/>
    </xf>
    <xf numFmtId="0" fontId="24" fillId="16" borderId="27" xfId="2" applyFont="1" applyFill="1" applyBorder="1" applyAlignment="1">
      <alignment horizontal="center" vertical="center" wrapText="1"/>
    </xf>
    <xf numFmtId="165" fontId="24" fillId="16" borderId="27" xfId="0" applyNumberFormat="1" applyFont="1" applyFill="1" applyBorder="1" applyAlignment="1">
      <alignment vertical="center" wrapText="1"/>
    </xf>
    <xf numFmtId="4" fontId="24" fillId="16" borderId="27" xfId="0" applyNumberFormat="1" applyFont="1" applyFill="1" applyBorder="1" applyAlignment="1">
      <alignment horizontal="right" vertical="center" wrapText="1"/>
    </xf>
    <xf numFmtId="4" fontId="24" fillId="16" borderId="27" xfId="12" applyNumberFormat="1" applyFont="1" applyFill="1" applyBorder="1" applyAlignment="1">
      <alignment horizontal="right" vertical="center" wrapText="1"/>
    </xf>
    <xf numFmtId="0" fontId="64" fillId="0" borderId="27" xfId="0" applyFont="1" applyBorder="1" applyAlignment="1">
      <alignment horizontal="right" vertical="center" wrapText="1"/>
    </xf>
    <xf numFmtId="3" fontId="64" fillId="0" borderId="27" xfId="0" applyNumberFormat="1" applyFont="1" applyBorder="1" applyAlignment="1">
      <alignment vertical="center" wrapText="1"/>
    </xf>
    <xf numFmtId="0" fontId="24" fillId="0" borderId="27" xfId="0" applyFont="1" applyBorder="1" applyAlignment="1">
      <alignment horizontal="right" vertical="center" wrapText="1"/>
    </xf>
    <xf numFmtId="3" fontId="24" fillId="0" borderId="27" xfId="0" applyNumberFormat="1" applyFont="1" applyBorder="1" applyAlignment="1">
      <alignment vertical="center" wrapText="1"/>
    </xf>
    <xf numFmtId="179" fontId="24" fillId="16" borderId="27" xfId="0" applyNumberFormat="1" applyFont="1" applyFill="1" applyBorder="1" applyAlignment="1">
      <alignment vertical="center" wrapText="1"/>
    </xf>
    <xf numFmtId="49" fontId="31" fillId="16" borderId="27" xfId="0" applyNumberFormat="1" applyFont="1" applyFill="1" applyBorder="1" applyAlignment="1">
      <alignment vertical="center" wrapText="1"/>
    </xf>
    <xf numFmtId="49" fontId="31" fillId="16" borderId="27" xfId="0" applyNumberFormat="1" applyFont="1" applyFill="1" applyBorder="1" applyAlignment="1">
      <alignment horizontal="center" vertical="center" wrapText="1"/>
    </xf>
    <xf numFmtId="1" fontId="31" fillId="0" borderId="27" xfId="0" applyNumberFormat="1" applyFont="1" applyBorder="1" applyAlignment="1">
      <alignment vertical="center" wrapText="1"/>
    </xf>
    <xf numFmtId="1" fontId="31" fillId="0" borderId="27" xfId="0" applyNumberFormat="1" applyFont="1" applyBorder="1" applyAlignment="1">
      <alignment horizontal="left" vertical="center" wrapText="1"/>
    </xf>
    <xf numFmtId="4" fontId="31" fillId="0" borderId="27" xfId="0" applyNumberFormat="1" applyFont="1" applyBorder="1" applyAlignment="1">
      <alignment vertical="center" wrapText="1"/>
    </xf>
    <xf numFmtId="1" fontId="31" fillId="0" borderId="27" xfId="0" applyNumberFormat="1" applyFont="1" applyBorder="1" applyAlignment="1">
      <alignment horizontal="center" vertical="center" wrapText="1"/>
    </xf>
    <xf numFmtId="171" fontId="9" fillId="0" borderId="27" xfId="0" applyNumberFormat="1" applyFont="1" applyBorder="1" applyAlignment="1">
      <alignment vertical="center" wrapText="1"/>
    </xf>
    <xf numFmtId="4" fontId="9" fillId="0" borderId="27" xfId="5" applyNumberFormat="1" applyFont="1" applyBorder="1" applyAlignment="1">
      <alignment horizontal="right" vertical="center" wrapText="1"/>
    </xf>
    <xf numFmtId="1" fontId="31" fillId="5" borderId="27" xfId="0" applyNumberFormat="1" applyFont="1" applyFill="1" applyBorder="1" applyAlignment="1">
      <alignment vertical="center" wrapText="1"/>
    </xf>
    <xf numFmtId="1" fontId="31" fillId="5" borderId="27" xfId="0" applyNumberFormat="1" applyFont="1" applyFill="1" applyBorder="1" applyAlignment="1">
      <alignment horizontal="left" vertical="center" wrapText="1"/>
    </xf>
    <xf numFmtId="4" fontId="31" fillId="5" borderId="27" xfId="0" applyNumberFormat="1" applyFont="1" applyFill="1" applyBorder="1" applyAlignment="1">
      <alignment vertical="center" wrapText="1"/>
    </xf>
    <xf numFmtId="1" fontId="31" fillId="5" borderId="27" xfId="0" applyNumberFormat="1" applyFont="1" applyFill="1" applyBorder="1" applyAlignment="1">
      <alignment horizontal="center" vertical="center" wrapText="1"/>
    </xf>
    <xf numFmtId="171" fontId="9" fillId="5" borderId="27" xfId="0" applyNumberFormat="1" applyFont="1" applyFill="1" applyBorder="1" applyAlignment="1">
      <alignment vertical="center" wrapText="1"/>
    </xf>
    <xf numFmtId="14" fontId="31" fillId="5" borderId="27" xfId="0" applyNumberFormat="1" applyFont="1" applyFill="1" applyBorder="1" applyAlignment="1">
      <alignment vertical="center" wrapText="1"/>
    </xf>
    <xf numFmtId="4" fontId="9" fillId="5" borderId="27" xfId="5" applyNumberFormat="1" applyFont="1" applyFill="1" applyBorder="1" applyAlignment="1">
      <alignment horizontal="right" vertical="center" wrapText="1"/>
    </xf>
    <xf numFmtId="14" fontId="31" fillId="0" borderId="27" xfId="0" applyNumberFormat="1" applyFont="1" applyBorder="1" applyAlignment="1">
      <alignment vertical="center" wrapText="1"/>
    </xf>
    <xf numFmtId="171" fontId="35" fillId="12" borderId="27" xfId="0" applyNumberFormat="1" applyFont="1" applyFill="1" applyBorder="1" applyAlignment="1">
      <alignment vertical="center" wrapText="1"/>
    </xf>
    <xf numFmtId="0" fontId="60" fillId="12" borderId="27" xfId="6" quotePrefix="1" applyFont="1" applyFill="1" applyBorder="1" applyAlignment="1">
      <alignment horizontal="left" vertical="center" wrapText="1"/>
    </xf>
    <xf numFmtId="0" fontId="10" fillId="0" borderId="27" xfId="0" applyFont="1" applyBorder="1" applyAlignment="1">
      <alignment horizontal="left" vertical="center" wrapText="1"/>
    </xf>
    <xf numFmtId="0" fontId="24" fillId="0" borderId="27" xfId="0" quotePrefix="1" applyFont="1" applyBorder="1" applyAlignment="1">
      <alignment horizontal="left" vertical="center" wrapText="1"/>
    </xf>
    <xf numFmtId="14" fontId="34" fillId="12" borderId="27" xfId="0" applyNumberFormat="1" applyFont="1" applyFill="1" applyBorder="1" applyAlignment="1">
      <alignment vertical="center" wrapText="1"/>
    </xf>
    <xf numFmtId="14" fontId="34" fillId="12" borderId="27" xfId="0" applyNumberFormat="1" applyFont="1" applyFill="1" applyBorder="1" applyAlignment="1">
      <alignment horizontal="center" vertical="center" textRotation="90" wrapText="1"/>
    </xf>
    <xf numFmtId="14" fontId="9" fillId="0" borderId="27" xfId="12" applyNumberFormat="1" applyFont="1" applyBorder="1" applyAlignment="1">
      <alignment horizontal="center" vertical="center" wrapText="1"/>
    </xf>
    <xf numFmtId="14" fontId="20" fillId="5" borderId="27" xfId="0" applyNumberFormat="1" applyFont="1" applyFill="1" applyBorder="1" applyAlignment="1">
      <alignment vertical="center" wrapText="1"/>
    </xf>
    <xf numFmtId="14" fontId="34" fillId="12" borderId="27" xfId="2" applyNumberFormat="1" applyFont="1" applyFill="1" applyBorder="1" applyAlignment="1">
      <alignment vertical="center" wrapText="1"/>
    </xf>
    <xf numFmtId="14" fontId="35" fillId="12" borderId="27" xfId="0" applyNumberFormat="1" applyFont="1" applyFill="1" applyBorder="1" applyAlignment="1">
      <alignment vertical="center" wrapText="1"/>
    </xf>
    <xf numFmtId="14" fontId="9" fillId="0" borderId="27" xfId="12" applyNumberFormat="1" applyFont="1" applyBorder="1" applyAlignment="1">
      <alignment vertical="center" wrapText="1"/>
    </xf>
    <xf numFmtId="14" fontId="26" fillId="0" borderId="27" xfId="12" quotePrefix="1" applyNumberFormat="1" applyFont="1" applyFill="1" applyBorder="1" applyAlignment="1">
      <alignment horizontal="center" vertical="center" wrapText="1"/>
    </xf>
    <xf numFmtId="14" fontId="26" fillId="0" borderId="27" xfId="0" applyNumberFormat="1" applyFont="1" applyBorder="1" applyAlignment="1">
      <alignment vertical="center" wrapText="1"/>
    </xf>
    <xf numFmtId="14" fontId="60" fillId="12" borderId="27" xfId="0" applyNumberFormat="1" applyFont="1" applyFill="1" applyBorder="1" applyAlignment="1">
      <alignment vertical="center" wrapText="1"/>
    </xf>
    <xf numFmtId="14" fontId="9" fillId="0" borderId="27" xfId="0" applyNumberFormat="1" applyFont="1" applyBorder="1" applyAlignment="1">
      <alignment horizontal="right" vertical="center" wrapText="1"/>
    </xf>
    <xf numFmtId="14" fontId="34" fillId="12" borderId="27" xfId="4" applyNumberFormat="1" applyFont="1" applyFill="1" applyBorder="1" applyAlignment="1">
      <alignment horizontal="center" vertical="center" textRotation="90" wrapText="1"/>
    </xf>
    <xf numFmtId="14" fontId="9" fillId="0" borderId="27" xfId="4" applyNumberFormat="1" applyFont="1" applyBorder="1" applyAlignment="1">
      <alignment vertical="center" wrapText="1"/>
    </xf>
    <xf numFmtId="14" fontId="9" fillId="0" borderId="27" xfId="4" applyNumberFormat="1" applyFont="1" applyBorder="1" applyAlignment="1">
      <alignment horizontal="right" vertical="center" wrapText="1"/>
    </xf>
    <xf numFmtId="14" fontId="35" fillId="12" borderId="27" xfId="4" applyNumberFormat="1" applyFont="1" applyFill="1" applyBorder="1" applyAlignment="1">
      <alignment vertical="center" wrapText="1"/>
    </xf>
    <xf numFmtId="14" fontId="63" fillId="12" borderId="27" xfId="0" applyNumberFormat="1" applyFont="1" applyFill="1" applyBorder="1" applyAlignment="1">
      <alignment vertical="center" wrapText="1"/>
    </xf>
    <xf numFmtId="14" fontId="62" fillId="12" borderId="27" xfId="0" applyNumberFormat="1" applyFont="1" applyFill="1" applyBorder="1" applyAlignment="1">
      <alignment horizontal="center" vertical="center" textRotation="90" wrapText="1"/>
    </xf>
    <xf numFmtId="14" fontId="24" fillId="0" borderId="27" xfId="4" applyNumberFormat="1" applyFont="1" applyBorder="1" applyAlignment="1">
      <alignment vertical="center" wrapText="1"/>
    </xf>
    <xf numFmtId="14" fontId="31" fillId="0" borderId="27" xfId="4" applyNumberFormat="1" applyFont="1" applyBorder="1" applyAlignment="1">
      <alignment vertical="center" wrapText="1"/>
    </xf>
    <xf numFmtId="14" fontId="63" fillId="12" borderId="27" xfId="4" applyNumberFormat="1" applyFont="1" applyFill="1" applyBorder="1" applyAlignment="1">
      <alignment vertical="center" wrapText="1"/>
    </xf>
    <xf numFmtId="14" fontId="31" fillId="5" borderId="27" xfId="0" quotePrefix="1" applyNumberFormat="1" applyFont="1" applyFill="1" applyBorder="1" applyAlignment="1">
      <alignment horizontal="center" vertical="center" wrapText="1"/>
    </xf>
    <xf numFmtId="14" fontId="9" fillId="5" borderId="27" xfId="0" quotePrefix="1" applyNumberFormat="1" applyFont="1" applyFill="1" applyBorder="1" applyAlignment="1">
      <alignment horizontal="center" vertical="center" wrapText="1"/>
    </xf>
    <xf numFmtId="14" fontId="9" fillId="5" borderId="27" xfId="0" applyNumberFormat="1" applyFont="1" applyFill="1" applyBorder="1" applyAlignment="1">
      <alignment horizontal="center" vertical="center" textRotation="90" wrapText="1"/>
    </xf>
    <xf numFmtId="14" fontId="9" fillId="5" borderId="27" xfId="0" applyNumberFormat="1" applyFont="1" applyFill="1" applyBorder="1" applyAlignment="1">
      <alignment vertical="center" wrapText="1"/>
    </xf>
    <xf numFmtId="14" fontId="42" fillId="0" borderId="27" xfId="0" applyNumberFormat="1" applyFont="1" applyBorder="1" applyAlignment="1">
      <alignment horizontal="center" vertical="center" textRotation="90" wrapText="1"/>
    </xf>
    <xf numFmtId="14" fontId="24" fillId="0" borderId="27" xfId="0" applyNumberFormat="1" applyFont="1" applyBorder="1" applyAlignment="1">
      <alignment horizontal="center" vertical="center" wrapText="1"/>
    </xf>
    <xf numFmtId="14" fontId="63" fillId="12" borderId="27" xfId="0" applyNumberFormat="1" applyFont="1" applyFill="1" applyBorder="1" applyAlignment="1">
      <alignment horizontal="center" vertical="center" wrapText="1"/>
    </xf>
    <xf numFmtId="14" fontId="53" fillId="9" borderId="27" xfId="0" applyNumberFormat="1" applyFont="1" applyFill="1" applyBorder="1" applyAlignment="1">
      <alignment horizontal="center" vertical="center" wrapText="1"/>
    </xf>
    <xf numFmtId="14" fontId="53" fillId="0" borderId="27" xfId="0" applyNumberFormat="1" applyFont="1" applyBorder="1" applyAlignment="1">
      <alignment horizontal="center" vertical="center" wrapText="1"/>
    </xf>
    <xf numFmtId="14" fontId="31" fillId="9" borderId="27" xfId="0" applyNumberFormat="1" applyFont="1" applyFill="1" applyBorder="1" applyAlignment="1">
      <alignment horizontal="center" vertical="center" wrapText="1"/>
    </xf>
    <xf numFmtId="14" fontId="62" fillId="12" borderId="27" xfId="0" applyNumberFormat="1" applyFont="1" applyFill="1" applyBorder="1" applyAlignment="1">
      <alignment horizontal="center" vertical="center" wrapText="1"/>
    </xf>
    <xf numFmtId="14" fontId="62" fillId="12" borderId="27" xfId="4" applyNumberFormat="1" applyFont="1" applyFill="1" applyBorder="1" applyAlignment="1">
      <alignment horizontal="center" vertical="center" textRotation="90" wrapText="1"/>
    </xf>
    <xf numFmtId="14" fontId="42" fillId="16" borderId="27" xfId="0" applyNumberFormat="1" applyFont="1" applyFill="1" applyBorder="1" applyAlignment="1">
      <alignment vertical="center" wrapText="1"/>
    </xf>
    <xf numFmtId="14" fontId="24" fillId="16" borderId="27" xfId="0" applyNumberFormat="1" applyFont="1" applyFill="1" applyBorder="1" applyAlignment="1">
      <alignment vertical="center" wrapText="1"/>
    </xf>
    <xf numFmtId="14" fontId="34" fillId="12" borderId="27" xfId="0" applyNumberFormat="1" applyFont="1" applyFill="1" applyBorder="1" applyAlignment="1">
      <alignment horizontal="center" vertical="center" wrapText="1"/>
    </xf>
    <xf numFmtId="14" fontId="35" fillId="12" borderId="27" xfId="0" applyNumberFormat="1" applyFont="1" applyFill="1" applyBorder="1" applyAlignment="1">
      <alignment horizontal="center" vertical="center" wrapText="1"/>
    </xf>
    <xf numFmtId="0" fontId="34" fillId="19" borderId="31" xfId="0" applyFont="1" applyFill="1" applyBorder="1" applyAlignment="1">
      <alignment horizontal="center" vertical="center" wrapText="1"/>
    </xf>
    <xf numFmtId="0" fontId="34" fillId="19" borderId="30" xfId="0" applyFont="1" applyFill="1" applyBorder="1" applyAlignment="1">
      <alignment horizontal="center" vertical="center" wrapText="1"/>
    </xf>
    <xf numFmtId="0" fontId="34" fillId="19" borderId="22" xfId="0" applyFont="1" applyFill="1" applyBorder="1" applyAlignment="1">
      <alignment horizontal="center" vertical="center" wrapText="1"/>
    </xf>
    <xf numFmtId="0" fontId="9" fillId="19" borderId="27" xfId="0" applyFont="1" applyFill="1" applyBorder="1" applyAlignment="1">
      <alignment horizontal="right" vertical="center"/>
    </xf>
    <xf numFmtId="0" fontId="46" fillId="19" borderId="28" xfId="0" applyFont="1" applyFill="1" applyBorder="1" applyAlignment="1">
      <alignment horizontal="right" vertical="center"/>
    </xf>
    <xf numFmtId="166" fontId="46" fillId="19" borderId="28" xfId="12" applyNumberFormat="1" applyFont="1" applyFill="1" applyBorder="1" applyAlignment="1">
      <alignment horizontal="right" vertical="center"/>
    </xf>
    <xf numFmtId="9" fontId="46" fillId="19" borderId="28" xfId="0" applyNumberFormat="1" applyFont="1" applyFill="1" applyBorder="1" applyAlignment="1">
      <alignment horizontal="right" vertical="center"/>
    </xf>
    <xf numFmtId="3" fontId="46" fillId="19" borderId="28" xfId="0" applyNumberFormat="1" applyFont="1" applyFill="1" applyBorder="1" applyAlignment="1">
      <alignment horizontal="right" vertical="center"/>
    </xf>
    <xf numFmtId="0" fontId="34" fillId="19" borderId="22" xfId="0" applyFont="1" applyFill="1" applyBorder="1" applyAlignment="1">
      <alignment horizontal="right" vertical="center" wrapText="1"/>
    </xf>
    <xf numFmtId="9" fontId="9" fillId="19" borderId="27" xfId="0" applyNumberFormat="1" applyFont="1" applyFill="1" applyBorder="1" applyAlignment="1">
      <alignment horizontal="right" vertical="center"/>
    </xf>
    <xf numFmtId="0" fontId="3" fillId="0" borderId="0" xfId="0" applyFont="1" applyAlignment="1">
      <alignment vertical="center"/>
    </xf>
    <xf numFmtId="0" fontId="3" fillId="5" borderId="1" xfId="0" applyFont="1" applyFill="1" applyBorder="1" applyAlignment="1">
      <alignment horizontal="left" vertical="center" wrapText="1"/>
    </xf>
    <xf numFmtId="0" fontId="3" fillId="5" borderId="66" xfId="0" applyFont="1" applyFill="1" applyBorder="1" applyAlignment="1">
      <alignment horizontal="left" vertical="center" wrapText="1"/>
    </xf>
    <xf numFmtId="0" fontId="3" fillId="5" borderId="26" xfId="0" applyFont="1" applyFill="1" applyBorder="1" applyAlignment="1">
      <alignment horizontal="left" vertical="center" wrapText="1"/>
    </xf>
    <xf numFmtId="0" fontId="34" fillId="12" borderId="35" xfId="0" applyFont="1" applyFill="1" applyBorder="1" applyAlignment="1">
      <alignment horizontal="center" vertical="center" wrapText="1"/>
    </xf>
    <xf numFmtId="0" fontId="34" fillId="12" borderId="22" xfId="0" applyFont="1" applyFill="1" applyBorder="1" applyAlignment="1">
      <alignment horizontal="center" vertical="center" wrapText="1"/>
    </xf>
    <xf numFmtId="0" fontId="34" fillId="12" borderId="11" xfId="0" applyFont="1" applyFill="1" applyBorder="1" applyAlignment="1">
      <alignment horizontal="center" vertical="center" wrapText="1"/>
    </xf>
    <xf numFmtId="0" fontId="34" fillId="12" borderId="13" xfId="0" applyFont="1" applyFill="1" applyBorder="1" applyAlignment="1">
      <alignment horizontal="center" vertical="center" wrapText="1"/>
    </xf>
    <xf numFmtId="0" fontId="34" fillId="12" borderId="65" xfId="0" applyFont="1" applyFill="1" applyBorder="1" applyAlignment="1">
      <alignment horizontal="center" vertical="center" wrapText="1"/>
    </xf>
    <xf numFmtId="0" fontId="34" fillId="12" borderId="57" xfId="0" applyFont="1" applyFill="1" applyBorder="1" applyAlignment="1">
      <alignment horizontal="center" vertical="center" wrapText="1"/>
    </xf>
    <xf numFmtId="0" fontId="34" fillId="12" borderId="54" xfId="0" applyFont="1" applyFill="1" applyBorder="1" applyAlignment="1">
      <alignment horizontal="center" vertical="center" wrapText="1"/>
    </xf>
    <xf numFmtId="0" fontId="34" fillId="12" borderId="21" xfId="0" applyFont="1" applyFill="1" applyBorder="1" applyAlignment="1">
      <alignment horizontal="center" vertical="center" wrapText="1"/>
    </xf>
    <xf numFmtId="0" fontId="47" fillId="0" borderId="0" xfId="0" applyFont="1" applyAlignment="1">
      <alignment horizontal="center" vertical="center"/>
    </xf>
    <xf numFmtId="0" fontId="34" fillId="12" borderId="46" xfId="0" applyFont="1" applyFill="1" applyBorder="1" applyAlignment="1">
      <alignment horizontal="center" vertical="center" wrapText="1"/>
    </xf>
    <xf numFmtId="0" fontId="34" fillId="12" borderId="47" xfId="0" applyFont="1" applyFill="1" applyBorder="1" applyAlignment="1">
      <alignment horizontal="center" vertical="center" wrapText="1"/>
    </xf>
    <xf numFmtId="0" fontId="34" fillId="12" borderId="72" xfId="0" applyFont="1" applyFill="1" applyBorder="1" applyAlignment="1">
      <alignment horizontal="center" vertical="center" wrapText="1"/>
    </xf>
    <xf numFmtId="0" fontId="34" fillId="12" borderId="50" xfId="0" applyFont="1" applyFill="1" applyBorder="1" applyAlignment="1">
      <alignment horizontal="center" vertical="center" wrapText="1"/>
    </xf>
    <xf numFmtId="0" fontId="34" fillId="12" borderId="23" xfId="0" applyFont="1" applyFill="1" applyBorder="1" applyAlignment="1">
      <alignment horizontal="center" vertical="center" wrapText="1"/>
    </xf>
    <xf numFmtId="0" fontId="34" fillId="12" borderId="43" xfId="0" applyFont="1" applyFill="1" applyBorder="1" applyAlignment="1">
      <alignment horizontal="center" vertical="center" wrapText="1"/>
    </xf>
    <xf numFmtId="0" fontId="34" fillId="19" borderId="35" xfId="0" applyFont="1" applyFill="1" applyBorder="1" applyAlignment="1">
      <alignment horizontal="center" vertical="center" wrapText="1"/>
    </xf>
    <xf numFmtId="0" fontId="34" fillId="19" borderId="22" xfId="0" applyFont="1" applyFill="1" applyBorder="1" applyAlignment="1">
      <alignment horizontal="center" vertical="center" wrapText="1"/>
    </xf>
    <xf numFmtId="0" fontId="34" fillId="19" borderId="36" xfId="0" applyFont="1" applyFill="1" applyBorder="1" applyAlignment="1">
      <alignment horizontal="center" vertical="center" wrapText="1"/>
    </xf>
    <xf numFmtId="0" fontId="34" fillId="19" borderId="24" xfId="0" applyFont="1" applyFill="1" applyBorder="1" applyAlignment="1">
      <alignment horizontal="center" vertical="center" wrapText="1"/>
    </xf>
    <xf numFmtId="0" fontId="34" fillId="19" borderId="32" xfId="0" applyFont="1" applyFill="1" applyBorder="1" applyAlignment="1">
      <alignment horizontal="center" vertical="center" wrapText="1"/>
    </xf>
    <xf numFmtId="0" fontId="34" fillId="19" borderId="64" xfId="0" applyFont="1" applyFill="1" applyBorder="1" applyAlignment="1">
      <alignment horizontal="center" vertical="center" wrapText="1"/>
    </xf>
    <xf numFmtId="0" fontId="34" fillId="19" borderId="63" xfId="0" applyFont="1" applyFill="1" applyBorder="1" applyAlignment="1">
      <alignment horizontal="center" vertical="center" wrapText="1"/>
    </xf>
    <xf numFmtId="0" fontId="34" fillId="12" borderId="32" xfId="0" applyFont="1" applyFill="1" applyBorder="1" applyAlignment="1">
      <alignment horizontal="center" vertical="center" wrapText="1"/>
    </xf>
    <xf numFmtId="0" fontId="34" fillId="12" borderId="63" xfId="0" applyFont="1" applyFill="1" applyBorder="1" applyAlignment="1">
      <alignment horizontal="center" vertical="center" wrapText="1"/>
    </xf>
    <xf numFmtId="0" fontId="34" fillId="19" borderId="1" xfId="0" applyFont="1" applyFill="1" applyBorder="1" applyAlignment="1">
      <alignment horizontal="center" vertical="center" wrapText="1"/>
    </xf>
    <xf numFmtId="0" fontId="34" fillId="19" borderId="26" xfId="0" applyFont="1" applyFill="1" applyBorder="1" applyAlignment="1">
      <alignment horizontal="center" vertical="center" wrapText="1"/>
    </xf>
    <xf numFmtId="0" fontId="45" fillId="0" borderId="0" xfId="0" applyFont="1" applyAlignment="1">
      <alignment horizontal="center" vertical="center" wrapText="1"/>
    </xf>
    <xf numFmtId="0" fontId="48" fillId="0" borderId="0" xfId="0" applyFont="1" applyAlignment="1">
      <alignment horizontal="center" vertical="center" wrapText="1"/>
    </xf>
    <xf numFmtId="0" fontId="21" fillId="0" borderId="0" xfId="2" applyFont="1" applyAlignment="1">
      <alignment horizontal="left" vertical="center"/>
    </xf>
    <xf numFmtId="49" fontId="34" fillId="12" borderId="18" xfId="3" applyFont="1" applyFill="1" applyBorder="1" applyAlignment="1">
      <alignment horizontal="center" vertical="center"/>
    </xf>
    <xf numFmtId="49" fontId="34" fillId="12" borderId="17" xfId="3" applyFont="1" applyFill="1" applyBorder="1" applyAlignment="1">
      <alignment horizontal="center" vertical="center"/>
    </xf>
    <xf numFmtId="49" fontId="34" fillId="12" borderId="11" xfId="3" applyFont="1" applyFill="1" applyBorder="1" applyAlignment="1">
      <alignment horizontal="center" vertical="center" wrapText="1"/>
    </xf>
    <xf numFmtId="49" fontId="34" fillId="12" borderId="10" xfId="3" applyFont="1" applyFill="1" applyBorder="1" applyAlignment="1">
      <alignment horizontal="center" vertical="center" wrapText="1"/>
    </xf>
    <xf numFmtId="49" fontId="34" fillId="12" borderId="6" xfId="3" applyFont="1" applyFill="1" applyBorder="1" applyAlignment="1">
      <alignment horizontal="center" vertical="center" wrapText="1"/>
    </xf>
    <xf numFmtId="49" fontId="34" fillId="12" borderId="45" xfId="3" applyFont="1" applyFill="1" applyBorder="1" applyAlignment="1">
      <alignment horizontal="center" vertical="center" wrapText="1"/>
    </xf>
    <xf numFmtId="49" fontId="34" fillId="12" borderId="20" xfId="3" applyFont="1" applyFill="1" applyBorder="1" applyAlignment="1">
      <alignment horizontal="center" vertical="center" wrapText="1"/>
    </xf>
    <xf numFmtId="0" fontId="45" fillId="5" borderId="0" xfId="0" applyFont="1" applyFill="1" applyAlignment="1">
      <alignment horizontal="center" vertical="center"/>
    </xf>
    <xf numFmtId="49" fontId="9" fillId="0" borderId="11" xfId="3" applyFont="1" applyBorder="1" applyAlignment="1">
      <alignment horizontal="center" vertical="center" wrapText="1"/>
    </xf>
    <xf numFmtId="49" fontId="9" fillId="0" borderId="13" xfId="3" applyFont="1" applyBorder="1" applyAlignment="1">
      <alignment horizontal="center" vertical="center" wrapText="1"/>
    </xf>
    <xf numFmtId="49" fontId="9" fillId="0" borderId="10" xfId="3" applyFont="1" applyBorder="1" applyAlignment="1">
      <alignment horizontal="center" vertical="center" wrapText="1"/>
    </xf>
    <xf numFmtId="0" fontId="10" fillId="0" borderId="0" xfId="2" applyFont="1" applyAlignment="1">
      <alignment horizontal="left" vertical="center" wrapText="1"/>
    </xf>
    <xf numFmtId="0" fontId="45" fillId="0" borderId="0" xfId="4" applyFont="1" applyAlignment="1">
      <alignment horizontal="center" vertical="center" wrapText="1"/>
    </xf>
    <xf numFmtId="4" fontId="34" fillId="12" borderId="18" xfId="4" applyNumberFormat="1" applyFont="1" applyFill="1" applyBorder="1" applyAlignment="1">
      <alignment horizontal="center" vertical="center" wrapText="1"/>
    </xf>
    <xf numFmtId="4" fontId="34" fillId="12" borderId="19" xfId="4" applyNumberFormat="1" applyFont="1" applyFill="1" applyBorder="1" applyAlignment="1">
      <alignment horizontal="center" vertical="center" wrapText="1"/>
    </xf>
    <xf numFmtId="4" fontId="34" fillId="12" borderId="17" xfId="4" applyNumberFormat="1" applyFont="1" applyFill="1" applyBorder="1" applyAlignment="1">
      <alignment horizontal="center" vertical="center" wrapText="1"/>
    </xf>
    <xf numFmtId="4" fontId="34" fillId="12" borderId="6" xfId="4" applyNumberFormat="1" applyFont="1" applyFill="1" applyBorder="1" applyAlignment="1">
      <alignment horizontal="center" vertical="center" wrapText="1"/>
    </xf>
    <xf numFmtId="4" fontId="34" fillId="12" borderId="45" xfId="4" applyNumberFormat="1" applyFont="1" applyFill="1" applyBorder="1" applyAlignment="1">
      <alignment horizontal="center" vertical="center" wrapText="1"/>
    </xf>
    <xf numFmtId="0" fontId="34" fillId="12" borderId="11" xfId="4" applyFont="1" applyFill="1" applyBorder="1" applyAlignment="1">
      <alignment horizontal="center" vertical="center"/>
    </xf>
    <xf numFmtId="0" fontId="34" fillId="12" borderId="10" xfId="4" applyFont="1" applyFill="1" applyBorder="1" applyAlignment="1">
      <alignment horizontal="center" vertical="center"/>
    </xf>
    <xf numFmtId="0" fontId="30" fillId="0" borderId="0" xfId="2" applyFont="1" applyAlignment="1">
      <alignment horizontal="left" vertical="center" wrapText="1"/>
    </xf>
    <xf numFmtId="0" fontId="34" fillId="12" borderId="18" xfId="0" applyFont="1" applyFill="1" applyBorder="1" applyAlignment="1">
      <alignment horizontal="center" vertical="center"/>
    </xf>
    <xf numFmtId="0" fontId="34" fillId="12" borderId="17" xfId="0" applyFont="1" applyFill="1" applyBorder="1" applyAlignment="1">
      <alignment horizontal="center" vertical="center"/>
    </xf>
    <xf numFmtId="0" fontId="34" fillId="12" borderId="5" xfId="0" applyFont="1" applyFill="1" applyBorder="1" applyAlignment="1">
      <alignment horizontal="center" vertical="center"/>
    </xf>
    <xf numFmtId="0" fontId="34" fillId="12" borderId="19" xfId="0" applyFont="1" applyFill="1" applyBorder="1" applyAlignment="1">
      <alignment horizontal="center" vertical="center"/>
    </xf>
    <xf numFmtId="0" fontId="34" fillId="12" borderId="10" xfId="0" applyFont="1" applyFill="1" applyBorder="1" applyAlignment="1">
      <alignment horizontal="center" vertical="center"/>
    </xf>
    <xf numFmtId="0" fontId="34" fillId="12" borderId="11" xfId="0" applyFont="1" applyFill="1" applyBorder="1" applyAlignment="1">
      <alignment horizontal="center" vertical="center"/>
    </xf>
    <xf numFmtId="0" fontId="34" fillId="12" borderId="13" xfId="0" applyFont="1" applyFill="1" applyBorder="1" applyAlignment="1">
      <alignment horizontal="center" vertical="center"/>
    </xf>
    <xf numFmtId="0" fontId="50" fillId="0" borderId="0" xfId="0" applyFont="1" applyAlignment="1">
      <alignment horizontal="center" vertical="center"/>
    </xf>
    <xf numFmtId="0" fontId="10" fillId="0" borderId="0" xfId="2" applyFont="1" applyAlignment="1">
      <alignment horizontal="left" vertical="center"/>
    </xf>
    <xf numFmtId="49" fontId="34" fillId="12" borderId="31" xfId="3" applyFont="1" applyFill="1" applyBorder="1" applyAlignment="1">
      <alignment horizontal="center" vertical="center" wrapText="1"/>
    </xf>
    <xf numFmtId="49" fontId="34" fillId="12" borderId="30" xfId="3" applyFont="1" applyFill="1" applyBorder="1" applyAlignment="1">
      <alignment horizontal="center" vertical="center" wrapText="1"/>
    </xf>
    <xf numFmtId="49" fontId="34" fillId="12" borderId="29" xfId="3" applyFont="1" applyFill="1" applyBorder="1" applyAlignment="1">
      <alignment horizontal="center" vertical="center"/>
    </xf>
    <xf numFmtId="49" fontId="34" fillId="12" borderId="31" xfId="3" applyFont="1" applyFill="1" applyBorder="1" applyAlignment="1">
      <alignment horizontal="center" vertical="center"/>
    </xf>
    <xf numFmtId="49" fontId="34" fillId="12" borderId="30" xfId="3" applyFont="1" applyFill="1" applyBorder="1" applyAlignment="1">
      <alignment horizontal="center" vertical="center"/>
    </xf>
    <xf numFmtId="49" fontId="34" fillId="12" borderId="29" xfId="3" applyFont="1" applyFill="1" applyBorder="1" applyAlignment="1">
      <alignment horizontal="center" vertical="center" wrapText="1"/>
    </xf>
    <xf numFmtId="49" fontId="34" fillId="12" borderId="63" xfId="3" applyFont="1" applyFill="1" applyBorder="1" applyAlignment="1">
      <alignment horizontal="center" vertical="center" wrapText="1"/>
    </xf>
    <xf numFmtId="0" fontId="34" fillId="12" borderId="10" xfId="0" applyFont="1" applyFill="1" applyBorder="1" applyAlignment="1">
      <alignment horizontal="center" vertical="center" wrapText="1"/>
    </xf>
    <xf numFmtId="0" fontId="34" fillId="12" borderId="60" xfId="2" applyFont="1" applyFill="1" applyBorder="1" applyAlignment="1">
      <alignment horizontal="center" vertical="center"/>
    </xf>
    <xf numFmtId="0" fontId="34" fillId="12" borderId="64" xfId="2" applyFont="1" applyFill="1" applyBorder="1" applyAlignment="1">
      <alignment horizontal="center" vertical="center"/>
    </xf>
    <xf numFmtId="0" fontId="34" fillId="12" borderId="58" xfId="2" applyFont="1" applyFill="1" applyBorder="1" applyAlignment="1">
      <alignment horizontal="center" vertical="center"/>
    </xf>
    <xf numFmtId="0" fontId="34" fillId="12" borderId="0" xfId="2" applyFont="1" applyFill="1" applyAlignment="1">
      <alignment horizontal="left" vertical="center"/>
    </xf>
    <xf numFmtId="0" fontId="50" fillId="0" borderId="0" xfId="2" applyFont="1" applyAlignment="1">
      <alignment horizontal="center" vertical="center"/>
    </xf>
    <xf numFmtId="0" fontId="10" fillId="5" borderId="60" xfId="2" applyFont="1" applyFill="1" applyBorder="1" applyAlignment="1">
      <alignment horizontal="center" vertical="center"/>
    </xf>
    <xf numFmtId="0" fontId="10" fillId="5" borderId="64" xfId="2" applyFont="1" applyFill="1" applyBorder="1" applyAlignment="1">
      <alignment horizontal="center" vertical="center"/>
    </xf>
    <xf numFmtId="0" fontId="10" fillId="5" borderId="58" xfId="2" applyFont="1" applyFill="1" applyBorder="1" applyAlignment="1">
      <alignment horizontal="center" vertical="center"/>
    </xf>
    <xf numFmtId="0" fontId="34" fillId="12" borderId="18" xfId="2" applyFont="1" applyFill="1" applyBorder="1" applyAlignment="1">
      <alignment horizontal="center" vertical="center"/>
    </xf>
    <xf numFmtId="0" fontId="34" fillId="12" borderId="19" xfId="2" applyFont="1" applyFill="1" applyBorder="1" applyAlignment="1">
      <alignment horizontal="center" vertical="center"/>
    </xf>
    <xf numFmtId="0" fontId="34" fillId="12" borderId="17" xfId="2" applyFont="1" applyFill="1" applyBorder="1" applyAlignment="1">
      <alignment horizontal="center" vertical="center"/>
    </xf>
    <xf numFmtId="0" fontId="34" fillId="12" borderId="45" xfId="2" applyFont="1" applyFill="1" applyBorder="1" applyAlignment="1">
      <alignment horizontal="center" vertical="center"/>
    </xf>
    <xf numFmtId="0" fontId="34" fillId="12" borderId="6" xfId="2" applyFont="1" applyFill="1" applyBorder="1" applyAlignment="1">
      <alignment horizontal="center" vertical="center"/>
    </xf>
    <xf numFmtId="0" fontId="34" fillId="12" borderId="20" xfId="2" applyFont="1" applyFill="1" applyBorder="1" applyAlignment="1">
      <alignment horizontal="center" vertical="center"/>
    </xf>
    <xf numFmtId="0" fontId="50" fillId="5" borderId="0" xfId="0" applyFont="1" applyFill="1" applyAlignment="1">
      <alignment horizontal="center" wrapText="1"/>
    </xf>
    <xf numFmtId="0" fontId="34" fillId="12" borderId="27" xfId="0" applyFont="1" applyFill="1" applyBorder="1" applyAlignment="1">
      <alignment horizontal="left" vertical="center" wrapText="1"/>
    </xf>
    <xf numFmtId="0" fontId="35" fillId="12" borderId="27" xfId="0" applyFont="1" applyFill="1" applyBorder="1" applyAlignment="1">
      <alignment horizontal="left" vertical="center" wrapText="1"/>
    </xf>
    <xf numFmtId="0" fontId="34" fillId="12" borderId="27" xfId="0" applyFont="1" applyFill="1" applyBorder="1" applyAlignment="1">
      <alignment horizontal="center" wrapText="1"/>
    </xf>
    <xf numFmtId="0" fontId="34" fillId="12" borderId="27" xfId="4" applyFont="1" applyFill="1" applyBorder="1" applyAlignment="1">
      <alignment horizontal="left" vertical="center" wrapText="1"/>
    </xf>
    <xf numFmtId="0" fontId="35" fillId="12" borderId="27" xfId="4" applyFont="1" applyFill="1" applyBorder="1" applyAlignment="1">
      <alignment horizontal="left" vertical="center" wrapText="1"/>
    </xf>
    <xf numFmtId="0" fontId="34" fillId="12" borderId="27" xfId="4" applyFont="1" applyFill="1" applyBorder="1" applyAlignment="1">
      <alignment horizontal="center" vertical="center" wrapText="1"/>
    </xf>
    <xf numFmtId="0" fontId="34" fillId="12" borderId="61" xfId="2" applyFont="1" applyFill="1" applyBorder="1" applyAlignment="1">
      <alignment horizontal="center" vertical="center" wrapText="1"/>
    </xf>
    <xf numFmtId="0" fontId="34" fillId="12" borderId="62" xfId="2" applyFont="1" applyFill="1" applyBorder="1" applyAlignment="1">
      <alignment horizontal="center" vertical="center" wrapText="1"/>
    </xf>
    <xf numFmtId="0" fontId="34" fillId="12" borderId="60" xfId="2" applyFont="1" applyFill="1" applyBorder="1" applyAlignment="1">
      <alignment horizontal="center" vertical="center" wrapText="1"/>
    </xf>
    <xf numFmtId="0" fontId="34" fillId="12" borderId="70" xfId="2" applyFont="1" applyFill="1" applyBorder="1" applyAlignment="1">
      <alignment horizontal="center" vertical="center" wrapText="1"/>
    </xf>
    <xf numFmtId="0" fontId="34" fillId="12" borderId="58" xfId="2" applyFont="1" applyFill="1" applyBorder="1" applyAlignment="1">
      <alignment horizontal="center" vertical="center" wrapText="1"/>
    </xf>
    <xf numFmtId="0" fontId="34" fillId="12" borderId="71" xfId="2" applyFont="1" applyFill="1" applyBorder="1" applyAlignment="1">
      <alignment horizontal="center" vertical="center" wrapText="1"/>
    </xf>
    <xf numFmtId="0" fontId="34" fillId="12" borderId="11" xfId="2" applyFont="1" applyFill="1" applyBorder="1" applyAlignment="1">
      <alignment horizontal="center" vertical="center" wrapText="1"/>
    </xf>
    <xf numFmtId="0" fontId="34" fillId="12" borderId="5" xfId="2" applyFont="1" applyFill="1" applyBorder="1" applyAlignment="1">
      <alignment horizontal="center" vertical="center" wrapText="1"/>
    </xf>
    <xf numFmtId="0" fontId="34" fillId="12" borderId="64" xfId="2" applyFont="1" applyFill="1" applyBorder="1" applyAlignment="1">
      <alignment horizontal="center" vertical="center" wrapText="1"/>
    </xf>
    <xf numFmtId="0" fontId="34" fillId="12" borderId="19" xfId="2" applyFont="1" applyFill="1" applyBorder="1" applyAlignment="1">
      <alignment horizontal="center" vertical="center" wrapText="1"/>
    </xf>
    <xf numFmtId="0" fontId="34" fillId="12" borderId="69" xfId="2" applyFont="1" applyFill="1" applyBorder="1" applyAlignment="1">
      <alignment horizontal="center" vertical="center" wrapText="1"/>
    </xf>
    <xf numFmtId="0" fontId="9" fillId="0" borderId="27" xfId="2" applyFont="1" applyBorder="1" applyAlignment="1">
      <alignment horizontal="center" vertical="center" wrapText="1"/>
    </xf>
    <xf numFmtId="0" fontId="9" fillId="0" borderId="27" xfId="2" applyFont="1" applyBorder="1" applyAlignment="1">
      <alignment vertical="center" wrapText="1"/>
    </xf>
    <xf numFmtId="0" fontId="50" fillId="0" borderId="0" xfId="2" applyFont="1" applyAlignment="1">
      <alignment horizontal="center" vertical="center" wrapText="1"/>
    </xf>
    <xf numFmtId="0" fontId="24" fillId="0" borderId="27" xfId="0" applyFont="1" applyBorder="1" applyAlignment="1">
      <alignment horizontal="left" vertical="center" wrapText="1"/>
    </xf>
    <xf numFmtId="2" fontId="24" fillId="0" borderId="27" xfId="0" applyNumberFormat="1" applyFont="1" applyBorder="1" applyAlignment="1">
      <alignment vertical="center" wrapText="1"/>
    </xf>
    <xf numFmtId="0" fontId="24" fillId="0" borderId="27" xfId="0" applyFont="1" applyBorder="1" applyAlignment="1">
      <alignment vertical="center" wrapText="1"/>
    </xf>
    <xf numFmtId="0" fontId="24" fillId="0" borderId="27" xfId="0" applyFont="1" applyBorder="1" applyAlignment="1">
      <alignment horizontal="center" vertical="center" wrapText="1"/>
    </xf>
    <xf numFmtId="0" fontId="9" fillId="0" borderId="27" xfId="2" applyFont="1" applyBorder="1" applyAlignment="1">
      <alignment horizontal="justify" vertical="center" wrapText="1"/>
    </xf>
    <xf numFmtId="0" fontId="34" fillId="12" borderId="27" xfId="2" applyFont="1" applyFill="1" applyBorder="1" applyAlignment="1">
      <alignment horizontal="center" vertical="center"/>
    </xf>
    <xf numFmtId="0" fontId="34" fillId="12" borderId="27" xfId="2" applyFont="1" applyFill="1" applyBorder="1" applyAlignment="1">
      <alignment horizontal="center" vertical="center" wrapText="1"/>
    </xf>
    <xf numFmtId="0" fontId="24" fillId="0" borderId="13" xfId="4" applyFont="1" applyBorder="1" applyAlignment="1">
      <alignment horizontal="left" vertical="center"/>
    </xf>
    <xf numFmtId="0" fontId="24" fillId="0" borderId="10" xfId="4" applyFont="1" applyBorder="1" applyAlignment="1">
      <alignment horizontal="left" vertical="center"/>
    </xf>
    <xf numFmtId="0" fontId="9" fillId="0" borderId="0" xfId="4" quotePrefix="1" applyFont="1" applyAlignment="1">
      <alignment horizontal="left" vertical="center"/>
    </xf>
    <xf numFmtId="0" fontId="9" fillId="0" borderId="74" xfId="4" quotePrefix="1" applyFont="1" applyBorder="1" applyAlignment="1">
      <alignment horizontal="left" vertical="center"/>
    </xf>
    <xf numFmtId="0" fontId="50" fillId="0" borderId="0" xfId="4" applyFont="1" applyAlignment="1">
      <alignment horizontal="center"/>
    </xf>
    <xf numFmtId="0" fontId="34" fillId="12" borderId="18" xfId="4" applyFont="1" applyFill="1" applyBorder="1" applyAlignment="1">
      <alignment horizontal="center"/>
    </xf>
    <xf numFmtId="0" fontId="34" fillId="12" borderId="19" xfId="4" applyFont="1" applyFill="1" applyBorder="1" applyAlignment="1">
      <alignment horizontal="center"/>
    </xf>
    <xf numFmtId="0" fontId="34" fillId="12" borderId="5" xfId="4" applyFont="1" applyFill="1" applyBorder="1" applyAlignment="1">
      <alignment horizontal="center" vertical="center"/>
    </xf>
    <xf numFmtId="0" fontId="34" fillId="12" borderId="13" xfId="4" applyFont="1" applyFill="1" applyBorder="1" applyAlignment="1">
      <alignment horizontal="center" vertical="center"/>
    </xf>
    <xf numFmtId="0" fontId="34" fillId="12" borderId="5" xfId="4" applyFont="1" applyFill="1" applyBorder="1" applyAlignment="1">
      <alignment horizontal="center" vertical="center" wrapText="1"/>
    </xf>
    <xf numFmtId="0" fontId="34" fillId="12" borderId="13" xfId="4" applyFont="1" applyFill="1" applyBorder="1" applyAlignment="1">
      <alignment horizontal="center" vertical="center" wrapText="1"/>
    </xf>
    <xf numFmtId="0" fontId="9" fillId="0" borderId="11" xfId="4" applyFont="1" applyBorder="1" applyAlignment="1">
      <alignment horizontal="left" vertical="center" wrapText="1"/>
    </xf>
    <xf numFmtId="0" fontId="9" fillId="0" borderId="13" xfId="4" applyFont="1" applyBorder="1" applyAlignment="1">
      <alignment horizontal="left" vertical="center" wrapText="1"/>
    </xf>
    <xf numFmtId="0" fontId="9" fillId="0" borderId="10" xfId="4" applyFont="1" applyBorder="1" applyAlignment="1">
      <alignment horizontal="left" vertical="center" wrapText="1"/>
    </xf>
    <xf numFmtId="49" fontId="9" fillId="0" borderId="13" xfId="4" applyNumberFormat="1" applyFont="1" applyBorder="1" applyAlignment="1">
      <alignment horizontal="left" vertical="center"/>
    </xf>
    <xf numFmtId="49" fontId="9" fillId="0" borderId="10" xfId="4" applyNumberFormat="1" applyFont="1" applyBorder="1" applyAlignment="1">
      <alignment horizontal="left" vertical="center"/>
    </xf>
    <xf numFmtId="165" fontId="34" fillId="12" borderId="27" xfId="0" applyNumberFormat="1" applyFont="1" applyFill="1" applyBorder="1" applyAlignment="1">
      <alignment horizontal="center" vertical="center" wrapText="1"/>
    </xf>
    <xf numFmtId="0" fontId="34" fillId="12" borderId="27" xfId="0" applyFont="1" applyFill="1" applyBorder="1" applyAlignment="1">
      <alignment horizontal="center" vertical="center" wrapText="1"/>
    </xf>
    <xf numFmtId="0" fontId="9" fillId="0" borderId="27" xfId="0" quotePrefix="1" applyFont="1" applyBorder="1" applyAlignment="1">
      <alignment horizontal="center" vertical="center" wrapText="1"/>
    </xf>
    <xf numFmtId="0" fontId="10" fillId="0" borderId="27" xfId="0" applyFont="1" applyBorder="1" applyAlignment="1">
      <alignment horizontal="left" vertical="center" wrapText="1"/>
    </xf>
    <xf numFmtId="4" fontId="9" fillId="0" borderId="27" xfId="12" applyNumberFormat="1" applyFont="1" applyBorder="1" applyAlignment="1">
      <alignment horizontal="right" vertical="center" wrapText="1"/>
    </xf>
    <xf numFmtId="0" fontId="9" fillId="0" borderId="27" xfId="0" applyFont="1" applyBorder="1" applyAlignment="1">
      <alignment horizontal="center" vertical="center" wrapText="1"/>
    </xf>
    <xf numFmtId="0" fontId="9" fillId="0" borderId="27" xfId="0" applyFont="1" applyBorder="1" applyAlignment="1">
      <alignment vertical="center" wrapText="1"/>
    </xf>
    <xf numFmtId="0" fontId="9" fillId="0" borderId="27" xfId="0" applyFont="1" applyBorder="1" applyAlignment="1">
      <alignment horizontal="left" vertical="center" wrapText="1"/>
    </xf>
    <xf numFmtId="0" fontId="21" fillId="5" borderId="27" xfId="0" applyFont="1" applyFill="1" applyBorder="1" applyAlignment="1">
      <alignment horizontal="center" vertical="center" wrapText="1"/>
    </xf>
    <xf numFmtId="43" fontId="9" fillId="0" borderId="27" xfId="12" applyFont="1" applyBorder="1" applyAlignment="1">
      <alignment horizontal="center" vertical="center" wrapText="1"/>
    </xf>
    <xf numFmtId="14" fontId="9" fillId="0" borderId="27" xfId="12" applyNumberFormat="1" applyFont="1" applyBorder="1" applyAlignment="1">
      <alignment horizontal="center" vertical="center" wrapText="1"/>
    </xf>
    <xf numFmtId="0" fontId="27" fillId="5" borderId="27" xfId="6" quotePrefix="1" applyFont="1" applyFill="1" applyBorder="1" applyAlignment="1">
      <alignment horizontal="center" vertical="center" wrapText="1"/>
    </xf>
    <xf numFmtId="0" fontId="61" fillId="12" borderId="27" xfId="6" quotePrefix="1" applyFont="1" applyFill="1" applyBorder="1" applyAlignment="1">
      <alignment horizontal="center" vertical="center" wrapText="1"/>
    </xf>
    <xf numFmtId="0" fontId="10" fillId="0" borderId="27" xfId="0" applyFont="1" applyBorder="1" applyAlignment="1">
      <alignment horizontal="center" vertical="center" wrapText="1"/>
    </xf>
    <xf numFmtId="165" fontId="34" fillId="12" borderId="27" xfId="4" applyNumberFormat="1" applyFont="1" applyFill="1" applyBorder="1" applyAlignment="1">
      <alignment horizontal="center" vertical="center" wrapText="1"/>
    </xf>
    <xf numFmtId="0" fontId="62" fillId="12" borderId="27" xfId="0" applyFont="1" applyFill="1" applyBorder="1" applyAlignment="1">
      <alignment horizontal="center" vertical="center" wrapText="1"/>
    </xf>
    <xf numFmtId="165" fontId="62" fillId="12" borderId="27" xfId="0" applyNumberFormat="1" applyFont="1" applyFill="1" applyBorder="1" applyAlignment="1">
      <alignment horizontal="center" vertical="center" wrapText="1"/>
    </xf>
    <xf numFmtId="0" fontId="42" fillId="0" borderId="27" xfId="0" applyFont="1" applyBorder="1" applyAlignment="1">
      <alignment horizontal="center" vertical="center" wrapText="1"/>
    </xf>
    <xf numFmtId="0" fontId="62" fillId="12" borderId="27" xfId="0" applyFont="1" applyFill="1" applyBorder="1" applyAlignment="1">
      <alignment horizontal="left" vertical="center" wrapText="1"/>
    </xf>
    <xf numFmtId="0" fontId="62" fillId="12" borderId="27" xfId="0" quotePrefix="1" applyFont="1" applyFill="1" applyBorder="1" applyAlignment="1">
      <alignment horizontal="center" vertical="center" wrapText="1"/>
    </xf>
    <xf numFmtId="0" fontId="41" fillId="0" borderId="0" xfId="0" applyFont="1" applyAlignment="1">
      <alignment horizontal="center" vertical="center" wrapText="1"/>
    </xf>
    <xf numFmtId="0" fontId="62" fillId="12" borderId="27" xfId="4" applyFont="1" applyFill="1" applyBorder="1" applyAlignment="1">
      <alignment horizontal="center" vertical="center" wrapText="1"/>
    </xf>
    <xf numFmtId="165" fontId="62" fillId="12" borderId="27" xfId="4" applyNumberFormat="1" applyFont="1" applyFill="1" applyBorder="1" applyAlignment="1">
      <alignment horizontal="center" vertical="center" wrapText="1"/>
    </xf>
    <xf numFmtId="0" fontId="42" fillId="0" borderId="27" xfId="0" quotePrefix="1" applyFont="1" applyBorder="1" applyAlignment="1">
      <alignment horizontal="center" vertical="center" wrapText="1"/>
    </xf>
    <xf numFmtId="0" fontId="9" fillId="0" borderId="35"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2" xfId="0" applyFont="1" applyBorder="1" applyAlignment="1">
      <alignment horizontal="center" vertical="center" wrapText="1"/>
    </xf>
    <xf numFmtId="0" fontId="27" fillId="0" borderId="35" xfId="0" applyFont="1" applyBorder="1" applyAlignment="1">
      <alignment horizontal="left" vertical="center"/>
    </xf>
    <xf numFmtId="0" fontId="27" fillId="0" borderId="47" xfId="0" applyFont="1" applyBorder="1" applyAlignment="1">
      <alignment horizontal="left" vertical="center"/>
    </xf>
    <xf numFmtId="0" fontId="27" fillId="0" borderId="22" xfId="0" applyFont="1" applyBorder="1" applyAlignment="1">
      <alignment horizontal="left" vertical="center"/>
    </xf>
    <xf numFmtId="0" fontId="34" fillId="12" borderId="20" xfId="0" applyFont="1" applyFill="1" applyBorder="1" applyAlignment="1">
      <alignment horizontal="center" vertical="center" wrapText="1"/>
    </xf>
    <xf numFmtId="0" fontId="34" fillId="12" borderId="4" xfId="0" applyFont="1" applyFill="1" applyBorder="1" applyAlignment="1">
      <alignment horizontal="center" vertical="center" wrapText="1"/>
    </xf>
    <xf numFmtId="0" fontId="34" fillId="12" borderId="19" xfId="0" applyFont="1" applyFill="1" applyBorder="1" applyAlignment="1">
      <alignment horizontal="center" vertical="center" wrapText="1"/>
    </xf>
    <xf numFmtId="0" fontId="34" fillId="12" borderId="18" xfId="0" applyFont="1" applyFill="1" applyBorder="1" applyAlignment="1">
      <alignment horizontal="center" vertical="center" wrapText="1"/>
    </xf>
    <xf numFmtId="0" fontId="34" fillId="12" borderId="17" xfId="0" applyFont="1" applyFill="1" applyBorder="1" applyAlignment="1">
      <alignment horizontal="center" vertical="center" wrapText="1"/>
    </xf>
    <xf numFmtId="0" fontId="34" fillId="12" borderId="41" xfId="0" applyFont="1" applyFill="1" applyBorder="1" applyAlignment="1">
      <alignment horizontal="center" vertical="center" wrapText="1"/>
    </xf>
    <xf numFmtId="0" fontId="34" fillId="12" borderId="15" xfId="0" applyFont="1" applyFill="1" applyBorder="1" applyAlignment="1">
      <alignment horizontal="center" vertical="center" wrapText="1"/>
    </xf>
    <xf numFmtId="0" fontId="34" fillId="12" borderId="42" xfId="0" applyFont="1" applyFill="1" applyBorder="1" applyAlignment="1">
      <alignment horizontal="center" vertical="center" wrapText="1"/>
    </xf>
  </cellXfs>
  <cellStyles count="19">
    <cellStyle name="Millares" xfId="12" builtinId="3"/>
    <cellStyle name="Millares 2" xfId="5" xr:uid="{B0041314-690E-4B8D-9F07-21B458BE9A08}"/>
    <cellStyle name="Millares 2 2" xfId="9" xr:uid="{3AFE5120-A852-4CE1-A0E3-8C16284BE258}"/>
    <cellStyle name="Millares 3" xfId="8" xr:uid="{9A21C326-DD1E-412F-908D-64E595495734}"/>
    <cellStyle name="Millares_F18" xfId="17" xr:uid="{4B6E374C-C422-4F3B-97F8-6530D62491B0}"/>
    <cellStyle name="Moneda" xfId="14" builtinId="4"/>
    <cellStyle name="Moneda 2" xfId="18" xr:uid="{B4FFB125-D20A-48CE-92FD-1426EC383E3F}"/>
    <cellStyle name="Normal" xfId="0" builtinId="0"/>
    <cellStyle name="Normal 2" xfId="4" xr:uid="{00000000-0005-0000-0000-000001000000}"/>
    <cellStyle name="Normal 2 2" xfId="16" xr:uid="{AA370448-0A95-4FA3-9C8B-C1476BE30A37}"/>
    <cellStyle name="Normal 2 2 2" xfId="15" xr:uid="{05E44E68-59E9-4B73-A37E-AA7537D0AF99}"/>
    <cellStyle name="Normal 3" xfId="7" xr:uid="{816FAB0C-6F6D-46FC-AE19-3D0D50FBD447}"/>
    <cellStyle name="Normal 4" xfId="6" xr:uid="{9B24FEED-BA42-4A72-8AFD-C23C5604151E}"/>
    <cellStyle name="Normal 5" xfId="10" xr:uid="{63F43FF5-B8DC-4B5B-82E2-85DFBD099F94}"/>
    <cellStyle name="Normal_ESTR98" xfId="1" xr:uid="{00000000-0005-0000-0000-000002000000}"/>
    <cellStyle name="Normal_PLAZAS98" xfId="2" xr:uid="{00000000-0005-0000-0000-000003000000}"/>
    <cellStyle name="Normal_SPGG98" xfId="3" xr:uid="{00000000-0005-0000-0000-000004000000}"/>
    <cellStyle name="Porcentaje" xfId="13" builtinId="5"/>
    <cellStyle name="Porcentaje 2" xfId="11" xr:uid="{F0C68B76-9A80-4EC8-A45C-53DA537E687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pnud/Downloads/FORMATOS2021%20(1)-2021-2022%20(OGP)%20CONSOLIDADO%20PLIEGO%20%20ULTIMO%2022-09-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pnud/Downloads/FORMATOS-2020-2021-TRANSPOR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ecursos%20Humanos/Downloads/CAP-TRABAJO.2021-UCAYALI.%20DRTPE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pnud/Downloads/FORMATOS%20RR.RR.%20UGEL%20ATALAYA%20202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09"/>
      <sheetName val="F-10"/>
      <sheetName val="F-11"/>
      <sheetName val="Hoja1"/>
    </sheetNames>
    <sheetDataSet>
      <sheetData sheetId="0" refreshError="1"/>
      <sheetData sheetId="1" refreshError="1"/>
      <sheetData sheetId="2">
        <row r="11">
          <cell r="AI11">
            <v>172600</v>
          </cell>
        </row>
        <row r="12">
          <cell r="AI12">
            <v>313018.64</v>
          </cell>
        </row>
        <row r="13">
          <cell r="AI13">
            <v>1006937.7600000001</v>
          </cell>
        </row>
        <row r="14">
          <cell r="AI14">
            <v>1120054.2</v>
          </cell>
        </row>
        <row r="15">
          <cell r="AI15">
            <v>1977465.2799999998</v>
          </cell>
        </row>
        <row r="16">
          <cell r="AI16">
            <v>56351.680000000008</v>
          </cell>
        </row>
        <row r="17">
          <cell r="AI17">
            <v>708700.76</v>
          </cell>
        </row>
        <row r="18">
          <cell r="AI18">
            <v>1043248.0000000001</v>
          </cell>
        </row>
        <row r="19">
          <cell r="AI19">
            <v>85821.200000000012</v>
          </cell>
        </row>
        <row r="20">
          <cell r="AI20">
            <v>2208759.6800000002</v>
          </cell>
        </row>
        <row r="21">
          <cell r="AI21">
            <v>549301.28</v>
          </cell>
        </row>
        <row r="22">
          <cell r="AI22">
            <v>128507.68</v>
          </cell>
        </row>
        <row r="23">
          <cell r="AI23">
            <v>111431.68000000002</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09-PERSONAL"/>
      <sheetName val="F-10-PERSONAL"/>
      <sheetName val="F-11-PERSONAL (2)"/>
      <sheetName val="F-11-PERSONAL"/>
      <sheetName val="F-17-PERSONAL"/>
      <sheetName val="Hoja1"/>
    </sheetNames>
    <sheetDataSet>
      <sheetData sheetId="0" refreshError="1">
        <row r="10">
          <cell r="L10">
            <v>83698.48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CUANT. CNP 2011 "/>
      <sheetName val="CUADRO NOMINAL 2016"/>
      <sheetName val=" PAP 2016"/>
      <sheetName val="RES. CUANT. CAP 2011 "/>
      <sheetName val="C.A.P. TRABAJO   2011 "/>
      <sheetName val="CAP 2017"/>
      <sheetName val="Hoja1"/>
      <sheetName val="PAP 2017"/>
      <sheetName val="PAP 2018  (2)"/>
      <sheetName val="Hoja2"/>
      <sheetName val="PAP 2018  (3)"/>
      <sheetName val="RRHH"/>
      <sheetName val="PAGO DE PLANILLA 2020 -MUC"/>
      <sheetName val="PAGO DE PLANILLA 2020 NORMA (2)"/>
      <sheetName val="PAGO DE PLANILLA 2020 NORMAL"/>
      <sheetName val="CUADRO 03"/>
      <sheetName val="MODIF CONTRACION SUPLE"/>
      <sheetName val="PAP 2019  (2)"/>
      <sheetName val="PROPUESTA. PAP 2021.5"/>
      <sheetName val="PROPUESTA 02. PAP 2021"/>
      <sheetName val="PROGRAMACION PLANILLA 2021.276"/>
      <sheetName val="PROGRAMACION PLANILLA 2021. (2)"/>
      <sheetName val="CERTIFICACION"/>
      <sheetName val="CONIFIANZA"/>
      <sheetName val="CONTRATADO"/>
      <sheetName val="NOMBRADOS"/>
      <sheetName val="Hoja6"/>
      <sheetName val="CUADRO 1"/>
      <sheetName val="CUADRO 02"/>
      <sheetName val="PLANILLA 2020"/>
      <sheetName val="XXX"/>
      <sheetName val="CUADRO 4)"/>
      <sheetName val="MODIF  2019.PLAZA SUPLE"/>
      <sheetName val="EJEC. 2.1 MODIFICADO (2)"/>
      <sheetName val="MODIF PAP 2018 (2)"/>
      <sheetName val="EJEC. 2.1 MODIFICADO"/>
      <sheetName val="Hoja5"/>
      <sheetName val="EJECUCION PLANILLA NOMC (2)"/>
      <sheetName val="EJECUCION PLANILLA NOMC"/>
      <sheetName val="cuadro 4"/>
      <sheetName val="cuadro 4 (2)"/>
      <sheetName val="CUADR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2">
          <cell r="S42">
            <v>22000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zoomScaleNormal="100" zoomScaleSheetLayoutView="100" zoomScalePageLayoutView="85" workbookViewId="0">
      <selection activeCell="I15" sqref="I15"/>
    </sheetView>
  </sheetViews>
  <sheetFormatPr baseColWidth="10" defaultColWidth="11.42578125" defaultRowHeight="12.75" x14ac:dyDescent="0.2"/>
  <cols>
    <col min="1" max="1" width="19.85546875" style="26" customWidth="1"/>
    <col min="2" max="2" width="69.85546875" style="27" customWidth="1"/>
    <col min="3" max="5" width="8.7109375" style="26" customWidth="1"/>
    <col min="6" max="16384" width="11.42578125" style="26"/>
  </cols>
  <sheetData>
    <row r="1" spans="1:512" s="25" customFormat="1" ht="15.75" x14ac:dyDescent="0.2">
      <c r="A1" s="23" t="s">
        <v>0</v>
      </c>
      <c r="B1" s="24"/>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29"/>
      <c r="OY1" s="29"/>
      <c r="OZ1" s="29"/>
      <c r="PA1" s="29"/>
      <c r="PB1" s="29"/>
      <c r="PC1" s="29"/>
      <c r="PD1" s="29"/>
      <c r="PE1" s="29"/>
      <c r="PF1" s="29"/>
      <c r="PG1" s="29"/>
      <c r="PH1" s="29"/>
      <c r="PI1" s="29"/>
      <c r="PJ1" s="29"/>
      <c r="PK1" s="29"/>
      <c r="PL1" s="29"/>
      <c r="PM1" s="29"/>
      <c r="PN1" s="29"/>
      <c r="PO1" s="29"/>
      <c r="PP1" s="29"/>
      <c r="PQ1" s="29"/>
      <c r="PR1" s="29"/>
      <c r="PS1" s="29"/>
      <c r="PT1" s="29"/>
      <c r="PU1" s="29"/>
      <c r="PV1" s="29"/>
      <c r="PW1" s="29"/>
      <c r="PX1" s="29"/>
      <c r="PY1" s="29"/>
      <c r="PZ1" s="29"/>
      <c r="QA1" s="29"/>
      <c r="QB1" s="29"/>
      <c r="QC1" s="29"/>
      <c r="QD1" s="29"/>
      <c r="QE1" s="29"/>
      <c r="QF1" s="29"/>
      <c r="QG1" s="29"/>
      <c r="QH1" s="29"/>
      <c r="QI1" s="29"/>
      <c r="QJ1" s="29"/>
      <c r="QK1" s="29"/>
      <c r="QL1" s="29"/>
      <c r="QM1" s="29"/>
      <c r="QN1" s="29"/>
      <c r="QO1" s="29"/>
      <c r="QP1" s="29"/>
      <c r="QQ1" s="29"/>
      <c r="QR1" s="29"/>
      <c r="QS1" s="29"/>
      <c r="QT1" s="29"/>
      <c r="QU1" s="29"/>
      <c r="QV1" s="29"/>
      <c r="QW1" s="29"/>
      <c r="QX1" s="29"/>
      <c r="QY1" s="29"/>
      <c r="QZ1" s="29"/>
      <c r="RA1" s="29"/>
      <c r="RB1" s="29"/>
      <c r="RC1" s="29"/>
      <c r="RD1" s="29"/>
      <c r="RE1" s="29"/>
      <c r="RF1" s="29"/>
      <c r="RG1" s="29"/>
      <c r="RH1" s="29"/>
      <c r="RI1" s="29"/>
      <c r="RJ1" s="29"/>
      <c r="RK1" s="29"/>
      <c r="RL1" s="29"/>
      <c r="RM1" s="29"/>
      <c r="RN1" s="29"/>
      <c r="RO1" s="29"/>
      <c r="RP1" s="29"/>
      <c r="RQ1" s="29"/>
      <c r="RR1" s="29"/>
      <c r="RS1" s="29"/>
      <c r="RT1" s="29"/>
      <c r="RU1" s="29"/>
      <c r="RV1" s="29"/>
      <c r="RW1" s="29"/>
      <c r="RX1" s="29"/>
      <c r="RY1" s="29"/>
      <c r="RZ1" s="29"/>
      <c r="SA1" s="29"/>
      <c r="SB1" s="29"/>
      <c r="SC1" s="29"/>
      <c r="SD1" s="29"/>
      <c r="SE1" s="29"/>
      <c r="SF1" s="29"/>
      <c r="SG1" s="29"/>
      <c r="SH1" s="29"/>
      <c r="SI1" s="29"/>
      <c r="SJ1" s="29"/>
      <c r="SK1" s="29"/>
      <c r="SL1" s="29"/>
      <c r="SM1" s="29"/>
      <c r="SN1" s="29"/>
      <c r="SO1" s="29"/>
      <c r="SP1" s="29"/>
      <c r="SQ1" s="29"/>
      <c r="SR1" s="29"/>
    </row>
    <row r="2" spans="1:512" x14ac:dyDescent="0.2">
      <c r="C2" s="1399"/>
      <c r="D2" s="1399"/>
      <c r="E2" s="1399"/>
    </row>
    <row r="3" spans="1:512" x14ac:dyDescent="0.2">
      <c r="A3" s="28" t="s">
        <v>1</v>
      </c>
    </row>
    <row r="5" spans="1:512" s="43" customFormat="1" ht="27" customHeight="1" x14ac:dyDescent="0.2">
      <c r="A5" s="44" t="s">
        <v>2</v>
      </c>
      <c r="B5" s="1400" t="s">
        <v>3</v>
      </c>
      <c r="C5" s="1401"/>
      <c r="D5" s="1401"/>
      <c r="E5" s="1402"/>
    </row>
    <row r="6" spans="1:512" x14ac:dyDescent="0.2">
      <c r="A6" s="28"/>
      <c r="B6" s="42"/>
      <c r="C6" s="43"/>
      <c r="D6" s="43"/>
      <c r="E6" s="43"/>
    </row>
    <row r="7" spans="1:512" x14ac:dyDescent="0.2">
      <c r="A7" s="28" t="s">
        <v>4</v>
      </c>
      <c r="B7" s="42"/>
      <c r="C7" s="43"/>
      <c r="D7" s="43"/>
      <c r="E7" s="43"/>
    </row>
    <row r="8" spans="1:512" x14ac:dyDescent="0.2">
      <c r="A8" s="28"/>
      <c r="B8" s="42"/>
      <c r="C8" s="43"/>
      <c r="D8" s="43"/>
      <c r="E8" s="43"/>
    </row>
    <row r="9" spans="1:512" s="43" customFormat="1" ht="27" customHeight="1" x14ac:dyDescent="0.2">
      <c r="A9" s="44" t="s">
        <v>5</v>
      </c>
      <c r="B9" s="1400" t="s">
        <v>6</v>
      </c>
      <c r="C9" s="1401"/>
      <c r="D9" s="1401"/>
      <c r="E9" s="1402"/>
    </row>
    <row r="10" spans="1:512" s="43" customFormat="1" ht="27" customHeight="1" x14ac:dyDescent="0.2">
      <c r="A10" s="44" t="s">
        <v>7</v>
      </c>
      <c r="B10" s="1400" t="s">
        <v>8</v>
      </c>
      <c r="C10" s="1401"/>
      <c r="D10" s="1401"/>
      <c r="E10" s="1402"/>
    </row>
    <row r="11" spans="1:512" s="43" customFormat="1" ht="27" customHeight="1" x14ac:dyDescent="0.2">
      <c r="A11" s="44" t="s">
        <v>9</v>
      </c>
      <c r="B11" s="1400" t="s">
        <v>10</v>
      </c>
      <c r="C11" s="1401"/>
      <c r="D11" s="1401"/>
      <c r="E11" s="1402"/>
    </row>
    <row r="12" spans="1:512" s="43" customFormat="1" ht="27" customHeight="1" x14ac:dyDescent="0.2">
      <c r="A12" s="44" t="s">
        <v>11</v>
      </c>
      <c r="B12" s="1400" t="s">
        <v>12</v>
      </c>
      <c r="C12" s="1401"/>
      <c r="D12" s="1401"/>
      <c r="E12" s="1402"/>
    </row>
    <row r="13" spans="1:512" s="43" customFormat="1" ht="27" customHeight="1" x14ac:dyDescent="0.2">
      <c r="A13" s="44" t="s">
        <v>13</v>
      </c>
      <c r="B13" s="1400" t="s">
        <v>14</v>
      </c>
      <c r="C13" s="1401"/>
      <c r="D13" s="1401"/>
      <c r="E13" s="1402"/>
    </row>
    <row r="14" spans="1:512" s="43" customFormat="1" ht="27" customHeight="1" x14ac:dyDescent="0.2">
      <c r="A14" s="44" t="s">
        <v>15</v>
      </c>
      <c r="B14" s="1400" t="s">
        <v>16</v>
      </c>
      <c r="C14" s="1401"/>
      <c r="D14" s="1401"/>
      <c r="E14" s="1402"/>
    </row>
    <row r="15" spans="1:512" s="43" customFormat="1" ht="27" customHeight="1" x14ac:dyDescent="0.2">
      <c r="A15" s="44" t="s">
        <v>17</v>
      </c>
      <c r="B15" s="1400" t="s">
        <v>18</v>
      </c>
      <c r="C15" s="1401"/>
      <c r="D15" s="1401"/>
      <c r="E15" s="1402"/>
    </row>
    <row r="16" spans="1:512" x14ac:dyDescent="0.2">
      <c r="A16" s="28"/>
      <c r="B16" s="42"/>
      <c r="C16" s="43"/>
      <c r="D16" s="43"/>
      <c r="E16" s="43"/>
    </row>
    <row r="17" spans="1:5" x14ac:dyDescent="0.2">
      <c r="A17" s="28" t="s">
        <v>19</v>
      </c>
      <c r="B17" s="42"/>
      <c r="C17" s="43"/>
      <c r="D17" s="43"/>
      <c r="E17" s="43"/>
    </row>
    <row r="18" spans="1:5" x14ac:dyDescent="0.2">
      <c r="A18" s="28"/>
      <c r="B18" s="42"/>
      <c r="C18" s="43"/>
      <c r="D18" s="43"/>
      <c r="E18" s="43"/>
    </row>
    <row r="19" spans="1:5" s="43" customFormat="1" ht="27" customHeight="1" x14ac:dyDescent="0.2">
      <c r="A19" s="44" t="s">
        <v>20</v>
      </c>
      <c r="B19" s="1400" t="s">
        <v>21</v>
      </c>
      <c r="C19" s="1401"/>
      <c r="D19" s="1401"/>
      <c r="E19" s="1402"/>
    </row>
    <row r="20" spans="1:5" s="43" customFormat="1" ht="27" customHeight="1" x14ac:dyDescent="0.2">
      <c r="A20" s="44" t="s">
        <v>22</v>
      </c>
      <c r="B20" s="1400" t="s">
        <v>23</v>
      </c>
      <c r="C20" s="1401"/>
      <c r="D20" s="1401"/>
      <c r="E20" s="1402"/>
    </row>
    <row r="21" spans="1:5" s="43" customFormat="1" ht="27" customHeight="1" x14ac:dyDescent="0.2">
      <c r="A21" s="44" t="s">
        <v>24</v>
      </c>
      <c r="B21" s="1400" t="s">
        <v>25</v>
      </c>
      <c r="C21" s="1401"/>
      <c r="D21" s="1401"/>
      <c r="E21" s="1402"/>
    </row>
    <row r="22" spans="1:5" x14ac:dyDescent="0.2">
      <c r="A22" s="28"/>
      <c r="B22" s="42"/>
      <c r="C22" s="43"/>
      <c r="D22" s="43"/>
      <c r="E22" s="43"/>
    </row>
    <row r="23" spans="1:5" x14ac:dyDescent="0.2">
      <c r="A23" s="28" t="s">
        <v>26</v>
      </c>
      <c r="B23" s="42"/>
      <c r="C23" s="43"/>
      <c r="D23" s="43"/>
      <c r="E23" s="43"/>
    </row>
    <row r="24" spans="1:5" x14ac:dyDescent="0.2">
      <c r="A24" s="28"/>
      <c r="B24" s="42"/>
      <c r="C24" s="43"/>
      <c r="D24" s="43"/>
      <c r="E24" s="43"/>
    </row>
    <row r="25" spans="1:5" s="43" customFormat="1" ht="27" customHeight="1" x14ac:dyDescent="0.2">
      <c r="A25" s="44" t="s">
        <v>27</v>
      </c>
      <c r="B25" s="1400" t="s">
        <v>28</v>
      </c>
      <c r="C25" s="1401"/>
      <c r="D25" s="1401"/>
      <c r="E25" s="1402"/>
    </row>
    <row r="26" spans="1:5" s="43" customFormat="1" ht="27" customHeight="1" x14ac:dyDescent="0.2">
      <c r="A26" s="44" t="s">
        <v>29</v>
      </c>
      <c r="B26" s="1400" t="s">
        <v>30</v>
      </c>
      <c r="C26" s="1401"/>
      <c r="D26" s="1401"/>
      <c r="E26" s="1402"/>
    </row>
    <row r="27" spans="1:5" s="43" customFormat="1" ht="27" customHeight="1" x14ac:dyDescent="0.2">
      <c r="A27" s="44" t="s">
        <v>31</v>
      </c>
      <c r="B27" s="1400" t="s">
        <v>32</v>
      </c>
      <c r="C27" s="1401"/>
      <c r="D27" s="1401"/>
      <c r="E27" s="1402"/>
    </row>
    <row r="28" spans="1:5" s="43" customFormat="1" ht="27" customHeight="1" x14ac:dyDescent="0.2">
      <c r="A28" s="44" t="s">
        <v>33</v>
      </c>
      <c r="B28" s="1400" t="s">
        <v>34</v>
      </c>
      <c r="C28" s="1401"/>
      <c r="D28" s="1401"/>
      <c r="E28" s="1402"/>
    </row>
    <row r="29" spans="1:5" s="43" customFormat="1" ht="27" customHeight="1" x14ac:dyDescent="0.2">
      <c r="A29" s="44" t="s">
        <v>35</v>
      </c>
      <c r="B29" s="1400" t="s">
        <v>36</v>
      </c>
      <c r="C29" s="1401"/>
      <c r="D29" s="1401"/>
      <c r="E29" s="1402"/>
    </row>
    <row r="30" spans="1:5" x14ac:dyDescent="0.2">
      <c r="A30" s="28"/>
      <c r="B30" s="42"/>
      <c r="C30" s="43"/>
      <c r="D30" s="43"/>
      <c r="E30" s="43"/>
    </row>
    <row r="31" spans="1:5" x14ac:dyDescent="0.2">
      <c r="A31" s="28" t="s">
        <v>37</v>
      </c>
      <c r="B31" s="42"/>
      <c r="C31" s="43"/>
      <c r="D31" s="43"/>
      <c r="E31" s="43"/>
    </row>
    <row r="32" spans="1:5" x14ac:dyDescent="0.2">
      <c r="A32" s="28"/>
      <c r="B32" s="42"/>
      <c r="C32" s="43"/>
      <c r="D32" s="43"/>
      <c r="E32" s="43"/>
    </row>
    <row r="33" spans="1:5" s="43" customFormat="1" ht="27" customHeight="1" x14ac:dyDescent="0.2">
      <c r="A33" s="44" t="s">
        <v>38</v>
      </c>
      <c r="B33" s="1400" t="s">
        <v>39</v>
      </c>
      <c r="C33" s="1401"/>
      <c r="D33" s="1401"/>
      <c r="E33" s="1402"/>
    </row>
    <row r="34" spans="1:5" s="43" customFormat="1" ht="27" customHeight="1" x14ac:dyDescent="0.2">
      <c r="A34" s="44" t="s">
        <v>40</v>
      </c>
      <c r="B34" s="1400" t="s">
        <v>41</v>
      </c>
      <c r="C34" s="1401"/>
      <c r="D34" s="1401"/>
      <c r="E34" s="1402"/>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 xml:space="preserve">&amp;C&amp;"Arial,Negrita"&amp;18FORMATOS DEL 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W835"/>
  <sheetViews>
    <sheetView zoomScaleNormal="100" zoomScaleSheetLayoutView="90" zoomScalePageLayoutView="85" workbookViewId="0">
      <selection activeCell="G30" sqref="G30"/>
    </sheetView>
  </sheetViews>
  <sheetFormatPr baseColWidth="10" defaultColWidth="11.42578125" defaultRowHeight="12" x14ac:dyDescent="0.2"/>
  <cols>
    <col min="1" max="1" width="41.28515625" style="7" customWidth="1"/>
    <col min="2" max="2" width="8.85546875" style="7" customWidth="1"/>
    <col min="3" max="3" width="7" style="7" customWidth="1"/>
    <col min="4" max="4" width="12.5703125" style="7" customWidth="1"/>
    <col min="5" max="10" width="7" style="7" customWidth="1"/>
    <col min="11" max="11" width="12.28515625" style="7" customWidth="1"/>
    <col min="12" max="12" width="15.5703125" style="7" customWidth="1"/>
    <col min="13" max="13" width="10" style="7" customWidth="1"/>
    <col min="14" max="14" width="7" style="7" customWidth="1"/>
    <col min="15" max="15" width="12" style="7" customWidth="1"/>
    <col min="16" max="19" width="7" style="7" customWidth="1"/>
    <col min="20" max="20" width="9.7109375" style="7" customWidth="1"/>
    <col min="21" max="21" width="13.85546875" style="7" customWidth="1"/>
    <col min="22" max="22" width="12.5703125" style="7" customWidth="1"/>
    <col min="23" max="23" width="15" style="7" customWidth="1"/>
    <col min="24" max="16384" width="11.42578125" style="3"/>
  </cols>
  <sheetData>
    <row r="1" spans="1:23" ht="18" x14ac:dyDescent="0.2">
      <c r="A1" s="1474" t="s">
        <v>361</v>
      </c>
      <c r="B1" s="1474"/>
      <c r="C1" s="1474"/>
      <c r="D1" s="1474"/>
      <c r="E1" s="1474"/>
      <c r="F1" s="1474"/>
      <c r="G1" s="1474"/>
      <c r="H1" s="1474"/>
      <c r="I1" s="1474"/>
      <c r="J1" s="1474"/>
      <c r="K1" s="1474"/>
      <c r="L1" s="1474"/>
      <c r="M1" s="1474"/>
      <c r="N1" s="1474"/>
      <c r="O1" s="1474"/>
      <c r="P1" s="1474"/>
      <c r="Q1" s="1474"/>
      <c r="R1" s="1474"/>
      <c r="S1" s="1474"/>
      <c r="T1" s="1474"/>
      <c r="U1" s="1474"/>
      <c r="V1" s="1474"/>
      <c r="W1" s="1474"/>
    </row>
    <row r="2" spans="1:23" x14ac:dyDescent="0.2">
      <c r="A2" s="1461" t="s">
        <v>43</v>
      </c>
      <c r="B2" s="1461"/>
      <c r="C2" s="1461"/>
      <c r="D2" s="1461"/>
      <c r="E2" s="2"/>
      <c r="F2" s="2"/>
      <c r="G2" s="2"/>
      <c r="H2" s="2"/>
      <c r="I2" s="2"/>
      <c r="J2" s="2"/>
      <c r="K2" s="2"/>
      <c r="L2" s="2"/>
      <c r="M2" s="2"/>
      <c r="N2" s="2"/>
      <c r="O2" s="2"/>
      <c r="P2" s="2"/>
      <c r="Q2" s="2"/>
      <c r="R2" s="2"/>
      <c r="S2" s="2"/>
      <c r="T2" s="2"/>
      <c r="U2" s="2"/>
      <c r="V2" s="2"/>
      <c r="W2" s="2"/>
    </row>
    <row r="3" spans="1:23" ht="12.75" thickBot="1" x14ac:dyDescent="0.25">
      <c r="L3" s="91"/>
      <c r="W3" s="91"/>
    </row>
    <row r="4" spans="1:23" ht="26.25" customHeight="1" x14ac:dyDescent="0.2">
      <c r="A4" s="646" t="s">
        <v>362</v>
      </c>
      <c r="B4" s="1470" t="s">
        <v>363</v>
      </c>
      <c r="C4" s="1471"/>
      <c r="D4" s="1471"/>
      <c r="E4" s="1471"/>
      <c r="F4" s="1471"/>
      <c r="G4" s="1471"/>
      <c r="H4" s="1471"/>
      <c r="I4" s="1471"/>
      <c r="J4" s="1471"/>
      <c r="K4" s="1471"/>
      <c r="L4" s="1472"/>
      <c r="M4" s="1470" t="s">
        <v>364</v>
      </c>
      <c r="N4" s="1471"/>
      <c r="O4" s="1471"/>
      <c r="P4" s="1471"/>
      <c r="Q4" s="1471"/>
      <c r="R4" s="1471"/>
      <c r="S4" s="1471"/>
      <c r="T4" s="1471"/>
      <c r="U4" s="1471"/>
      <c r="V4" s="1471"/>
      <c r="W4" s="1472"/>
    </row>
    <row r="5" spans="1:23" s="17" customFormat="1" ht="99.95" customHeight="1" x14ac:dyDescent="0.2">
      <c r="A5" s="647" t="s">
        <v>365</v>
      </c>
      <c r="B5" s="648" t="s">
        <v>366</v>
      </c>
      <c r="C5" s="648" t="s">
        <v>367</v>
      </c>
      <c r="D5" s="649" t="s">
        <v>368</v>
      </c>
      <c r="E5" s="649" t="s">
        <v>369</v>
      </c>
      <c r="F5" s="649" t="s">
        <v>370</v>
      </c>
      <c r="G5" s="649" t="s">
        <v>371</v>
      </c>
      <c r="H5" s="649" t="s">
        <v>372</v>
      </c>
      <c r="I5" s="649" t="s">
        <v>373</v>
      </c>
      <c r="J5" s="650" t="s">
        <v>374</v>
      </c>
      <c r="K5" s="651" t="s">
        <v>375</v>
      </c>
      <c r="L5" s="652" t="s">
        <v>376</v>
      </c>
      <c r="M5" s="648" t="s">
        <v>366</v>
      </c>
      <c r="N5" s="648" t="s">
        <v>367</v>
      </c>
      <c r="O5" s="649" t="s">
        <v>368</v>
      </c>
      <c r="P5" s="649" t="s">
        <v>369</v>
      </c>
      <c r="Q5" s="649" t="s">
        <v>370</v>
      </c>
      <c r="R5" s="649" t="s">
        <v>371</v>
      </c>
      <c r="S5" s="649" t="s">
        <v>372</v>
      </c>
      <c r="T5" s="649" t="s">
        <v>373</v>
      </c>
      <c r="U5" s="650" t="s">
        <v>374</v>
      </c>
      <c r="V5" s="651" t="s">
        <v>375</v>
      </c>
      <c r="W5" s="652" t="s">
        <v>377</v>
      </c>
    </row>
    <row r="6" spans="1:23" x14ac:dyDescent="0.2">
      <c r="A6" s="8"/>
      <c r="L6" s="11"/>
      <c r="W6" s="11"/>
    </row>
    <row r="7" spans="1:23" x14ac:dyDescent="0.2">
      <c r="A7" s="9" t="s">
        <v>378</v>
      </c>
      <c r="B7" s="161"/>
      <c r="C7" s="161"/>
      <c r="D7" s="161"/>
      <c r="E7" s="161"/>
      <c r="F7" s="161"/>
      <c r="G7" s="161"/>
      <c r="H7" s="161"/>
      <c r="I7" s="161"/>
      <c r="J7" s="161"/>
      <c r="K7" s="161"/>
      <c r="L7" s="10"/>
      <c r="M7" s="161"/>
      <c r="N7" s="161"/>
      <c r="O7" s="161"/>
      <c r="P7" s="161"/>
      <c r="Q7" s="161"/>
      <c r="R7" s="161"/>
      <c r="S7" s="161"/>
      <c r="T7" s="161"/>
      <c r="U7" s="161"/>
      <c r="V7" s="161"/>
      <c r="W7" s="10"/>
    </row>
    <row r="8" spans="1:23" x14ac:dyDescent="0.2">
      <c r="A8" s="8" t="s">
        <v>379</v>
      </c>
      <c r="B8" s="7">
        <v>1</v>
      </c>
      <c r="K8" s="7">
        <f>SUM(B8:J8)</f>
        <v>1</v>
      </c>
      <c r="L8" s="162">
        <f>+'[1]F-11'!AI11</f>
        <v>172600</v>
      </c>
      <c r="M8" s="7">
        <v>1</v>
      </c>
      <c r="U8" s="163"/>
      <c r="V8" s="7">
        <f t="shared" ref="V8:V13" si="0">SUM(M8:U8)</f>
        <v>1</v>
      </c>
      <c r="W8" s="162">
        <f>L8</f>
        <v>172600</v>
      </c>
    </row>
    <row r="9" spans="1:23" x14ac:dyDescent="0.2">
      <c r="A9" s="8" t="s">
        <v>380</v>
      </c>
      <c r="B9" s="7">
        <v>2</v>
      </c>
      <c r="K9" s="7">
        <f t="shared" ref="K9:K13" si="1">SUM(B9:J9)</f>
        <v>2</v>
      </c>
      <c r="L9" s="162">
        <f>+'[1]F-11'!AI12</f>
        <v>313018.64</v>
      </c>
      <c r="M9" s="7">
        <v>2</v>
      </c>
      <c r="U9" s="163"/>
      <c r="V9" s="7">
        <f t="shared" si="0"/>
        <v>2</v>
      </c>
      <c r="W9" s="162">
        <f t="shared" ref="W9:W13" si="2">L9</f>
        <v>313018.64</v>
      </c>
    </row>
    <row r="10" spans="1:23" x14ac:dyDescent="0.2">
      <c r="A10" s="8" t="s">
        <v>381</v>
      </c>
      <c r="B10" s="7">
        <v>12</v>
      </c>
      <c r="K10" s="7">
        <f t="shared" si="1"/>
        <v>12</v>
      </c>
      <c r="L10" s="162">
        <f>+'[1]F-11'!AI13</f>
        <v>1006937.7600000001</v>
      </c>
      <c r="M10" s="7">
        <v>12</v>
      </c>
      <c r="U10" s="163"/>
      <c r="V10" s="7">
        <f t="shared" si="0"/>
        <v>12</v>
      </c>
      <c r="W10" s="162">
        <f t="shared" si="2"/>
        <v>1006937.7600000001</v>
      </c>
    </row>
    <row r="11" spans="1:23" x14ac:dyDescent="0.2">
      <c r="A11" s="8" t="s">
        <v>382</v>
      </c>
      <c r="B11" s="7">
        <f>15+1</f>
        <v>16</v>
      </c>
      <c r="K11" s="7">
        <f t="shared" si="1"/>
        <v>16</v>
      </c>
      <c r="L11" s="164">
        <f>+'[1]F-11'!AI14</f>
        <v>1120054.2</v>
      </c>
      <c r="M11" s="7">
        <f>15+1</f>
        <v>16</v>
      </c>
      <c r="U11" s="163"/>
      <c r="V11" s="7">
        <f t="shared" si="0"/>
        <v>16</v>
      </c>
      <c r="W11" s="162">
        <f t="shared" si="2"/>
        <v>1120054.2</v>
      </c>
    </row>
    <row r="12" spans="1:23" x14ac:dyDescent="0.2">
      <c r="A12" s="8" t="s">
        <v>383</v>
      </c>
      <c r="B12" s="7">
        <v>28</v>
      </c>
      <c r="K12" s="7">
        <f t="shared" si="1"/>
        <v>28</v>
      </c>
      <c r="L12" s="162">
        <f>+'[1]F-11'!AI15</f>
        <v>1977465.2799999998</v>
      </c>
      <c r="M12" s="7">
        <v>28</v>
      </c>
      <c r="U12" s="163"/>
      <c r="V12" s="7">
        <f t="shared" si="0"/>
        <v>28</v>
      </c>
      <c r="W12" s="162">
        <f t="shared" si="2"/>
        <v>1977465.2799999998</v>
      </c>
    </row>
    <row r="13" spans="1:23" x14ac:dyDescent="0.2">
      <c r="A13" s="8" t="s">
        <v>384</v>
      </c>
      <c r="B13" s="7">
        <v>1</v>
      </c>
      <c r="K13" s="7">
        <f t="shared" si="1"/>
        <v>1</v>
      </c>
      <c r="L13" s="162">
        <f>+'[1]F-11'!AI16</f>
        <v>56351.680000000008</v>
      </c>
      <c r="M13" s="7">
        <v>1</v>
      </c>
      <c r="U13" s="163"/>
      <c r="V13" s="7">
        <f t="shared" si="0"/>
        <v>1</v>
      </c>
      <c r="W13" s="162">
        <f t="shared" si="2"/>
        <v>56351.680000000008</v>
      </c>
    </row>
    <row r="14" spans="1:23" x14ac:dyDescent="0.2">
      <c r="A14" s="302"/>
      <c r="L14" s="162"/>
      <c r="W14" s="11"/>
    </row>
    <row r="15" spans="1:23" x14ac:dyDescent="0.2">
      <c r="A15" s="9" t="s">
        <v>385</v>
      </c>
      <c r="B15" s="161"/>
      <c r="C15" s="161"/>
      <c r="D15" s="161"/>
      <c r="E15" s="161"/>
      <c r="F15" s="161"/>
      <c r="G15" s="161"/>
      <c r="H15" s="161"/>
      <c r="I15" s="161"/>
      <c r="J15" s="161"/>
      <c r="K15" s="161"/>
      <c r="L15" s="165"/>
      <c r="M15" s="161"/>
      <c r="N15" s="161"/>
      <c r="O15" s="161"/>
      <c r="P15" s="161"/>
      <c r="Q15" s="161"/>
      <c r="R15" s="161"/>
      <c r="S15" s="161"/>
      <c r="T15" s="161"/>
      <c r="U15" s="161"/>
      <c r="V15" s="161"/>
      <c r="W15" s="10"/>
    </row>
    <row r="16" spans="1:23" x14ac:dyDescent="0.2">
      <c r="A16" s="8" t="s">
        <v>386</v>
      </c>
      <c r="B16" s="7">
        <v>17</v>
      </c>
      <c r="K16" s="7">
        <f t="shared" ref="K16:K18" si="3">SUM(B16:J16)</f>
        <v>17</v>
      </c>
      <c r="L16" s="162">
        <f>'[1]F-11'!AI17</f>
        <v>708700.76</v>
      </c>
      <c r="M16" s="7">
        <v>17</v>
      </c>
      <c r="U16" s="163"/>
      <c r="V16" s="7">
        <f>SUM(M16:U16)</f>
        <v>17</v>
      </c>
      <c r="W16" s="162">
        <f>L16</f>
        <v>708700.76</v>
      </c>
    </row>
    <row r="17" spans="1:23" x14ac:dyDescent="0.2">
      <c r="A17" s="8" t="s">
        <v>387</v>
      </c>
      <c r="B17" s="7">
        <f>25+4</f>
        <v>29</v>
      </c>
      <c r="C17" s="7">
        <v>25</v>
      </c>
      <c r="K17" s="7">
        <f t="shared" si="3"/>
        <v>54</v>
      </c>
      <c r="L17" s="164">
        <f>'[1]F-11'!AI18</f>
        <v>1043248.0000000001</v>
      </c>
      <c r="M17" s="7">
        <f>25+4</f>
        <v>29</v>
      </c>
      <c r="U17" s="163"/>
      <c r="V17" s="7">
        <f>SUM(M17:U17)</f>
        <v>29</v>
      </c>
      <c r="W17" s="162">
        <f t="shared" ref="W17:W18" si="4">L17</f>
        <v>1043248.0000000001</v>
      </c>
    </row>
    <row r="18" spans="1:23" x14ac:dyDescent="0.2">
      <c r="A18" s="8" t="s">
        <v>388</v>
      </c>
      <c r="B18" s="7">
        <v>2</v>
      </c>
      <c r="K18" s="7">
        <f t="shared" si="3"/>
        <v>2</v>
      </c>
      <c r="L18" s="162">
        <f>'[1]F-11'!AI19</f>
        <v>85821.200000000012</v>
      </c>
      <c r="M18" s="7">
        <v>2</v>
      </c>
      <c r="U18" s="163"/>
      <c r="V18" s="7">
        <f>SUM(M18:U18)</f>
        <v>2</v>
      </c>
      <c r="W18" s="162">
        <f t="shared" si="4"/>
        <v>85821.200000000012</v>
      </c>
    </row>
    <row r="19" spans="1:23" x14ac:dyDescent="0.2">
      <c r="A19" s="8"/>
      <c r="L19" s="162"/>
      <c r="W19" s="11"/>
    </row>
    <row r="20" spans="1:23" x14ac:dyDescent="0.2">
      <c r="A20" s="9" t="s">
        <v>389</v>
      </c>
      <c r="B20" s="161"/>
      <c r="C20" s="161"/>
      <c r="D20" s="161"/>
      <c r="E20" s="161"/>
      <c r="F20" s="161"/>
      <c r="G20" s="161"/>
      <c r="H20" s="161"/>
      <c r="I20" s="161"/>
      <c r="J20" s="161"/>
      <c r="K20" s="161"/>
      <c r="L20" s="165"/>
      <c r="M20" s="161"/>
      <c r="N20" s="161"/>
      <c r="O20" s="161"/>
      <c r="P20" s="161"/>
      <c r="Q20" s="161"/>
      <c r="R20" s="161"/>
      <c r="S20" s="161"/>
      <c r="T20" s="161"/>
      <c r="U20" s="161"/>
      <c r="V20" s="161"/>
      <c r="W20" s="10"/>
    </row>
    <row r="21" spans="1:23" x14ac:dyDescent="0.2">
      <c r="A21" s="8" t="s">
        <v>390</v>
      </c>
      <c r="B21" s="7">
        <f>68+1</f>
        <v>69</v>
      </c>
      <c r="C21" s="7">
        <v>68</v>
      </c>
      <c r="K21" s="7">
        <f t="shared" ref="K21:K23" si="5">SUM(B21:J21)</f>
        <v>137</v>
      </c>
      <c r="L21" s="164">
        <f>'[1]F-11'!AI20</f>
        <v>2208759.6800000002</v>
      </c>
      <c r="M21" s="7">
        <f>68+1</f>
        <v>69</v>
      </c>
      <c r="U21" s="163"/>
      <c r="V21" s="7">
        <f>SUM(M21:U21)</f>
        <v>69</v>
      </c>
      <c r="W21" s="162">
        <f>L21</f>
        <v>2208759.6800000002</v>
      </c>
    </row>
    <row r="22" spans="1:23" x14ac:dyDescent="0.2">
      <c r="A22" s="8" t="s">
        <v>391</v>
      </c>
      <c r="B22" s="7">
        <f>17+1</f>
        <v>18</v>
      </c>
      <c r="C22" s="7">
        <v>17</v>
      </c>
      <c r="K22" s="7">
        <f t="shared" si="5"/>
        <v>35</v>
      </c>
      <c r="L22" s="164">
        <f>'[1]F-11'!AI21</f>
        <v>549301.28</v>
      </c>
      <c r="M22" s="7">
        <f>17+1</f>
        <v>18</v>
      </c>
      <c r="U22" s="163"/>
      <c r="V22" s="7">
        <f>SUM(M22:U22)</f>
        <v>18</v>
      </c>
      <c r="W22" s="162">
        <f t="shared" ref="W22:W23" si="6">L22</f>
        <v>549301.28</v>
      </c>
    </row>
    <row r="23" spans="1:23" x14ac:dyDescent="0.2">
      <c r="A23" s="8" t="s">
        <v>392</v>
      </c>
      <c r="B23" s="7">
        <f>4+1</f>
        <v>5</v>
      </c>
      <c r="C23" s="7">
        <v>4</v>
      </c>
      <c r="K23" s="7">
        <f t="shared" si="5"/>
        <v>9</v>
      </c>
      <c r="L23" s="164">
        <f>'[1]F-11'!AI22</f>
        <v>128507.68</v>
      </c>
      <c r="M23" s="7">
        <f>4+1</f>
        <v>5</v>
      </c>
      <c r="U23" s="163"/>
      <c r="V23" s="7">
        <f>SUM(M23:U23)</f>
        <v>5</v>
      </c>
      <c r="W23" s="162">
        <f t="shared" si="6"/>
        <v>128507.68</v>
      </c>
    </row>
    <row r="24" spans="1:23" x14ac:dyDescent="0.2">
      <c r="A24" s="8"/>
      <c r="L24" s="162"/>
      <c r="W24" s="11"/>
    </row>
    <row r="25" spans="1:23" x14ac:dyDescent="0.2">
      <c r="A25" s="9" t="s">
        <v>393</v>
      </c>
      <c r="B25" s="161"/>
      <c r="C25" s="161"/>
      <c r="D25" s="161"/>
      <c r="E25" s="161"/>
      <c r="F25" s="161"/>
      <c r="G25" s="161"/>
      <c r="H25" s="161"/>
      <c r="I25" s="161"/>
      <c r="J25" s="161"/>
      <c r="K25" s="161"/>
      <c r="L25" s="165"/>
      <c r="M25" s="161"/>
      <c r="N25" s="161"/>
      <c r="O25" s="161"/>
      <c r="P25" s="161"/>
      <c r="Q25" s="161"/>
      <c r="R25" s="161"/>
      <c r="S25" s="161"/>
      <c r="T25" s="161"/>
      <c r="U25" s="161"/>
      <c r="V25" s="161"/>
      <c r="W25" s="10"/>
    </row>
    <row r="26" spans="1:23" x14ac:dyDescent="0.2">
      <c r="A26" s="8" t="s">
        <v>394</v>
      </c>
      <c r="B26" s="7">
        <v>4</v>
      </c>
      <c r="K26" s="7">
        <f t="shared" ref="K26" si="7">SUM(B26:J26)</f>
        <v>4</v>
      </c>
      <c r="L26" s="162">
        <f>'[1]F-11'!AI23</f>
        <v>111431.68000000002</v>
      </c>
      <c r="M26" s="7">
        <v>4</v>
      </c>
      <c r="U26" s="163"/>
      <c r="V26" s="7">
        <f>SUM(M26:U26)</f>
        <v>4</v>
      </c>
      <c r="W26" s="162">
        <f>L26</f>
        <v>111431.68000000002</v>
      </c>
    </row>
    <row r="27" spans="1:23" x14ac:dyDescent="0.2">
      <c r="A27" s="8"/>
      <c r="L27" s="162"/>
      <c r="W27" s="11"/>
    </row>
    <row r="28" spans="1:23" x14ac:dyDescent="0.2">
      <c r="A28" s="9" t="s">
        <v>395</v>
      </c>
      <c r="B28" s="161"/>
      <c r="C28" s="161"/>
      <c r="D28" s="161"/>
      <c r="E28" s="161"/>
      <c r="F28" s="161"/>
      <c r="G28" s="161"/>
      <c r="H28" s="161"/>
      <c r="I28" s="161"/>
      <c r="J28" s="161"/>
      <c r="K28" s="161"/>
      <c r="L28" s="165"/>
      <c r="M28" s="161"/>
      <c r="N28" s="161"/>
      <c r="O28" s="161"/>
      <c r="P28" s="161"/>
      <c r="Q28" s="161"/>
      <c r="R28" s="161"/>
      <c r="S28" s="161"/>
      <c r="T28" s="161"/>
      <c r="U28" s="161"/>
      <c r="V28" s="161"/>
      <c r="W28" s="10"/>
    </row>
    <row r="29" spans="1:23" x14ac:dyDescent="0.2">
      <c r="A29" s="8" t="s">
        <v>396</v>
      </c>
      <c r="B29" s="7">
        <v>10</v>
      </c>
      <c r="K29" s="7">
        <f t="shared" ref="K29" si="8">SUM(B29:J29)</f>
        <v>10</v>
      </c>
      <c r="L29" s="162">
        <v>514800</v>
      </c>
      <c r="M29" s="7">
        <v>10</v>
      </c>
      <c r="V29" s="7">
        <f>SUM(M29:U29)</f>
        <v>10</v>
      </c>
      <c r="W29" s="162">
        <f>L29</f>
        <v>514800</v>
      </c>
    </row>
    <row r="30" spans="1:23" x14ac:dyDescent="0.2">
      <c r="A30" s="8"/>
      <c r="L30" s="162"/>
      <c r="W30" s="11"/>
    </row>
    <row r="31" spans="1:23" x14ac:dyDescent="0.2">
      <c r="A31" s="9" t="s">
        <v>397</v>
      </c>
      <c r="B31" s="161"/>
      <c r="C31" s="161"/>
      <c r="D31" s="161"/>
      <c r="E31" s="161"/>
      <c r="F31" s="161"/>
      <c r="G31" s="161"/>
      <c r="H31" s="161"/>
      <c r="I31" s="161"/>
      <c r="J31" s="161"/>
      <c r="K31" s="161"/>
      <c r="L31" s="165"/>
      <c r="M31" s="161"/>
      <c r="N31" s="161"/>
      <c r="O31" s="161"/>
      <c r="P31" s="161"/>
      <c r="Q31" s="161"/>
      <c r="R31" s="161"/>
      <c r="S31" s="161"/>
      <c r="T31" s="161"/>
      <c r="U31" s="161"/>
      <c r="V31" s="161"/>
      <c r="W31" s="10"/>
    </row>
    <row r="32" spans="1:23" x14ac:dyDescent="0.2">
      <c r="A32" s="8" t="s">
        <v>398</v>
      </c>
      <c r="D32" s="7">
        <v>225</v>
      </c>
      <c r="K32" s="7">
        <f>SUM(B32:J32)</f>
        <v>225</v>
      </c>
      <c r="L32" s="162">
        <v>8905800</v>
      </c>
      <c r="O32" s="7">
        <v>225</v>
      </c>
      <c r="V32" s="7">
        <f>SUM(M32:U32)</f>
        <v>225</v>
      </c>
      <c r="W32" s="162">
        <f>L32</f>
        <v>8905800</v>
      </c>
    </row>
    <row r="33" spans="1:23" x14ac:dyDescent="0.2">
      <c r="A33" s="8"/>
      <c r="L33" s="162"/>
      <c r="W33" s="11"/>
    </row>
    <row r="34" spans="1:23" x14ac:dyDescent="0.2">
      <c r="A34" s="8" t="s">
        <v>399</v>
      </c>
      <c r="I34" s="7">
        <v>2</v>
      </c>
      <c r="L34" s="162">
        <v>22320</v>
      </c>
      <c r="T34" s="7">
        <v>2</v>
      </c>
      <c r="W34" s="162">
        <f>L34</f>
        <v>22320</v>
      </c>
    </row>
    <row r="35" spans="1:23" ht="12.75" thickBot="1" x14ac:dyDescent="0.25">
      <c r="A35" s="8"/>
      <c r="L35" s="162"/>
      <c r="W35" s="11"/>
    </row>
    <row r="36" spans="1:23" ht="12.75" thickBot="1" x14ac:dyDescent="0.25">
      <c r="A36" s="263" t="s">
        <v>400</v>
      </c>
      <c r="B36" s="270">
        <f>SUM(B8:B35)</f>
        <v>214</v>
      </c>
      <c r="C36" s="270"/>
      <c r="D36" s="270">
        <f>SUM(D8:D35)</f>
        <v>225</v>
      </c>
      <c r="E36" s="270"/>
      <c r="F36" s="270"/>
      <c r="G36" s="270"/>
      <c r="H36" s="270"/>
      <c r="I36" s="270">
        <v>2</v>
      </c>
      <c r="J36" s="270"/>
      <c r="K36" s="270">
        <f>SUM(K8:K35)</f>
        <v>553</v>
      </c>
      <c r="L36" s="287">
        <f>SUM(L8:L35)</f>
        <v>18925117.839999996</v>
      </c>
      <c r="M36" s="270">
        <f>SUM(M8:M35)</f>
        <v>214</v>
      </c>
      <c r="N36" s="270"/>
      <c r="O36" s="270">
        <f>SUM(O8:O35)</f>
        <v>225</v>
      </c>
      <c r="P36" s="270"/>
      <c r="Q36" s="270"/>
      <c r="R36" s="270"/>
      <c r="S36" s="270"/>
      <c r="T36" s="270">
        <v>2</v>
      </c>
      <c r="U36" s="287">
        <f>SUM(U8:U35)</f>
        <v>0</v>
      </c>
      <c r="V36" s="270">
        <f t="shared" ref="V36:W36" si="9">SUM(V8:V35)</f>
        <v>439</v>
      </c>
      <c r="W36" s="265">
        <f t="shared" si="9"/>
        <v>18925117.839999996</v>
      </c>
    </row>
    <row r="37" spans="1:23" x14ac:dyDescent="0.2">
      <c r="A37" s="91"/>
      <c r="B37" s="2"/>
      <c r="C37" s="2"/>
      <c r="D37" s="2"/>
      <c r="E37" s="2"/>
      <c r="F37" s="2"/>
      <c r="G37" s="2"/>
      <c r="H37" s="2"/>
      <c r="I37" s="2"/>
      <c r="J37" s="2"/>
      <c r="K37" s="2"/>
      <c r="L37" s="2"/>
      <c r="M37" s="2"/>
      <c r="N37" s="2"/>
      <c r="O37" s="2"/>
      <c r="P37" s="2"/>
      <c r="Q37" s="2"/>
      <c r="R37" s="2"/>
      <c r="S37" s="2"/>
      <c r="T37" s="2"/>
      <c r="U37" s="2"/>
      <c r="V37" s="2"/>
      <c r="W37" s="2"/>
    </row>
    <row r="38" spans="1:23" ht="18.75" customHeight="1" thickBot="1" x14ac:dyDescent="0.25">
      <c r="A38" s="1473" t="s">
        <v>401</v>
      </c>
      <c r="B38" s="1473"/>
      <c r="C38" s="1473"/>
      <c r="D38" s="257"/>
      <c r="E38" s="257"/>
      <c r="F38" s="257"/>
      <c r="G38" s="257"/>
      <c r="H38" s="257"/>
      <c r="I38" s="257"/>
      <c r="J38" s="257"/>
      <c r="K38" s="257"/>
      <c r="L38" s="257"/>
      <c r="M38" s="257"/>
      <c r="N38" s="257"/>
      <c r="O38" s="257"/>
      <c r="P38" s="257"/>
      <c r="Q38" s="257"/>
      <c r="R38" s="257"/>
      <c r="S38" s="257"/>
      <c r="T38" s="257"/>
      <c r="U38" s="257"/>
      <c r="V38" s="257"/>
      <c r="W38" s="257"/>
    </row>
    <row r="39" spans="1:23" ht="18.75" customHeight="1" x14ac:dyDescent="0.2">
      <c r="A39" s="646" t="s">
        <v>362</v>
      </c>
      <c r="B39" s="1470" t="s">
        <v>363</v>
      </c>
      <c r="C39" s="1471"/>
      <c r="D39" s="1471"/>
      <c r="E39" s="1471"/>
      <c r="F39" s="1471"/>
      <c r="G39" s="1471"/>
      <c r="H39" s="1471"/>
      <c r="I39" s="1471"/>
      <c r="J39" s="1471"/>
      <c r="K39" s="1471"/>
      <c r="L39" s="1472"/>
      <c r="M39" s="1470" t="s">
        <v>364</v>
      </c>
      <c r="N39" s="1471"/>
      <c r="O39" s="1471"/>
      <c r="P39" s="1471"/>
      <c r="Q39" s="1471"/>
      <c r="R39" s="1471"/>
      <c r="S39" s="1471"/>
      <c r="T39" s="1471"/>
      <c r="U39" s="1471"/>
      <c r="V39" s="1471"/>
      <c r="W39" s="1472"/>
    </row>
    <row r="40" spans="1:23" ht="111" x14ac:dyDescent="0.2">
      <c r="A40" s="647" t="s">
        <v>365</v>
      </c>
      <c r="B40" s="648" t="s">
        <v>366</v>
      </c>
      <c r="C40" s="648" t="s">
        <v>367</v>
      </c>
      <c r="D40" s="649" t="s">
        <v>368</v>
      </c>
      <c r="E40" s="649" t="s">
        <v>369</v>
      </c>
      <c r="F40" s="649" t="s">
        <v>370</v>
      </c>
      <c r="G40" s="649" t="s">
        <v>371</v>
      </c>
      <c r="H40" s="649" t="s">
        <v>372</v>
      </c>
      <c r="I40" s="649" t="s">
        <v>373</v>
      </c>
      <c r="J40" s="650" t="s">
        <v>374</v>
      </c>
      <c r="K40" s="651" t="s">
        <v>375</v>
      </c>
      <c r="L40" s="652" t="s">
        <v>376</v>
      </c>
      <c r="M40" s="648" t="s">
        <v>366</v>
      </c>
      <c r="N40" s="648" t="s">
        <v>367</v>
      </c>
      <c r="O40" s="649" t="s">
        <v>368</v>
      </c>
      <c r="P40" s="649" t="s">
        <v>369</v>
      </c>
      <c r="Q40" s="649" t="s">
        <v>370</v>
      </c>
      <c r="R40" s="649" t="s">
        <v>371</v>
      </c>
      <c r="S40" s="649" t="s">
        <v>372</v>
      </c>
      <c r="T40" s="649" t="s">
        <v>373</v>
      </c>
      <c r="U40" s="650" t="s">
        <v>374</v>
      </c>
      <c r="V40" s="651" t="s">
        <v>375</v>
      </c>
      <c r="W40" s="652" t="s">
        <v>377</v>
      </c>
    </row>
    <row r="41" spans="1:23" x14ac:dyDescent="0.2">
      <c r="A41" s="8"/>
      <c r="L41" s="11"/>
      <c r="W41" s="11"/>
    </row>
    <row r="42" spans="1:23" x14ac:dyDescent="0.2">
      <c r="A42" s="9" t="s">
        <v>378</v>
      </c>
      <c r="B42" s="161"/>
      <c r="C42" s="161"/>
      <c r="D42" s="161"/>
      <c r="E42" s="161"/>
      <c r="F42" s="161"/>
      <c r="G42" s="161"/>
      <c r="H42" s="161"/>
      <c r="I42" s="161"/>
      <c r="J42" s="161"/>
      <c r="K42" s="161"/>
      <c r="L42" s="10"/>
      <c r="M42" s="161"/>
      <c r="N42" s="161"/>
      <c r="O42" s="161"/>
      <c r="P42" s="161"/>
      <c r="Q42" s="161"/>
      <c r="R42" s="161"/>
      <c r="S42" s="161"/>
      <c r="T42" s="161"/>
      <c r="U42" s="161"/>
      <c r="V42" s="166"/>
      <c r="W42" s="10"/>
    </row>
    <row r="43" spans="1:23" x14ac:dyDescent="0.2">
      <c r="A43" s="8" t="s">
        <v>402</v>
      </c>
      <c r="L43" s="11"/>
      <c r="W43" s="11"/>
    </row>
    <row r="44" spans="1:23" x14ac:dyDescent="0.2">
      <c r="A44" s="8" t="s">
        <v>403</v>
      </c>
      <c r="L44" s="11"/>
      <c r="W44" s="11"/>
    </row>
    <row r="45" spans="1:23" x14ac:dyDescent="0.2">
      <c r="A45" s="8" t="s">
        <v>403</v>
      </c>
      <c r="L45" s="11"/>
      <c r="W45" s="11"/>
    </row>
    <row r="46" spans="1:23" x14ac:dyDescent="0.2">
      <c r="A46" s="8" t="s">
        <v>404</v>
      </c>
      <c r="B46" s="7">
        <v>1</v>
      </c>
      <c r="K46" s="7">
        <v>1</v>
      </c>
      <c r="L46" s="162">
        <v>41581.72</v>
      </c>
      <c r="M46" s="7">
        <v>1</v>
      </c>
      <c r="V46" s="163">
        <f>L46</f>
        <v>41581.72</v>
      </c>
      <c r="W46" s="162">
        <v>41581.72</v>
      </c>
    </row>
    <row r="47" spans="1:23" x14ac:dyDescent="0.2">
      <c r="A47" s="8" t="s">
        <v>405</v>
      </c>
      <c r="B47" s="7">
        <v>3</v>
      </c>
      <c r="K47" s="7">
        <v>3</v>
      </c>
      <c r="L47" s="162">
        <v>107035</v>
      </c>
      <c r="M47" s="7">
        <v>3</v>
      </c>
      <c r="V47" s="163">
        <f>L47</f>
        <v>107035</v>
      </c>
      <c r="W47" s="162">
        <v>107035</v>
      </c>
    </row>
    <row r="48" spans="1:23" x14ac:dyDescent="0.2">
      <c r="A48" s="8" t="s">
        <v>406</v>
      </c>
      <c r="L48" s="162"/>
      <c r="V48" s="163"/>
      <c r="W48" s="162"/>
    </row>
    <row r="49" spans="1:23" x14ac:dyDescent="0.2">
      <c r="A49" s="302"/>
      <c r="L49" s="162"/>
      <c r="V49" s="163"/>
      <c r="W49" s="162"/>
    </row>
    <row r="50" spans="1:23" x14ac:dyDescent="0.2">
      <c r="A50" s="9" t="s">
        <v>385</v>
      </c>
      <c r="B50" s="161"/>
      <c r="C50" s="161"/>
      <c r="D50" s="161"/>
      <c r="E50" s="161"/>
      <c r="F50" s="161"/>
      <c r="G50" s="161"/>
      <c r="H50" s="161"/>
      <c r="I50" s="161"/>
      <c r="J50" s="161"/>
      <c r="K50" s="161"/>
      <c r="L50" s="165"/>
      <c r="M50" s="161"/>
      <c r="N50" s="167"/>
      <c r="O50" s="167"/>
      <c r="P50" s="167"/>
      <c r="Q50" s="167"/>
      <c r="R50" s="167"/>
      <c r="S50" s="167"/>
      <c r="T50" s="167"/>
      <c r="U50" s="167"/>
      <c r="V50" s="168"/>
      <c r="W50" s="169"/>
    </row>
    <row r="51" spans="1:23" x14ac:dyDescent="0.2">
      <c r="A51" s="8" t="s">
        <v>386</v>
      </c>
      <c r="B51" s="7">
        <v>1</v>
      </c>
      <c r="D51" s="7">
        <v>1</v>
      </c>
      <c r="K51" s="7">
        <v>2</v>
      </c>
      <c r="L51" s="162">
        <v>54951</v>
      </c>
      <c r="M51" s="7">
        <v>1</v>
      </c>
      <c r="O51" s="7">
        <v>1</v>
      </c>
      <c r="V51" s="163">
        <f>L51</f>
        <v>54951</v>
      </c>
      <c r="W51" s="162">
        <f t="shared" ref="W51" si="10">L51</f>
        <v>54951</v>
      </c>
    </row>
    <row r="52" spans="1:23" x14ac:dyDescent="0.2">
      <c r="A52" s="8" t="s">
        <v>407</v>
      </c>
      <c r="L52" s="162"/>
      <c r="V52" s="163"/>
      <c r="W52" s="162"/>
    </row>
    <row r="53" spans="1:23" x14ac:dyDescent="0.2">
      <c r="A53" s="8" t="s">
        <v>408</v>
      </c>
      <c r="L53" s="162"/>
      <c r="V53" s="163"/>
      <c r="W53" s="162"/>
    </row>
    <row r="54" spans="1:23" x14ac:dyDescent="0.2">
      <c r="A54" s="8"/>
      <c r="L54" s="162"/>
      <c r="V54" s="163"/>
      <c r="W54" s="162"/>
    </row>
    <row r="55" spans="1:23" x14ac:dyDescent="0.2">
      <c r="A55" s="9" t="s">
        <v>389</v>
      </c>
      <c r="B55" s="161"/>
      <c r="C55" s="161"/>
      <c r="D55" s="161"/>
      <c r="E55" s="161"/>
      <c r="F55" s="161"/>
      <c r="G55" s="161"/>
      <c r="H55" s="161"/>
      <c r="I55" s="161"/>
      <c r="J55" s="161"/>
      <c r="K55" s="161"/>
      <c r="L55" s="165"/>
      <c r="M55" s="167"/>
      <c r="N55" s="167"/>
      <c r="O55" s="167"/>
      <c r="P55" s="167"/>
      <c r="Q55" s="167"/>
      <c r="R55" s="167"/>
      <c r="S55" s="167"/>
      <c r="T55" s="167"/>
      <c r="U55" s="167"/>
      <c r="V55" s="168"/>
      <c r="W55" s="169"/>
    </row>
    <row r="56" spans="1:23" x14ac:dyDescent="0.2">
      <c r="A56" s="8" t="s">
        <v>390</v>
      </c>
      <c r="B56" s="7">
        <v>3</v>
      </c>
      <c r="D56" s="7">
        <v>2</v>
      </c>
      <c r="K56" s="7">
        <v>5</v>
      </c>
      <c r="L56" s="162">
        <f>66532.44+37824</f>
        <v>104356.44</v>
      </c>
      <c r="M56" s="7">
        <v>3</v>
      </c>
      <c r="O56" s="7">
        <v>2</v>
      </c>
      <c r="V56" s="163">
        <f>L56</f>
        <v>104356.44</v>
      </c>
      <c r="W56" s="162">
        <v>104356.44</v>
      </c>
    </row>
    <row r="57" spans="1:23" x14ac:dyDescent="0.2">
      <c r="A57" s="8" t="s">
        <v>403</v>
      </c>
      <c r="L57" s="162"/>
      <c r="V57" s="163"/>
      <c r="W57" s="11"/>
    </row>
    <row r="58" spans="1:23" x14ac:dyDescent="0.2">
      <c r="A58" s="8" t="s">
        <v>409</v>
      </c>
      <c r="L58" s="162"/>
      <c r="V58" s="163"/>
      <c r="W58" s="11"/>
    </row>
    <row r="59" spans="1:23" x14ac:dyDescent="0.2">
      <c r="A59" s="8"/>
      <c r="L59" s="162"/>
      <c r="V59" s="163"/>
      <c r="W59" s="11"/>
    </row>
    <row r="60" spans="1:23" x14ac:dyDescent="0.2">
      <c r="A60" s="9" t="s">
        <v>393</v>
      </c>
      <c r="B60" s="161"/>
      <c r="C60" s="161"/>
      <c r="D60" s="161"/>
      <c r="E60" s="161"/>
      <c r="F60" s="161"/>
      <c r="G60" s="161"/>
      <c r="H60" s="161"/>
      <c r="I60" s="161"/>
      <c r="J60" s="161"/>
      <c r="K60" s="161"/>
      <c r="L60" s="165"/>
      <c r="M60" s="161"/>
      <c r="N60" s="161"/>
      <c r="O60" s="161"/>
      <c r="P60" s="161"/>
      <c r="Q60" s="161"/>
      <c r="R60" s="161"/>
      <c r="S60" s="161"/>
      <c r="T60" s="161"/>
      <c r="U60" s="161"/>
      <c r="V60" s="170"/>
      <c r="W60" s="10"/>
    </row>
    <row r="61" spans="1:23" x14ac:dyDescent="0.2">
      <c r="A61" s="8" t="s">
        <v>394</v>
      </c>
      <c r="L61" s="162"/>
      <c r="V61" s="163"/>
      <c r="W61" s="11"/>
    </row>
    <row r="62" spans="1:23" x14ac:dyDescent="0.2">
      <c r="A62" s="8" t="s">
        <v>403</v>
      </c>
      <c r="L62" s="162"/>
      <c r="V62" s="163"/>
      <c r="W62" s="11"/>
    </row>
    <row r="63" spans="1:23" x14ac:dyDescent="0.2">
      <c r="A63" s="8" t="s">
        <v>410</v>
      </c>
      <c r="L63" s="162"/>
      <c r="V63" s="163"/>
      <c r="W63" s="11"/>
    </row>
    <row r="64" spans="1:23" ht="12.75" thickBot="1" x14ac:dyDescent="0.25">
      <c r="A64" s="8"/>
      <c r="L64" s="162"/>
      <c r="V64" s="163"/>
      <c r="W64" s="11"/>
    </row>
    <row r="65" spans="1:23" ht="12.75" thickBot="1" x14ac:dyDescent="0.25">
      <c r="A65" s="263" t="s">
        <v>400</v>
      </c>
      <c r="B65" s="270">
        <v>8</v>
      </c>
      <c r="C65" s="270"/>
      <c r="D65" s="270">
        <v>3</v>
      </c>
      <c r="E65" s="270"/>
      <c r="F65" s="270"/>
      <c r="G65" s="270"/>
      <c r="H65" s="270"/>
      <c r="I65" s="270"/>
      <c r="J65" s="270"/>
      <c r="K65" s="270">
        <v>11</v>
      </c>
      <c r="L65" s="283">
        <f>SUM(L46:L64)</f>
        <v>307924.16000000003</v>
      </c>
      <c r="M65" s="270">
        <v>8</v>
      </c>
      <c r="N65" s="270"/>
      <c r="O65" s="270">
        <v>3</v>
      </c>
      <c r="P65" s="270"/>
      <c r="Q65" s="270"/>
      <c r="R65" s="270"/>
      <c r="S65" s="270"/>
      <c r="T65" s="270"/>
      <c r="U65" s="270"/>
      <c r="V65" s="287">
        <f>SUM(V46:V64)</f>
        <v>307924.16000000003</v>
      </c>
      <c r="W65" s="287">
        <f>SUM(W46:W64)</f>
        <v>307924.16000000003</v>
      </c>
    </row>
    <row r="66" spans="1:23" x14ac:dyDescent="0.2">
      <c r="A66" s="91"/>
      <c r="B66" s="2"/>
      <c r="C66" s="2"/>
      <c r="D66" s="2"/>
      <c r="E66" s="2"/>
      <c r="F66" s="2"/>
      <c r="G66" s="2"/>
      <c r="H66" s="2"/>
      <c r="I66" s="2"/>
      <c r="J66" s="2"/>
      <c r="K66" s="2"/>
      <c r="L66" s="2"/>
      <c r="M66" s="2"/>
      <c r="N66" s="2"/>
      <c r="O66" s="2"/>
      <c r="P66" s="2"/>
      <c r="Q66" s="2"/>
      <c r="R66" s="2"/>
      <c r="S66" s="2"/>
      <c r="T66" s="2"/>
      <c r="U66" s="2"/>
      <c r="V66" s="171"/>
      <c r="W66" s="171"/>
    </row>
    <row r="67" spans="1:23" ht="15" customHeight="1" thickBot="1" x14ac:dyDescent="0.25">
      <c r="A67" s="259" t="s">
        <v>411</v>
      </c>
      <c r="B67" s="257"/>
      <c r="C67" s="257"/>
      <c r="D67" s="257"/>
      <c r="E67" s="257"/>
      <c r="F67" s="257"/>
      <c r="G67" s="257"/>
      <c r="H67" s="257"/>
      <c r="I67" s="257"/>
      <c r="J67" s="257"/>
      <c r="K67" s="257"/>
      <c r="L67" s="257"/>
      <c r="M67" s="257"/>
      <c r="N67" s="257"/>
      <c r="O67" s="257"/>
      <c r="P67" s="257"/>
      <c r="Q67" s="257"/>
      <c r="R67" s="257"/>
      <c r="S67" s="257"/>
      <c r="T67" s="257"/>
      <c r="U67" s="257"/>
      <c r="V67" s="257"/>
      <c r="W67" s="257"/>
    </row>
    <row r="68" spans="1:23" ht="15" customHeight="1" x14ac:dyDescent="0.2">
      <c r="A68" s="646" t="s">
        <v>362</v>
      </c>
      <c r="B68" s="1470" t="s">
        <v>363</v>
      </c>
      <c r="C68" s="1471"/>
      <c r="D68" s="1471"/>
      <c r="E68" s="1471"/>
      <c r="F68" s="1471"/>
      <c r="G68" s="1471"/>
      <c r="H68" s="1471"/>
      <c r="I68" s="1471"/>
      <c r="J68" s="1471"/>
      <c r="K68" s="1471"/>
      <c r="L68" s="1472"/>
      <c r="M68" s="1470" t="s">
        <v>364</v>
      </c>
      <c r="N68" s="1471"/>
      <c r="O68" s="1471"/>
      <c r="P68" s="1471"/>
      <c r="Q68" s="1471"/>
      <c r="R68" s="1471"/>
      <c r="S68" s="1471"/>
      <c r="T68" s="1471"/>
      <c r="U68" s="1471"/>
      <c r="V68" s="1471"/>
      <c r="W68" s="1472"/>
    </row>
    <row r="69" spans="1:23" ht="111" x14ac:dyDescent="0.2">
      <c r="A69" s="647" t="s">
        <v>365</v>
      </c>
      <c r="B69" s="648" t="s">
        <v>366</v>
      </c>
      <c r="C69" s="648" t="s">
        <v>367</v>
      </c>
      <c r="D69" s="649" t="s">
        <v>368</v>
      </c>
      <c r="E69" s="649" t="s">
        <v>369</v>
      </c>
      <c r="F69" s="649" t="s">
        <v>370</v>
      </c>
      <c r="G69" s="649" t="s">
        <v>371</v>
      </c>
      <c r="H69" s="649" t="s">
        <v>372</v>
      </c>
      <c r="I69" s="649" t="s">
        <v>373</v>
      </c>
      <c r="J69" s="650" t="s">
        <v>374</v>
      </c>
      <c r="K69" s="651" t="s">
        <v>375</v>
      </c>
      <c r="L69" s="652" t="s">
        <v>376</v>
      </c>
      <c r="M69" s="648" t="s">
        <v>366</v>
      </c>
      <c r="N69" s="648" t="s">
        <v>367</v>
      </c>
      <c r="O69" s="649" t="s">
        <v>368</v>
      </c>
      <c r="P69" s="649" t="s">
        <v>369</v>
      </c>
      <c r="Q69" s="649" t="s">
        <v>370</v>
      </c>
      <c r="R69" s="649" t="s">
        <v>371</v>
      </c>
      <c r="S69" s="649" t="s">
        <v>372</v>
      </c>
      <c r="T69" s="649" t="s">
        <v>373</v>
      </c>
      <c r="U69" s="650" t="s">
        <v>374</v>
      </c>
      <c r="V69" s="651" t="s">
        <v>375</v>
      </c>
      <c r="W69" s="652" t="s">
        <v>377</v>
      </c>
    </row>
    <row r="70" spans="1:23" x14ac:dyDescent="0.2">
      <c r="A70" s="8"/>
      <c r="L70" s="11"/>
      <c r="W70" s="11"/>
    </row>
    <row r="71" spans="1:23" x14ac:dyDescent="0.2">
      <c r="A71" s="9" t="s">
        <v>378</v>
      </c>
      <c r="B71" s="173">
        <f>+B75</f>
        <v>1</v>
      </c>
      <c r="C71" s="173">
        <f t="shared" ref="C71:J71" si="11">+C75</f>
        <v>0</v>
      </c>
      <c r="D71" s="173">
        <f t="shared" si="11"/>
        <v>6168</v>
      </c>
      <c r="E71" s="173">
        <f t="shared" si="11"/>
        <v>0</v>
      </c>
      <c r="F71" s="173">
        <f t="shared" si="11"/>
        <v>0</v>
      </c>
      <c r="G71" s="173">
        <f t="shared" si="11"/>
        <v>0</v>
      </c>
      <c r="H71" s="173">
        <f t="shared" si="11"/>
        <v>0</v>
      </c>
      <c r="I71" s="173">
        <f t="shared" si="11"/>
        <v>0</v>
      </c>
      <c r="J71" s="173">
        <f t="shared" si="11"/>
        <v>0</v>
      </c>
      <c r="K71" s="173">
        <f>SUM(B71:J71)</f>
        <v>6169</v>
      </c>
      <c r="L71" s="174">
        <f>+K71*12</f>
        <v>74028</v>
      </c>
      <c r="M71" s="173">
        <f>+M75</f>
        <v>0</v>
      </c>
      <c r="N71" s="173"/>
      <c r="O71" s="173">
        <f>+O75</f>
        <v>6168</v>
      </c>
      <c r="P71" s="173"/>
      <c r="Q71" s="173"/>
      <c r="R71" s="173"/>
      <c r="S71" s="173"/>
      <c r="T71" s="173"/>
      <c r="U71" s="173"/>
      <c r="V71" s="173">
        <f>SUM(M71:U71)</f>
        <v>6168</v>
      </c>
      <c r="W71" s="174">
        <f>+M71*12</f>
        <v>0</v>
      </c>
    </row>
    <row r="72" spans="1:23" x14ac:dyDescent="0.2">
      <c r="A72" s="8" t="s">
        <v>402</v>
      </c>
      <c r="B72" s="66"/>
      <c r="C72" s="66"/>
      <c r="D72" s="66"/>
      <c r="E72" s="66"/>
      <c r="F72" s="66"/>
      <c r="G72" s="66"/>
      <c r="H72" s="66"/>
      <c r="I72" s="66"/>
      <c r="J72" s="66"/>
      <c r="K72" s="66"/>
      <c r="L72" s="175"/>
      <c r="M72" s="66"/>
      <c r="N72" s="66"/>
      <c r="O72" s="66"/>
      <c r="P72" s="66"/>
      <c r="Q72" s="66"/>
      <c r="R72" s="66"/>
      <c r="S72" s="66"/>
      <c r="T72" s="66"/>
      <c r="U72" s="66"/>
      <c r="V72" s="66"/>
      <c r="W72" s="175"/>
    </row>
    <row r="73" spans="1:23" x14ac:dyDescent="0.2">
      <c r="A73" s="8" t="s">
        <v>403</v>
      </c>
      <c r="B73" s="66"/>
      <c r="C73" s="66"/>
      <c r="D73" s="66"/>
      <c r="E73" s="66"/>
      <c r="F73" s="66"/>
      <c r="G73" s="66"/>
      <c r="H73" s="66"/>
      <c r="I73" s="66"/>
      <c r="J73" s="66"/>
      <c r="K73" s="66"/>
      <c r="L73" s="175"/>
      <c r="M73" s="66"/>
      <c r="N73" s="66"/>
      <c r="O73" s="66"/>
      <c r="P73" s="66"/>
      <c r="Q73" s="66"/>
      <c r="R73" s="66"/>
      <c r="S73" s="66"/>
      <c r="T73" s="66"/>
      <c r="U73" s="66"/>
      <c r="V73" s="66"/>
      <c r="W73" s="175"/>
    </row>
    <row r="74" spans="1:23" x14ac:dyDescent="0.2">
      <c r="A74" s="8" t="s">
        <v>403</v>
      </c>
      <c r="B74" s="66"/>
      <c r="C74" s="66"/>
      <c r="D74" s="66"/>
      <c r="E74" s="66"/>
      <c r="F74" s="66"/>
      <c r="G74" s="66"/>
      <c r="H74" s="66"/>
      <c r="I74" s="66"/>
      <c r="J74" s="66"/>
      <c r="K74" s="66"/>
      <c r="L74" s="175"/>
      <c r="M74" s="66"/>
      <c r="N74" s="66"/>
      <c r="O74" s="66"/>
      <c r="P74" s="66"/>
      <c r="Q74" s="66"/>
      <c r="R74" s="66"/>
      <c r="S74" s="66"/>
      <c r="T74" s="66"/>
      <c r="U74" s="66"/>
      <c r="V74" s="66"/>
      <c r="W74" s="175"/>
    </row>
    <row r="75" spans="1:23" x14ac:dyDescent="0.2">
      <c r="A75" s="8" t="s">
        <v>412</v>
      </c>
      <c r="B75" s="176">
        <v>1</v>
      </c>
      <c r="C75" s="66"/>
      <c r="D75" s="66">
        <f>5950+218</f>
        <v>6168</v>
      </c>
      <c r="E75" s="66"/>
      <c r="F75" s="66"/>
      <c r="G75" s="66"/>
      <c r="H75" s="66"/>
      <c r="I75" s="66"/>
      <c r="J75" s="66"/>
      <c r="K75" s="66">
        <f>SUM(B75:J75)</f>
        <v>6169</v>
      </c>
      <c r="L75" s="175">
        <f>+K75*12+600</f>
        <v>74628</v>
      </c>
      <c r="M75" s="66"/>
      <c r="N75" s="66"/>
      <c r="O75" s="66">
        <f>5950+218</f>
        <v>6168</v>
      </c>
      <c r="P75" s="66"/>
      <c r="Q75" s="66"/>
      <c r="R75" s="66"/>
      <c r="S75" s="66"/>
      <c r="T75" s="66"/>
      <c r="U75" s="66"/>
      <c r="V75" s="66">
        <f>SUM(M75:U75)</f>
        <v>6168</v>
      </c>
      <c r="W75" s="175">
        <f>+V75*12+600</f>
        <v>74616</v>
      </c>
    </row>
    <row r="76" spans="1:23" x14ac:dyDescent="0.2">
      <c r="A76" s="8" t="s">
        <v>403</v>
      </c>
      <c r="B76" s="176"/>
      <c r="C76" s="66"/>
      <c r="D76" s="66"/>
      <c r="E76" s="66"/>
      <c r="F76" s="66"/>
      <c r="G76" s="66"/>
      <c r="H76" s="66"/>
      <c r="I76" s="66"/>
      <c r="J76" s="66"/>
      <c r="K76" s="66"/>
      <c r="L76" s="175"/>
      <c r="M76" s="66"/>
      <c r="N76" s="66"/>
      <c r="O76" s="66"/>
      <c r="P76" s="66"/>
      <c r="Q76" s="66"/>
      <c r="R76" s="66"/>
      <c r="S76" s="66"/>
      <c r="T76" s="66"/>
      <c r="U76" s="66"/>
      <c r="V76" s="66"/>
      <c r="W76" s="175"/>
    </row>
    <row r="77" spans="1:23" x14ac:dyDescent="0.2">
      <c r="A77" s="8" t="s">
        <v>406</v>
      </c>
      <c r="B77" s="176"/>
      <c r="C77" s="66"/>
      <c r="D77" s="66"/>
      <c r="E77" s="66"/>
      <c r="F77" s="66"/>
      <c r="G77" s="66"/>
      <c r="H77" s="66"/>
      <c r="I77" s="66"/>
      <c r="J77" s="66"/>
      <c r="K77" s="66"/>
      <c r="L77" s="175"/>
      <c r="M77" s="66"/>
      <c r="N77" s="66"/>
      <c r="O77" s="66"/>
      <c r="P77" s="66"/>
      <c r="Q77" s="66"/>
      <c r="R77" s="66"/>
      <c r="S77" s="66"/>
      <c r="T77" s="66"/>
      <c r="U77" s="66"/>
      <c r="V77" s="66"/>
      <c r="W77" s="175"/>
    </row>
    <row r="78" spans="1:23" x14ac:dyDescent="0.2">
      <c r="A78" s="302"/>
      <c r="B78" s="176"/>
      <c r="C78" s="66"/>
      <c r="D78" s="66"/>
      <c r="E78" s="66"/>
      <c r="F78" s="66"/>
      <c r="G78" s="66"/>
      <c r="H78" s="66"/>
      <c r="I78" s="66"/>
      <c r="J78" s="66"/>
      <c r="K78" s="66"/>
      <c r="L78" s="175"/>
      <c r="M78" s="66"/>
      <c r="N78" s="66"/>
      <c r="O78" s="66"/>
      <c r="P78" s="66"/>
      <c r="Q78" s="66"/>
      <c r="R78" s="66"/>
      <c r="S78" s="66"/>
      <c r="T78" s="66"/>
      <c r="U78" s="66"/>
      <c r="V78" s="66"/>
      <c r="W78" s="175"/>
    </row>
    <row r="79" spans="1:23" x14ac:dyDescent="0.2">
      <c r="A79" s="9" t="s">
        <v>385</v>
      </c>
      <c r="B79" s="177">
        <f>+B81</f>
        <v>8041.28</v>
      </c>
      <c r="C79" s="173"/>
      <c r="D79" s="173"/>
      <c r="E79" s="173"/>
      <c r="F79" s="173"/>
      <c r="G79" s="173"/>
      <c r="H79" s="173"/>
      <c r="I79" s="173"/>
      <c r="J79" s="173"/>
      <c r="K79" s="173">
        <f>SUM(B79:J79)</f>
        <v>8041.28</v>
      </c>
      <c r="L79" s="174">
        <f>+L81</f>
        <v>96477.759999999995</v>
      </c>
      <c r="M79" s="173">
        <f>+M81</f>
        <v>7561.48</v>
      </c>
      <c r="N79" s="173"/>
      <c r="O79" s="173"/>
      <c r="P79" s="173"/>
      <c r="Q79" s="173"/>
      <c r="R79" s="173"/>
      <c r="S79" s="173"/>
      <c r="T79" s="173"/>
      <c r="U79" s="173"/>
      <c r="V79" s="173">
        <f>SUM(M79:U79)</f>
        <v>7561.48</v>
      </c>
      <c r="W79" s="174">
        <f>+V79*12</f>
        <v>90737.76</v>
      </c>
    </row>
    <row r="80" spans="1:23" x14ac:dyDescent="0.2">
      <c r="A80" s="8" t="s">
        <v>386</v>
      </c>
      <c r="B80" s="176"/>
      <c r="C80" s="66"/>
      <c r="D80" s="66"/>
      <c r="E80" s="66"/>
      <c r="F80" s="66"/>
      <c r="G80" s="66"/>
      <c r="H80" s="66"/>
      <c r="I80" s="66"/>
      <c r="J80" s="66"/>
      <c r="K80" s="66"/>
      <c r="L80" s="175"/>
      <c r="M80" s="66"/>
      <c r="N80" s="66"/>
      <c r="O80" s="66"/>
      <c r="P80" s="66"/>
      <c r="Q80" s="66"/>
      <c r="R80" s="66"/>
      <c r="S80" s="66"/>
      <c r="T80" s="66"/>
      <c r="U80" s="66"/>
      <c r="V80" s="66"/>
      <c r="W80" s="175"/>
    </row>
    <row r="81" spans="1:23" x14ac:dyDescent="0.2">
      <c r="A81" s="8" t="s">
        <v>413</v>
      </c>
      <c r="B81" s="176">
        <f>2786.48+4920+334.8</f>
        <v>8041.28</v>
      </c>
      <c r="C81" s="66"/>
      <c r="D81" s="66"/>
      <c r="E81" s="66"/>
      <c r="F81" s="66"/>
      <c r="G81" s="66"/>
      <c r="H81" s="66"/>
      <c r="I81" s="66"/>
      <c r="J81" s="66"/>
      <c r="K81" s="66">
        <f>SUM(B81:J81)</f>
        <v>8041.28</v>
      </c>
      <c r="L81" s="175">
        <f>92477.76+4000</f>
        <v>96477.759999999995</v>
      </c>
      <c r="M81" s="66">
        <f>2786.48+4440+335</f>
        <v>7561.48</v>
      </c>
      <c r="N81" s="66"/>
      <c r="O81" s="66"/>
      <c r="P81" s="66"/>
      <c r="Q81" s="66"/>
      <c r="R81" s="66"/>
      <c r="S81" s="66"/>
      <c r="T81" s="66"/>
      <c r="U81" s="66"/>
      <c r="V81" s="66">
        <f>SUM(M81:U81)</f>
        <v>7561.48</v>
      </c>
      <c r="W81" s="175">
        <f>+V81*12</f>
        <v>90737.76</v>
      </c>
    </row>
    <row r="82" spans="1:23" x14ac:dyDescent="0.2">
      <c r="A82" s="8" t="s">
        <v>408</v>
      </c>
      <c r="B82" s="176"/>
      <c r="C82" s="66"/>
      <c r="D82" s="66"/>
      <c r="E82" s="66"/>
      <c r="F82" s="66"/>
      <c r="G82" s="66"/>
      <c r="H82" s="66"/>
      <c r="I82" s="66"/>
      <c r="J82" s="66"/>
      <c r="K82" s="66"/>
      <c r="L82" s="175"/>
      <c r="M82" s="66"/>
      <c r="N82" s="66"/>
      <c r="O82" s="66"/>
      <c r="P82" s="66"/>
      <c r="Q82" s="66"/>
      <c r="R82" s="66"/>
      <c r="S82" s="66"/>
      <c r="T82" s="66"/>
      <c r="U82" s="66"/>
      <c r="V82" s="66"/>
      <c r="W82" s="175"/>
    </row>
    <row r="83" spans="1:23" x14ac:dyDescent="0.2">
      <c r="A83" s="8"/>
      <c r="B83" s="176"/>
      <c r="C83" s="66"/>
      <c r="D83" s="66"/>
      <c r="E83" s="66"/>
      <c r="F83" s="66"/>
      <c r="G83" s="66"/>
      <c r="H83" s="66"/>
      <c r="I83" s="66"/>
      <c r="J83" s="66"/>
      <c r="K83" s="66"/>
      <c r="L83" s="175"/>
      <c r="M83" s="66"/>
      <c r="N83" s="66"/>
      <c r="O83" s="66"/>
      <c r="P83" s="66"/>
      <c r="Q83" s="66"/>
      <c r="R83" s="66"/>
      <c r="S83" s="66"/>
      <c r="T83" s="66"/>
      <c r="U83" s="66"/>
      <c r="V83" s="66"/>
      <c r="W83" s="175"/>
    </row>
    <row r="84" spans="1:23" x14ac:dyDescent="0.2">
      <c r="A84" s="9" t="s">
        <v>389</v>
      </c>
      <c r="B84" s="177">
        <f>SUM(B85:B87)</f>
        <v>5524.43</v>
      </c>
      <c r="C84" s="173"/>
      <c r="D84" s="173">
        <f>+D88</f>
        <v>1145</v>
      </c>
      <c r="E84" s="173"/>
      <c r="F84" s="173"/>
      <c r="G84" s="173"/>
      <c r="H84" s="173"/>
      <c r="I84" s="173"/>
      <c r="J84" s="173"/>
      <c r="K84" s="173">
        <f>SUM(B84:J84)</f>
        <v>6669.43</v>
      </c>
      <c r="L84" s="174">
        <f>+K84</f>
        <v>6669.43</v>
      </c>
      <c r="M84" s="173">
        <f>+M85+M86+M87</f>
        <v>5224.43</v>
      </c>
      <c r="N84" s="173"/>
      <c r="O84" s="173">
        <f>+O88</f>
        <v>1145</v>
      </c>
      <c r="P84" s="173"/>
      <c r="Q84" s="173"/>
      <c r="R84" s="173"/>
      <c r="S84" s="173"/>
      <c r="T84" s="173"/>
      <c r="U84" s="173"/>
      <c r="V84" s="173">
        <f>SUM(M84:U84)</f>
        <v>6369.43</v>
      </c>
      <c r="W84" s="174">
        <f>+V84*12</f>
        <v>76433.16</v>
      </c>
    </row>
    <row r="85" spans="1:23" x14ac:dyDescent="0.2">
      <c r="A85" s="8" t="s">
        <v>414</v>
      </c>
      <c r="B85" s="176">
        <f>598.31+1170+83.7</f>
        <v>1852.01</v>
      </c>
      <c r="C85" s="66"/>
      <c r="D85" s="66"/>
      <c r="E85" s="66"/>
      <c r="F85" s="66"/>
      <c r="G85" s="66"/>
      <c r="H85" s="66"/>
      <c r="I85" s="66"/>
      <c r="J85" s="66"/>
      <c r="K85" s="66">
        <f t="shared" ref="K85:K88" si="12">SUM(B85:J85)</f>
        <v>1852.01</v>
      </c>
      <c r="L85" s="175">
        <f>+K85*12+1000</f>
        <v>23224.12</v>
      </c>
      <c r="M85" s="66">
        <f>598.31+1070+83.7</f>
        <v>1752.01</v>
      </c>
      <c r="N85" s="66"/>
      <c r="O85" s="66"/>
      <c r="P85" s="66"/>
      <c r="Q85" s="66"/>
      <c r="R85" s="66"/>
      <c r="S85" s="66"/>
      <c r="T85" s="66"/>
      <c r="U85" s="66"/>
      <c r="V85" s="66">
        <f>SUM(M85:U85)</f>
        <v>1752.01</v>
      </c>
      <c r="W85" s="175">
        <f>+V85*12</f>
        <v>21024.12</v>
      </c>
    </row>
    <row r="86" spans="1:23" x14ac:dyDescent="0.2">
      <c r="A86" s="8" t="s">
        <v>415</v>
      </c>
      <c r="B86" s="176">
        <f>592.13+1170+83.7</f>
        <v>1845.8300000000002</v>
      </c>
      <c r="C86" s="66"/>
      <c r="D86" s="66"/>
      <c r="E86" s="66"/>
      <c r="F86" s="66"/>
      <c r="G86" s="66"/>
      <c r="H86" s="66"/>
      <c r="I86" s="66"/>
      <c r="J86" s="66"/>
      <c r="K86" s="66">
        <f t="shared" si="12"/>
        <v>1845.8300000000002</v>
      </c>
      <c r="L86" s="175">
        <f>+K86*12+1000</f>
        <v>23149.960000000003</v>
      </c>
      <c r="M86" s="66">
        <f>592.13+1070+83.7</f>
        <v>1745.8300000000002</v>
      </c>
      <c r="N86" s="66"/>
      <c r="O86" s="66"/>
      <c r="P86" s="66"/>
      <c r="Q86" s="66"/>
      <c r="R86" s="66"/>
      <c r="S86" s="66"/>
      <c r="T86" s="66"/>
      <c r="U86" s="66"/>
      <c r="V86" s="66">
        <f t="shared" ref="V86:V88" si="13">SUM(M86:U86)</f>
        <v>1745.8300000000002</v>
      </c>
      <c r="W86" s="175">
        <f t="shared" ref="W86:W87" si="14">+V86*12</f>
        <v>20949.960000000003</v>
      </c>
    </row>
    <row r="87" spans="1:23" x14ac:dyDescent="0.2">
      <c r="A87" s="8" t="s">
        <v>416</v>
      </c>
      <c r="B87" s="176">
        <f>572.89+1170+83.7</f>
        <v>1826.59</v>
      </c>
      <c r="C87" s="66"/>
      <c r="D87" s="66"/>
      <c r="E87" s="66"/>
      <c r="F87" s="66"/>
      <c r="G87" s="66"/>
      <c r="H87" s="66"/>
      <c r="I87" s="66"/>
      <c r="J87" s="66"/>
      <c r="K87" s="66">
        <f t="shared" si="12"/>
        <v>1826.59</v>
      </c>
      <c r="L87" s="175">
        <f>+K87*12+1000</f>
        <v>22919.079999999998</v>
      </c>
      <c r="M87" s="66">
        <f>572.89+1070+83.7</f>
        <v>1726.59</v>
      </c>
      <c r="N87" s="66"/>
      <c r="O87" s="66"/>
      <c r="P87" s="66"/>
      <c r="Q87" s="66"/>
      <c r="R87" s="66"/>
      <c r="S87" s="66"/>
      <c r="T87" s="66"/>
      <c r="U87" s="66"/>
      <c r="V87" s="66">
        <f t="shared" si="13"/>
        <v>1726.59</v>
      </c>
      <c r="W87" s="175">
        <f t="shared" si="14"/>
        <v>20719.079999999998</v>
      </c>
    </row>
    <row r="88" spans="1:23" x14ac:dyDescent="0.2">
      <c r="A88" s="8" t="s">
        <v>416</v>
      </c>
      <c r="B88" s="176"/>
      <c r="C88" s="66"/>
      <c r="D88" s="66">
        <f>1050+95</f>
        <v>1145</v>
      </c>
      <c r="E88" s="66"/>
      <c r="F88" s="66"/>
      <c r="G88" s="66"/>
      <c r="H88" s="66"/>
      <c r="I88" s="66"/>
      <c r="J88" s="66"/>
      <c r="K88" s="66">
        <f t="shared" si="12"/>
        <v>1145</v>
      </c>
      <c r="L88" s="175">
        <f>+K88*12+600</f>
        <v>14340</v>
      </c>
      <c r="M88" s="66"/>
      <c r="N88" s="66"/>
      <c r="O88" s="66">
        <f>1050+95</f>
        <v>1145</v>
      </c>
      <c r="P88" s="66"/>
      <c r="Q88" s="66"/>
      <c r="R88" s="66"/>
      <c r="S88" s="66"/>
      <c r="T88" s="66"/>
      <c r="U88" s="66"/>
      <c r="V88" s="66">
        <f t="shared" si="13"/>
        <v>1145</v>
      </c>
      <c r="W88" s="175">
        <f>+V88*12+600</f>
        <v>14340</v>
      </c>
    </row>
    <row r="89" spans="1:23" x14ac:dyDescent="0.2">
      <c r="A89" s="8" t="s">
        <v>409</v>
      </c>
      <c r="B89" s="66"/>
      <c r="C89" s="66"/>
      <c r="D89" s="66"/>
      <c r="E89" s="66"/>
      <c r="F89" s="66"/>
      <c r="G89" s="66"/>
      <c r="H89" s="66"/>
      <c r="I89" s="66"/>
      <c r="J89" s="66"/>
      <c r="K89" s="66"/>
      <c r="L89" s="175"/>
      <c r="M89" s="66"/>
      <c r="N89" s="66"/>
      <c r="O89" s="66"/>
      <c r="P89" s="66"/>
      <c r="Q89" s="66"/>
      <c r="R89" s="66"/>
      <c r="S89" s="66"/>
      <c r="T89" s="66"/>
      <c r="U89" s="66"/>
      <c r="V89" s="66"/>
      <c r="W89" s="175"/>
    </row>
    <row r="90" spans="1:23" x14ac:dyDescent="0.2">
      <c r="A90" s="8"/>
      <c r="B90" s="66"/>
      <c r="C90" s="66"/>
      <c r="D90" s="66"/>
      <c r="E90" s="66"/>
      <c r="F90" s="66"/>
      <c r="G90" s="66"/>
      <c r="H90" s="66"/>
      <c r="I90" s="66"/>
      <c r="J90" s="66"/>
      <c r="K90" s="66"/>
      <c r="L90" s="175"/>
      <c r="M90" s="66"/>
      <c r="N90" s="66"/>
      <c r="O90" s="66"/>
      <c r="P90" s="66"/>
      <c r="Q90" s="66"/>
      <c r="R90" s="66"/>
      <c r="S90" s="66"/>
      <c r="T90" s="66"/>
      <c r="U90" s="66"/>
      <c r="V90" s="66"/>
      <c r="W90" s="175"/>
    </row>
    <row r="91" spans="1:23" x14ac:dyDescent="0.2">
      <c r="A91" s="9" t="s">
        <v>393</v>
      </c>
      <c r="B91" s="173"/>
      <c r="C91" s="173"/>
      <c r="D91" s="173"/>
      <c r="E91" s="173"/>
      <c r="F91" s="173"/>
      <c r="G91" s="173"/>
      <c r="H91" s="173"/>
      <c r="I91" s="173"/>
      <c r="J91" s="173"/>
      <c r="K91" s="173"/>
      <c r="L91" s="174"/>
      <c r="M91" s="173"/>
      <c r="N91" s="173"/>
      <c r="O91" s="173"/>
      <c r="P91" s="173"/>
      <c r="Q91" s="173"/>
      <c r="R91" s="173"/>
      <c r="S91" s="173"/>
      <c r="T91" s="173"/>
      <c r="U91" s="173"/>
      <c r="V91" s="173"/>
      <c r="W91" s="174"/>
    </row>
    <row r="92" spans="1:23" x14ac:dyDescent="0.2">
      <c r="A92" s="8" t="s">
        <v>394</v>
      </c>
      <c r="B92" s="66"/>
      <c r="C92" s="66"/>
      <c r="D92" s="66"/>
      <c r="E92" s="66"/>
      <c r="F92" s="66"/>
      <c r="G92" s="66"/>
      <c r="H92" s="66"/>
      <c r="I92" s="66"/>
      <c r="J92" s="66"/>
      <c r="K92" s="66"/>
      <c r="L92" s="175"/>
      <c r="M92" s="66"/>
      <c r="N92" s="66"/>
      <c r="O92" s="66"/>
      <c r="P92" s="66"/>
      <c r="Q92" s="66"/>
      <c r="R92" s="66"/>
      <c r="S92" s="66"/>
      <c r="T92" s="66"/>
      <c r="U92" s="66"/>
      <c r="V92" s="66"/>
      <c r="W92" s="175"/>
    </row>
    <row r="93" spans="1:23" x14ac:dyDescent="0.2">
      <c r="A93" s="8" t="s">
        <v>403</v>
      </c>
      <c r="B93" s="66"/>
      <c r="C93" s="66"/>
      <c r="D93" s="66"/>
      <c r="E93" s="66"/>
      <c r="F93" s="66"/>
      <c r="G93" s="66"/>
      <c r="H93" s="66"/>
      <c r="I93" s="66"/>
      <c r="J93" s="66"/>
      <c r="K93" s="66"/>
      <c r="L93" s="175"/>
      <c r="M93" s="66"/>
      <c r="N93" s="66"/>
      <c r="O93" s="66"/>
      <c r="P93" s="66"/>
      <c r="Q93" s="66"/>
      <c r="R93" s="66"/>
      <c r="S93" s="66"/>
      <c r="T93" s="66"/>
      <c r="U93" s="66"/>
      <c r="V93" s="66"/>
      <c r="W93" s="175"/>
    </row>
    <row r="94" spans="1:23" x14ac:dyDescent="0.2">
      <c r="A94" s="8" t="s">
        <v>410</v>
      </c>
      <c r="B94" s="66"/>
      <c r="C94" s="66"/>
      <c r="D94" s="66"/>
      <c r="E94" s="66"/>
      <c r="F94" s="66"/>
      <c r="G94" s="66"/>
      <c r="H94" s="66"/>
      <c r="I94" s="66"/>
      <c r="J94" s="66"/>
      <c r="K94" s="66"/>
      <c r="L94" s="175"/>
      <c r="M94" s="66"/>
      <c r="N94" s="66"/>
      <c r="O94" s="66"/>
      <c r="P94" s="66"/>
      <c r="Q94" s="66"/>
      <c r="R94" s="66"/>
      <c r="S94" s="66"/>
      <c r="T94" s="66"/>
      <c r="U94" s="66"/>
      <c r="V94" s="66"/>
      <c r="W94" s="175"/>
    </row>
    <row r="95" spans="1:23" ht="12.75" thickBot="1" x14ac:dyDescent="0.25">
      <c r="A95" s="8"/>
      <c r="B95" s="176">
        <v>9</v>
      </c>
      <c r="C95" s="66"/>
      <c r="D95" s="66"/>
      <c r="E95" s="66"/>
      <c r="F95" s="66"/>
      <c r="G95" s="66"/>
      <c r="H95" s="66"/>
      <c r="I95" s="66"/>
      <c r="J95" s="66"/>
      <c r="K95" s="66"/>
      <c r="L95" s="175"/>
      <c r="M95" s="176">
        <v>9</v>
      </c>
      <c r="N95" s="66"/>
      <c r="O95" s="66"/>
      <c r="P95" s="66"/>
      <c r="Q95" s="66"/>
      <c r="R95" s="66"/>
      <c r="S95" s="66"/>
      <c r="T95" s="66"/>
      <c r="U95" s="66"/>
      <c r="V95" s="66"/>
      <c r="W95" s="175"/>
    </row>
    <row r="96" spans="1:23" ht="12.75" thickBot="1" x14ac:dyDescent="0.25">
      <c r="A96" s="263" t="s">
        <v>400</v>
      </c>
      <c r="B96" s="265">
        <f>+B71+B79+B84</f>
        <v>13566.71</v>
      </c>
      <c r="C96" s="265"/>
      <c r="D96" s="265">
        <f>+D71+D79+D84</f>
        <v>7313</v>
      </c>
      <c r="E96" s="265"/>
      <c r="F96" s="265"/>
      <c r="G96" s="265"/>
      <c r="H96" s="265"/>
      <c r="I96" s="265"/>
      <c r="J96" s="265"/>
      <c r="K96" s="265">
        <f>+K71+K79+K84</f>
        <v>20879.71</v>
      </c>
      <c r="L96" s="271">
        <f>+K96*12</f>
        <v>250556.52</v>
      </c>
      <c r="M96" s="265">
        <f>+M71+M79+M84</f>
        <v>12785.91</v>
      </c>
      <c r="N96" s="265"/>
      <c r="O96" s="265">
        <f>+O71+O79+O84</f>
        <v>7313</v>
      </c>
      <c r="P96" s="265"/>
      <c r="Q96" s="265"/>
      <c r="R96" s="265"/>
      <c r="S96" s="265"/>
      <c r="T96" s="265"/>
      <c r="U96" s="265"/>
      <c r="V96" s="265">
        <f>+V71+V79+V84</f>
        <v>20098.91</v>
      </c>
      <c r="W96" s="271">
        <f>+W71+W79+W84</f>
        <v>167170.91999999998</v>
      </c>
    </row>
    <row r="97" spans="1:23" x14ac:dyDescent="0.2">
      <c r="A97" s="91"/>
      <c r="B97" s="2"/>
      <c r="C97" s="2"/>
      <c r="D97" s="2"/>
      <c r="E97" s="2"/>
      <c r="F97" s="2"/>
      <c r="G97" s="2"/>
      <c r="H97" s="2"/>
      <c r="I97" s="2"/>
      <c r="J97" s="2"/>
      <c r="K97" s="2"/>
      <c r="L97" s="2"/>
      <c r="M97" s="2"/>
      <c r="N97" s="2"/>
      <c r="O97" s="2"/>
      <c r="P97" s="2"/>
      <c r="Q97" s="2"/>
      <c r="R97" s="2"/>
      <c r="S97" s="2"/>
      <c r="T97" s="2"/>
      <c r="U97" s="2"/>
      <c r="V97" s="2"/>
      <c r="W97" s="2"/>
    </row>
    <row r="98" spans="1:23" ht="16.5" customHeight="1" thickBot="1" x14ac:dyDescent="0.25">
      <c r="A98" s="258" t="s">
        <v>417</v>
      </c>
      <c r="B98" s="257"/>
      <c r="C98" s="257"/>
      <c r="D98" s="257"/>
      <c r="E98" s="257"/>
      <c r="F98" s="257"/>
      <c r="G98" s="257"/>
      <c r="H98" s="257"/>
      <c r="I98" s="257"/>
      <c r="J98" s="257"/>
      <c r="K98" s="257"/>
      <c r="L98" s="257"/>
      <c r="M98" s="257"/>
      <c r="N98" s="257"/>
      <c r="O98" s="257"/>
      <c r="P98" s="257"/>
      <c r="Q98" s="257"/>
      <c r="R98" s="257"/>
      <c r="S98" s="257"/>
      <c r="T98" s="257"/>
      <c r="U98" s="257"/>
      <c r="V98" s="257"/>
      <c r="W98" s="257"/>
    </row>
    <row r="99" spans="1:23" ht="16.5" customHeight="1" x14ac:dyDescent="0.2">
      <c r="A99" s="646" t="s">
        <v>362</v>
      </c>
      <c r="B99" s="1470" t="s">
        <v>363</v>
      </c>
      <c r="C99" s="1471"/>
      <c r="D99" s="1471"/>
      <c r="E99" s="1471"/>
      <c r="F99" s="1471"/>
      <c r="G99" s="1471"/>
      <c r="H99" s="1471"/>
      <c r="I99" s="1471"/>
      <c r="J99" s="1471"/>
      <c r="K99" s="1471"/>
      <c r="L99" s="1472"/>
      <c r="M99" s="1470" t="s">
        <v>364</v>
      </c>
      <c r="N99" s="1471"/>
      <c r="O99" s="1471"/>
      <c r="P99" s="1471"/>
      <c r="Q99" s="1471"/>
      <c r="R99" s="1471"/>
      <c r="S99" s="1471"/>
      <c r="T99" s="1471"/>
      <c r="U99" s="1471"/>
      <c r="V99" s="1471"/>
      <c r="W99" s="1472"/>
    </row>
    <row r="100" spans="1:23" ht="111" x14ac:dyDescent="0.2">
      <c r="A100" s="647" t="s">
        <v>365</v>
      </c>
      <c r="B100" s="648" t="s">
        <v>366</v>
      </c>
      <c r="C100" s="648" t="s">
        <v>367</v>
      </c>
      <c r="D100" s="649" t="s">
        <v>368</v>
      </c>
      <c r="E100" s="649" t="s">
        <v>369</v>
      </c>
      <c r="F100" s="649" t="s">
        <v>370</v>
      </c>
      <c r="G100" s="649" t="s">
        <v>371</v>
      </c>
      <c r="H100" s="649" t="s">
        <v>372</v>
      </c>
      <c r="I100" s="649" t="s">
        <v>373</v>
      </c>
      <c r="J100" s="650" t="s">
        <v>374</v>
      </c>
      <c r="K100" s="651" t="s">
        <v>375</v>
      </c>
      <c r="L100" s="652" t="s">
        <v>376</v>
      </c>
      <c r="M100" s="648" t="s">
        <v>366</v>
      </c>
      <c r="N100" s="648" t="s">
        <v>367</v>
      </c>
      <c r="O100" s="649" t="s">
        <v>368</v>
      </c>
      <c r="P100" s="649" t="s">
        <v>369</v>
      </c>
      <c r="Q100" s="649" t="s">
        <v>370</v>
      </c>
      <c r="R100" s="649" t="s">
        <v>371</v>
      </c>
      <c r="S100" s="649" t="s">
        <v>372</v>
      </c>
      <c r="T100" s="649" t="s">
        <v>373</v>
      </c>
      <c r="U100" s="650" t="s">
        <v>374</v>
      </c>
      <c r="V100" s="651" t="s">
        <v>375</v>
      </c>
      <c r="W100" s="652" t="s">
        <v>377</v>
      </c>
    </row>
    <row r="101" spans="1:23" x14ac:dyDescent="0.2">
      <c r="A101" s="8"/>
      <c r="D101" s="7">
        <v>24</v>
      </c>
      <c r="J101" s="7">
        <v>18</v>
      </c>
      <c r="L101" s="11"/>
      <c r="O101" s="7">
        <v>24</v>
      </c>
      <c r="U101" s="7">
        <v>18</v>
      </c>
      <c r="W101" s="11"/>
    </row>
    <row r="102" spans="1:23" x14ac:dyDescent="0.2">
      <c r="A102" s="9" t="s">
        <v>378</v>
      </c>
      <c r="B102" s="161"/>
      <c r="C102" s="161"/>
      <c r="D102" s="161"/>
      <c r="E102" s="161"/>
      <c r="F102" s="161"/>
      <c r="G102" s="161"/>
      <c r="H102" s="161"/>
      <c r="I102" s="161"/>
      <c r="J102" s="161"/>
      <c r="K102" s="161"/>
      <c r="L102" s="10"/>
      <c r="M102" s="161"/>
      <c r="N102" s="161"/>
      <c r="O102" s="161"/>
      <c r="P102" s="161"/>
      <c r="Q102" s="161"/>
      <c r="R102" s="161"/>
      <c r="S102" s="161"/>
      <c r="T102" s="161"/>
      <c r="U102" s="161"/>
      <c r="V102" s="161"/>
      <c r="W102" s="10"/>
    </row>
    <row r="103" spans="1:23" x14ac:dyDescent="0.2">
      <c r="A103" s="8" t="s">
        <v>381</v>
      </c>
      <c r="B103" s="7">
        <v>1</v>
      </c>
      <c r="L103" s="175">
        <v>38040.519999999997</v>
      </c>
      <c r="M103" s="7">
        <v>1</v>
      </c>
      <c r="W103" s="175">
        <v>38040.519999999997</v>
      </c>
    </row>
    <row r="104" spans="1:23" x14ac:dyDescent="0.2">
      <c r="A104" s="8" t="s">
        <v>383</v>
      </c>
      <c r="B104" s="7">
        <v>5</v>
      </c>
      <c r="L104" s="175">
        <v>166990.32800000001</v>
      </c>
      <c r="M104" s="7">
        <v>5</v>
      </c>
      <c r="W104" s="175">
        <v>166990.32800000001</v>
      </c>
    </row>
    <row r="105" spans="1:23" x14ac:dyDescent="0.2">
      <c r="A105" s="8" t="s">
        <v>384</v>
      </c>
      <c r="B105" s="7">
        <v>3</v>
      </c>
      <c r="L105" s="175">
        <v>90602.64</v>
      </c>
      <c r="M105" s="7">
        <v>3</v>
      </c>
      <c r="W105" s="175">
        <v>90602.64</v>
      </c>
    </row>
    <row r="106" spans="1:23" x14ac:dyDescent="0.2">
      <c r="A106" s="9" t="s">
        <v>385</v>
      </c>
      <c r="B106" s="161"/>
      <c r="C106" s="161"/>
      <c r="D106" s="161"/>
      <c r="E106" s="161"/>
      <c r="F106" s="161"/>
      <c r="G106" s="161"/>
      <c r="H106" s="161"/>
      <c r="I106" s="161"/>
      <c r="J106" s="161"/>
      <c r="K106" s="161"/>
      <c r="L106" s="174"/>
      <c r="M106" s="161"/>
      <c r="N106" s="161"/>
      <c r="O106" s="161"/>
      <c r="P106" s="161"/>
      <c r="Q106" s="161"/>
      <c r="R106" s="161"/>
      <c r="S106" s="161"/>
      <c r="T106" s="161"/>
      <c r="U106" s="161"/>
      <c r="V106" s="161"/>
      <c r="W106" s="10"/>
    </row>
    <row r="107" spans="1:23" x14ac:dyDescent="0.2">
      <c r="A107" s="8" t="s">
        <v>386</v>
      </c>
      <c r="B107" s="7">
        <v>5</v>
      </c>
      <c r="L107" s="175">
        <v>127913.60000000001</v>
      </c>
      <c r="M107" s="7">
        <v>5</v>
      </c>
      <c r="W107" s="11">
        <v>127913.60000000001</v>
      </c>
    </row>
    <row r="108" spans="1:23" x14ac:dyDescent="0.2">
      <c r="A108" s="9" t="s">
        <v>389</v>
      </c>
      <c r="B108" s="161"/>
      <c r="C108" s="161"/>
      <c r="D108" s="161"/>
      <c r="E108" s="161"/>
      <c r="F108" s="161"/>
      <c r="G108" s="161"/>
      <c r="H108" s="161"/>
      <c r="I108" s="161"/>
      <c r="J108" s="161"/>
      <c r="K108" s="161"/>
      <c r="L108" s="174"/>
      <c r="M108" s="161"/>
      <c r="N108" s="161"/>
      <c r="O108" s="161"/>
      <c r="P108" s="161"/>
      <c r="Q108" s="161"/>
      <c r="R108" s="161"/>
      <c r="S108" s="161"/>
      <c r="T108" s="161"/>
      <c r="U108" s="161"/>
      <c r="V108" s="161"/>
      <c r="W108" s="10"/>
    </row>
    <row r="109" spans="1:23" x14ac:dyDescent="0.2">
      <c r="A109" s="179" t="s">
        <v>390</v>
      </c>
      <c r="B109" s="21">
        <v>4</v>
      </c>
      <c r="C109" s="21"/>
      <c r="D109" s="21"/>
      <c r="E109" s="21"/>
      <c r="F109" s="21"/>
      <c r="G109" s="21"/>
      <c r="H109" s="21"/>
      <c r="I109" s="21"/>
      <c r="J109" s="21"/>
      <c r="K109" s="21"/>
      <c r="L109" s="180">
        <v>86913.12</v>
      </c>
      <c r="M109" s="21">
        <v>4</v>
      </c>
      <c r="N109" s="21"/>
      <c r="O109" s="21"/>
      <c r="P109" s="21"/>
      <c r="Q109" s="21"/>
      <c r="R109" s="21"/>
      <c r="S109" s="21"/>
      <c r="T109" s="21"/>
      <c r="U109" s="21"/>
      <c r="V109" s="21"/>
      <c r="W109" s="181">
        <v>86913.12</v>
      </c>
    </row>
    <row r="110" spans="1:23" x14ac:dyDescent="0.2">
      <c r="A110" s="8" t="s">
        <v>391</v>
      </c>
      <c r="B110" s="7">
        <v>3</v>
      </c>
      <c r="L110" s="175">
        <v>68574.12</v>
      </c>
      <c r="M110" s="7">
        <v>3</v>
      </c>
      <c r="W110" s="11">
        <v>68574.12</v>
      </c>
    </row>
    <row r="111" spans="1:23" x14ac:dyDescent="0.2">
      <c r="A111" s="9" t="s">
        <v>393</v>
      </c>
      <c r="B111" s="161"/>
      <c r="C111" s="161"/>
      <c r="D111" s="161"/>
      <c r="E111" s="161"/>
      <c r="F111" s="161"/>
      <c r="G111" s="161"/>
      <c r="H111" s="161"/>
      <c r="I111" s="161"/>
      <c r="J111" s="161"/>
      <c r="K111" s="161"/>
      <c r="L111" s="174"/>
      <c r="M111" s="161"/>
      <c r="N111" s="161"/>
      <c r="O111" s="161"/>
      <c r="P111" s="161"/>
      <c r="Q111" s="161"/>
      <c r="R111" s="161"/>
      <c r="S111" s="161"/>
      <c r="T111" s="161"/>
      <c r="U111" s="161"/>
      <c r="V111" s="161"/>
      <c r="W111" s="10"/>
    </row>
    <row r="112" spans="1:23" ht="12.75" thickBot="1" x14ac:dyDescent="0.25">
      <c r="A112" s="8" t="s">
        <v>394</v>
      </c>
      <c r="B112" s="7">
        <v>1</v>
      </c>
      <c r="L112" s="175">
        <v>20613.28</v>
      </c>
      <c r="M112" s="7">
        <v>1</v>
      </c>
      <c r="W112" s="175">
        <v>20613.28</v>
      </c>
    </row>
    <row r="113" spans="1:23" ht="12.75" thickBot="1" x14ac:dyDescent="0.25">
      <c r="A113" s="263" t="s">
        <v>400</v>
      </c>
      <c r="B113" s="270">
        <f>SUM(B103:B112)</f>
        <v>22</v>
      </c>
      <c r="C113" s="270"/>
      <c r="D113" s="270">
        <f>SUM(D101:D112)</f>
        <v>24</v>
      </c>
      <c r="E113" s="270"/>
      <c r="F113" s="270"/>
      <c r="G113" s="270"/>
      <c r="H113" s="270"/>
      <c r="I113" s="270"/>
      <c r="J113" s="270">
        <f>SUM(J101:J112)</f>
        <v>18</v>
      </c>
      <c r="K113" s="270">
        <f>SUM(B113:J113)</f>
        <v>64</v>
      </c>
      <c r="L113" s="271">
        <f>SUM(L103:L112)</f>
        <v>599647.60800000001</v>
      </c>
      <c r="M113" s="270">
        <f>SUM(M102:M112)</f>
        <v>22</v>
      </c>
      <c r="N113" s="270">
        <f t="shared" ref="N113" si="15">SUM(N102:N112)</f>
        <v>0</v>
      </c>
      <c r="O113" s="270">
        <f>SUM(O101:O112)</f>
        <v>24</v>
      </c>
      <c r="P113" s="270">
        <f t="shared" ref="P113:V113" si="16">SUM(P101:P112)</f>
        <v>0</v>
      </c>
      <c r="Q113" s="270">
        <f t="shared" si="16"/>
        <v>0</v>
      </c>
      <c r="R113" s="270">
        <f t="shared" si="16"/>
        <v>0</v>
      </c>
      <c r="S113" s="270">
        <f t="shared" si="16"/>
        <v>0</v>
      </c>
      <c r="T113" s="270">
        <f t="shared" si="16"/>
        <v>0</v>
      </c>
      <c r="U113" s="270">
        <f t="shared" si="16"/>
        <v>18</v>
      </c>
      <c r="V113" s="270">
        <f t="shared" si="16"/>
        <v>0</v>
      </c>
      <c r="W113" s="271">
        <f>SUM(W103:W112)</f>
        <v>599647.60800000001</v>
      </c>
    </row>
    <row r="114" spans="1:23" x14ac:dyDescent="0.2">
      <c r="A114" s="91"/>
      <c r="B114" s="2"/>
      <c r="C114" s="2"/>
      <c r="D114" s="2"/>
      <c r="E114" s="2"/>
      <c r="F114" s="2"/>
      <c r="G114" s="2"/>
      <c r="H114" s="2"/>
      <c r="I114" s="2"/>
      <c r="J114" s="2"/>
      <c r="K114" s="2"/>
      <c r="L114" s="2"/>
      <c r="M114" s="2"/>
      <c r="N114" s="2"/>
      <c r="O114" s="2"/>
      <c r="P114" s="2"/>
      <c r="Q114" s="2"/>
      <c r="R114" s="2"/>
      <c r="S114" s="2"/>
      <c r="T114" s="2"/>
      <c r="U114" s="2"/>
      <c r="V114" s="2"/>
      <c r="W114" s="2"/>
    </row>
    <row r="115" spans="1:23" x14ac:dyDescent="0.2">
      <c r="A115" s="91"/>
      <c r="B115" s="2"/>
      <c r="C115" s="2"/>
      <c r="D115" s="2"/>
      <c r="E115" s="2"/>
      <c r="F115" s="2"/>
      <c r="G115" s="2"/>
      <c r="H115" s="2"/>
      <c r="I115" s="2"/>
      <c r="J115" s="2"/>
      <c r="K115" s="2"/>
      <c r="L115" s="2"/>
      <c r="M115" s="2"/>
      <c r="N115" s="2"/>
      <c r="O115" s="2"/>
      <c r="P115" s="2"/>
      <c r="Q115" s="2"/>
      <c r="R115" s="2"/>
      <c r="S115" s="2"/>
      <c r="T115" s="2"/>
      <c r="U115" s="2"/>
      <c r="V115" s="2"/>
      <c r="W115" s="2"/>
    </row>
    <row r="116" spans="1:23" ht="14.25" customHeight="1" thickBot="1" x14ac:dyDescent="0.25">
      <c r="A116" s="259" t="s">
        <v>418</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row>
    <row r="117" spans="1:23" ht="14.25" customHeight="1" x14ac:dyDescent="0.2">
      <c r="A117" s="646" t="s">
        <v>362</v>
      </c>
      <c r="B117" s="1470" t="s">
        <v>363</v>
      </c>
      <c r="C117" s="1471"/>
      <c r="D117" s="1471"/>
      <c r="E117" s="1471"/>
      <c r="F117" s="1471"/>
      <c r="G117" s="1471"/>
      <c r="H117" s="1471"/>
      <c r="I117" s="1471"/>
      <c r="J117" s="1471"/>
      <c r="K117" s="1471"/>
      <c r="L117" s="1472"/>
      <c r="M117" s="1470" t="s">
        <v>364</v>
      </c>
      <c r="N117" s="1471"/>
      <c r="O117" s="1471"/>
      <c r="P117" s="1471"/>
      <c r="Q117" s="1471"/>
      <c r="R117" s="1471"/>
      <c r="S117" s="1471"/>
      <c r="T117" s="1471"/>
      <c r="U117" s="1471"/>
      <c r="V117" s="1471"/>
      <c r="W117" s="1472"/>
    </row>
    <row r="118" spans="1:23" ht="118.5" x14ac:dyDescent="0.2">
      <c r="A118" s="647" t="s">
        <v>365</v>
      </c>
      <c r="B118" s="648" t="s">
        <v>366</v>
      </c>
      <c r="C118" s="648" t="s">
        <v>367</v>
      </c>
      <c r="D118" s="649" t="s">
        <v>368</v>
      </c>
      <c r="E118" s="649" t="s">
        <v>369</v>
      </c>
      <c r="F118" s="649" t="s">
        <v>370</v>
      </c>
      <c r="G118" s="649" t="s">
        <v>371</v>
      </c>
      <c r="H118" s="649" t="s">
        <v>372</v>
      </c>
      <c r="I118" s="649" t="s">
        <v>373</v>
      </c>
      <c r="J118" s="650" t="s">
        <v>374</v>
      </c>
      <c r="K118" s="651" t="s">
        <v>375</v>
      </c>
      <c r="L118" s="652" t="s">
        <v>376</v>
      </c>
      <c r="M118" s="648" t="s">
        <v>366</v>
      </c>
      <c r="N118" s="648" t="s">
        <v>367</v>
      </c>
      <c r="O118" s="649" t="s">
        <v>368</v>
      </c>
      <c r="P118" s="649" t="s">
        <v>369</v>
      </c>
      <c r="Q118" s="649" t="s">
        <v>370</v>
      </c>
      <c r="R118" s="649" t="s">
        <v>371</v>
      </c>
      <c r="S118" s="649" t="s">
        <v>372</v>
      </c>
      <c r="T118" s="649" t="s">
        <v>373</v>
      </c>
      <c r="U118" s="650" t="s">
        <v>374</v>
      </c>
      <c r="V118" s="651" t="s">
        <v>375</v>
      </c>
      <c r="W118" s="652" t="s">
        <v>377</v>
      </c>
    </row>
    <row r="119" spans="1:23" x14ac:dyDescent="0.2">
      <c r="A119" s="8"/>
      <c r="L119" s="11"/>
      <c r="W119" s="11"/>
    </row>
    <row r="120" spans="1:23" x14ac:dyDescent="0.2">
      <c r="A120" s="182" t="s">
        <v>378</v>
      </c>
      <c r="B120" s="2"/>
      <c r="C120" s="2"/>
      <c r="D120" s="2"/>
      <c r="E120" s="2"/>
      <c r="F120" s="2"/>
      <c r="G120" s="2"/>
      <c r="H120" s="2"/>
      <c r="I120" s="2"/>
      <c r="J120" s="2"/>
      <c r="K120" s="2"/>
      <c r="L120" s="183"/>
      <c r="M120" s="2"/>
      <c r="N120" s="2"/>
      <c r="O120" s="2"/>
      <c r="P120" s="2"/>
      <c r="Q120" s="2"/>
      <c r="R120" s="2"/>
      <c r="S120" s="2"/>
      <c r="T120" s="2"/>
      <c r="U120" s="2"/>
      <c r="V120" s="2"/>
      <c r="W120" s="183"/>
    </row>
    <row r="121" spans="1:23" x14ac:dyDescent="0.2">
      <c r="A121" s="8" t="s">
        <v>419</v>
      </c>
      <c r="B121" s="7">
        <v>1</v>
      </c>
      <c r="K121" s="163">
        <v>3800.11</v>
      </c>
      <c r="L121" s="162">
        <v>46601.32</v>
      </c>
      <c r="M121" s="7">
        <f>B121:B137</f>
        <v>1</v>
      </c>
      <c r="T121" s="163">
        <f>K121</f>
        <v>3800.11</v>
      </c>
      <c r="U121" s="163">
        <f>L121</f>
        <v>46601.32</v>
      </c>
      <c r="V121" s="7">
        <v>3800.11</v>
      </c>
      <c r="W121" s="11">
        <v>46601.32</v>
      </c>
    </row>
    <row r="122" spans="1:23" x14ac:dyDescent="0.2">
      <c r="A122" s="8" t="s">
        <v>420</v>
      </c>
      <c r="B122" s="7">
        <v>5</v>
      </c>
      <c r="K122" s="163">
        <v>13663.35</v>
      </c>
      <c r="L122" s="162">
        <v>168960.2</v>
      </c>
      <c r="M122" s="7">
        <f>B122:B138</f>
        <v>5</v>
      </c>
      <c r="T122" s="163">
        <f>K122</f>
        <v>13663.35</v>
      </c>
      <c r="U122" s="163">
        <f>L122</f>
        <v>168960.2</v>
      </c>
      <c r="V122" s="7">
        <v>13663.35</v>
      </c>
      <c r="W122" s="11">
        <v>168960.2</v>
      </c>
    </row>
    <row r="123" spans="1:23" x14ac:dyDescent="0.2">
      <c r="A123" s="8" t="s">
        <v>403</v>
      </c>
      <c r="K123" s="163"/>
      <c r="L123" s="162"/>
      <c r="W123" s="11"/>
    </row>
    <row r="124" spans="1:23" x14ac:dyDescent="0.2">
      <c r="A124" s="8" t="s">
        <v>403</v>
      </c>
      <c r="K124" s="163"/>
      <c r="L124" s="162"/>
      <c r="W124" s="11"/>
    </row>
    <row r="125" spans="1:23" x14ac:dyDescent="0.2">
      <c r="A125" s="8" t="s">
        <v>403</v>
      </c>
      <c r="K125" s="163"/>
      <c r="L125" s="162"/>
      <c r="W125" s="11"/>
    </row>
    <row r="126" spans="1:23" x14ac:dyDescent="0.2">
      <c r="A126" s="8" t="s">
        <v>406</v>
      </c>
      <c r="K126" s="163"/>
      <c r="L126" s="162"/>
      <c r="W126" s="11"/>
    </row>
    <row r="127" spans="1:23" x14ac:dyDescent="0.2">
      <c r="A127" s="302"/>
      <c r="K127" s="163"/>
      <c r="L127" s="162"/>
      <c r="W127" s="11"/>
    </row>
    <row r="128" spans="1:23" x14ac:dyDescent="0.2">
      <c r="A128" s="182" t="s">
        <v>385</v>
      </c>
      <c r="B128" s="2"/>
      <c r="C128" s="2"/>
      <c r="D128" s="2"/>
      <c r="E128" s="2"/>
      <c r="F128" s="2"/>
      <c r="G128" s="2"/>
      <c r="H128" s="2"/>
      <c r="I128" s="2"/>
      <c r="J128" s="2"/>
      <c r="K128" s="171"/>
      <c r="L128" s="184"/>
      <c r="M128" s="2"/>
      <c r="N128" s="2"/>
      <c r="O128" s="2"/>
      <c r="P128" s="2"/>
      <c r="Q128" s="2"/>
      <c r="R128" s="2"/>
      <c r="S128" s="2"/>
      <c r="T128" s="2"/>
      <c r="U128" s="2"/>
      <c r="V128" s="2"/>
      <c r="W128" s="183"/>
    </row>
    <row r="129" spans="1:23" x14ac:dyDescent="0.2">
      <c r="A129" s="8" t="s">
        <v>421</v>
      </c>
      <c r="B129" s="7">
        <v>2</v>
      </c>
      <c r="K129" s="163">
        <v>3604.78</v>
      </c>
      <c r="L129" s="162">
        <v>45257.36</v>
      </c>
      <c r="M129" s="7">
        <f>B129</f>
        <v>2</v>
      </c>
      <c r="T129" s="163">
        <f>K129</f>
        <v>3604.78</v>
      </c>
      <c r="U129" s="163">
        <f>L129</f>
        <v>45257.36</v>
      </c>
      <c r="V129" s="7">
        <v>3604.78</v>
      </c>
      <c r="W129" s="11">
        <v>45257.36</v>
      </c>
    </row>
    <row r="130" spans="1:23" x14ac:dyDescent="0.2">
      <c r="A130" s="8" t="s">
        <v>422</v>
      </c>
      <c r="B130" s="7">
        <v>1</v>
      </c>
      <c r="K130" s="163">
        <v>1791.26</v>
      </c>
      <c r="L130" s="162">
        <v>22495.119999999999</v>
      </c>
      <c r="M130" s="7">
        <f t="shared" ref="M130:M131" si="17">B130</f>
        <v>1</v>
      </c>
      <c r="T130" s="163">
        <f t="shared" ref="T130:T131" si="18">K130</f>
        <v>1791.26</v>
      </c>
      <c r="U130" s="163">
        <f>L130</f>
        <v>22495.119999999999</v>
      </c>
      <c r="V130" s="7">
        <v>1791.26</v>
      </c>
      <c r="W130" s="11">
        <v>22495.119999999999</v>
      </c>
    </row>
    <row r="131" spans="1:23" x14ac:dyDescent="0.2">
      <c r="A131" s="8" t="s">
        <v>423</v>
      </c>
      <c r="B131" s="7">
        <v>2</v>
      </c>
      <c r="K131" s="163">
        <v>3762.52</v>
      </c>
      <c r="L131" s="162">
        <v>47150.239999999998</v>
      </c>
      <c r="M131" s="7">
        <f t="shared" si="17"/>
        <v>2</v>
      </c>
      <c r="T131" s="163">
        <f t="shared" si="18"/>
        <v>3762.52</v>
      </c>
      <c r="U131" s="163">
        <f>L131</f>
        <v>47150.239999999998</v>
      </c>
      <c r="V131" s="7">
        <v>3762.52</v>
      </c>
      <c r="W131" s="11">
        <v>47150.239999999998</v>
      </c>
    </row>
    <row r="132" spans="1:23" x14ac:dyDescent="0.2">
      <c r="A132" s="8" t="s">
        <v>407</v>
      </c>
      <c r="K132" s="163"/>
      <c r="L132" s="162"/>
      <c r="W132" s="11"/>
    </row>
    <row r="133" spans="1:23" x14ac:dyDescent="0.2">
      <c r="A133" s="8" t="s">
        <v>408</v>
      </c>
      <c r="K133" s="163"/>
      <c r="L133" s="162"/>
      <c r="W133" s="11"/>
    </row>
    <row r="134" spans="1:23" x14ac:dyDescent="0.2">
      <c r="A134" s="8"/>
      <c r="K134" s="163"/>
      <c r="L134" s="162"/>
      <c r="W134" s="11"/>
    </row>
    <row r="135" spans="1:23" x14ac:dyDescent="0.2">
      <c r="A135" s="182" t="s">
        <v>389</v>
      </c>
      <c r="B135" s="2"/>
      <c r="C135" s="2"/>
      <c r="D135" s="2"/>
      <c r="E135" s="2"/>
      <c r="F135" s="2"/>
      <c r="G135" s="2"/>
      <c r="H135" s="2"/>
      <c r="I135" s="2"/>
      <c r="J135" s="2"/>
      <c r="K135" s="171"/>
      <c r="L135" s="184"/>
      <c r="M135" s="2"/>
      <c r="N135" s="2"/>
      <c r="O135" s="2"/>
      <c r="P135" s="2"/>
      <c r="Q135" s="2"/>
      <c r="R135" s="2"/>
      <c r="S135" s="2"/>
      <c r="T135" s="2"/>
      <c r="U135" s="2"/>
      <c r="V135" s="2"/>
      <c r="W135" s="183"/>
    </row>
    <row r="136" spans="1:23" x14ac:dyDescent="0.2">
      <c r="A136" s="8" t="s">
        <v>424</v>
      </c>
      <c r="B136" s="7">
        <v>8</v>
      </c>
      <c r="K136" s="163">
        <v>12199.44</v>
      </c>
      <c r="L136" s="162">
        <v>154393.28</v>
      </c>
      <c r="M136" s="7">
        <v>8</v>
      </c>
      <c r="T136" s="163">
        <f>K136</f>
        <v>12199.44</v>
      </c>
      <c r="U136" s="163">
        <f>L136</f>
        <v>154393.28</v>
      </c>
      <c r="V136" s="7">
        <v>12199.44</v>
      </c>
      <c r="W136" s="11">
        <v>154393.28</v>
      </c>
    </row>
    <row r="137" spans="1:23" x14ac:dyDescent="0.2">
      <c r="A137" s="8" t="s">
        <v>425</v>
      </c>
      <c r="B137" s="7">
        <v>4</v>
      </c>
      <c r="K137" s="163">
        <v>6068.68</v>
      </c>
      <c r="L137" s="162">
        <v>76824.160000000003</v>
      </c>
      <c r="M137" s="7">
        <v>4</v>
      </c>
      <c r="T137" s="163">
        <f>K137</f>
        <v>6068.68</v>
      </c>
      <c r="U137" s="163">
        <f>L137</f>
        <v>76824.160000000003</v>
      </c>
      <c r="V137" s="7">
        <v>6068.68</v>
      </c>
      <c r="W137" s="11">
        <v>76824.160000000003</v>
      </c>
    </row>
    <row r="138" spans="1:23" x14ac:dyDescent="0.2">
      <c r="A138" s="8" t="s">
        <v>403</v>
      </c>
      <c r="K138" s="163"/>
      <c r="L138" s="162"/>
      <c r="W138" s="11"/>
    </row>
    <row r="139" spans="1:23" x14ac:dyDescent="0.2">
      <c r="A139" s="8" t="s">
        <v>409</v>
      </c>
      <c r="K139" s="163"/>
      <c r="L139" s="162"/>
      <c r="W139" s="11"/>
    </row>
    <row r="140" spans="1:23" x14ac:dyDescent="0.2">
      <c r="A140" s="8"/>
      <c r="L140" s="11"/>
      <c r="W140" s="11"/>
    </row>
    <row r="141" spans="1:23" x14ac:dyDescent="0.2">
      <c r="A141" s="182" t="s">
        <v>393</v>
      </c>
      <c r="B141" s="2"/>
      <c r="C141" s="2"/>
      <c r="D141" s="2"/>
      <c r="E141" s="2"/>
      <c r="F141" s="2"/>
      <c r="G141" s="2"/>
      <c r="H141" s="2"/>
      <c r="I141" s="2"/>
      <c r="J141" s="2"/>
      <c r="K141" s="2"/>
      <c r="L141" s="183"/>
      <c r="M141" s="2"/>
      <c r="N141" s="2"/>
      <c r="O141" s="2"/>
      <c r="P141" s="2"/>
      <c r="Q141" s="2"/>
      <c r="R141" s="2"/>
      <c r="S141" s="2"/>
      <c r="T141" s="2"/>
      <c r="U141" s="2"/>
      <c r="V141" s="2"/>
      <c r="W141" s="183"/>
    </row>
    <row r="142" spans="1:23" x14ac:dyDescent="0.2">
      <c r="A142" s="8" t="s">
        <v>394</v>
      </c>
      <c r="L142" s="11"/>
      <c r="W142" s="11"/>
    </row>
    <row r="143" spans="1:23" x14ac:dyDescent="0.2">
      <c r="A143" s="8" t="s">
        <v>403</v>
      </c>
      <c r="L143" s="11"/>
      <c r="W143" s="11"/>
    </row>
    <row r="144" spans="1:23" x14ac:dyDescent="0.2">
      <c r="A144" s="8" t="s">
        <v>410</v>
      </c>
      <c r="L144" s="11"/>
      <c r="W144" s="11"/>
    </row>
    <row r="145" spans="1:23" ht="12.75" thickBot="1" x14ac:dyDescent="0.25">
      <c r="A145" s="8"/>
      <c r="L145" s="11"/>
      <c r="W145" s="11"/>
    </row>
    <row r="146" spans="1:23" ht="12.75" thickBot="1" x14ac:dyDescent="0.25">
      <c r="A146" s="263" t="s">
        <v>400</v>
      </c>
      <c r="B146" s="270">
        <f>SUM(B121:B145)</f>
        <v>23</v>
      </c>
      <c r="C146" s="270"/>
      <c r="D146" s="270"/>
      <c r="E146" s="270"/>
      <c r="F146" s="270"/>
      <c r="G146" s="270"/>
      <c r="H146" s="270"/>
      <c r="I146" s="270"/>
      <c r="J146" s="270"/>
      <c r="K146" s="265">
        <f>SUM(K121:K145)</f>
        <v>44890.14</v>
      </c>
      <c r="L146" s="271">
        <f>SUM(L121:L145)</f>
        <v>561681.68000000005</v>
      </c>
      <c r="M146" s="270">
        <f>SUM(M121:M145)</f>
        <v>23</v>
      </c>
      <c r="N146" s="270"/>
      <c r="O146" s="270"/>
      <c r="P146" s="270"/>
      <c r="Q146" s="270"/>
      <c r="R146" s="270"/>
      <c r="S146" s="270"/>
      <c r="T146" s="287">
        <f>SUM(T121:T145)</f>
        <v>44890.14</v>
      </c>
      <c r="U146" s="287">
        <f>SUM(U121:U145)</f>
        <v>561681.68000000005</v>
      </c>
      <c r="V146" s="270">
        <f>SUM(V121:V145)</f>
        <v>44890.14</v>
      </c>
      <c r="W146" s="290">
        <f>SUM(W121:W145)</f>
        <v>561681.68000000005</v>
      </c>
    </row>
    <row r="148" spans="1:23" ht="16.5" customHeight="1" thickBot="1" x14ac:dyDescent="0.25">
      <c r="A148" s="257" t="s">
        <v>426</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x14ac:dyDescent="0.2">
      <c r="A149" s="653" t="s">
        <v>362</v>
      </c>
      <c r="B149" s="1470" t="s">
        <v>363</v>
      </c>
      <c r="C149" s="1471"/>
      <c r="D149" s="1471"/>
      <c r="E149" s="1471"/>
      <c r="F149" s="1471"/>
      <c r="G149" s="1471"/>
      <c r="H149" s="1471"/>
      <c r="I149" s="1471"/>
      <c r="J149" s="1471"/>
      <c r="K149" s="1471"/>
      <c r="L149" s="1472"/>
      <c r="M149" s="1471" t="s">
        <v>364</v>
      </c>
      <c r="N149" s="1471"/>
      <c r="O149" s="1471"/>
      <c r="P149" s="1471"/>
      <c r="Q149" s="1471"/>
      <c r="R149" s="1471"/>
      <c r="S149" s="1471"/>
      <c r="T149" s="1471"/>
      <c r="U149" s="1471"/>
      <c r="V149" s="1471"/>
      <c r="W149" s="1472"/>
    </row>
    <row r="150" spans="1:23" ht="118.5" x14ac:dyDescent="0.2">
      <c r="A150" s="654" t="s">
        <v>365</v>
      </c>
      <c r="B150" s="655" t="s">
        <v>366</v>
      </c>
      <c r="C150" s="648" t="s">
        <v>367</v>
      </c>
      <c r="D150" s="649" t="s">
        <v>368</v>
      </c>
      <c r="E150" s="649" t="s">
        <v>369</v>
      </c>
      <c r="F150" s="649" t="s">
        <v>370</v>
      </c>
      <c r="G150" s="649" t="s">
        <v>371</v>
      </c>
      <c r="H150" s="649" t="s">
        <v>372</v>
      </c>
      <c r="I150" s="649" t="s">
        <v>373</v>
      </c>
      <c r="J150" s="650" t="s">
        <v>374</v>
      </c>
      <c r="K150" s="651" t="s">
        <v>375</v>
      </c>
      <c r="L150" s="652" t="s">
        <v>376</v>
      </c>
      <c r="M150" s="648" t="s">
        <v>366</v>
      </c>
      <c r="N150" s="648" t="s">
        <v>367</v>
      </c>
      <c r="O150" s="649" t="s">
        <v>368</v>
      </c>
      <c r="P150" s="649" t="s">
        <v>369</v>
      </c>
      <c r="Q150" s="649" t="s">
        <v>370</v>
      </c>
      <c r="R150" s="649" t="s">
        <v>371</v>
      </c>
      <c r="S150" s="649" t="s">
        <v>372</v>
      </c>
      <c r="T150" s="649" t="s">
        <v>373</v>
      </c>
      <c r="U150" s="650" t="s">
        <v>374</v>
      </c>
      <c r="V150" s="651" t="s">
        <v>375</v>
      </c>
      <c r="W150" s="652" t="s">
        <v>377</v>
      </c>
    </row>
    <row r="151" spans="1:23" x14ac:dyDescent="0.2">
      <c r="A151" s="14"/>
      <c r="B151" s="185"/>
      <c r="L151" s="11"/>
      <c r="W151" s="11"/>
    </row>
    <row r="152" spans="1:23" x14ac:dyDescent="0.2">
      <c r="A152" s="186" t="s">
        <v>378</v>
      </c>
      <c r="B152" s="187"/>
      <c r="C152" s="161"/>
      <c r="D152" s="161"/>
      <c r="E152" s="161"/>
      <c r="F152" s="161"/>
      <c r="G152" s="161"/>
      <c r="H152" s="161"/>
      <c r="I152" s="161"/>
      <c r="J152" s="161"/>
      <c r="K152" s="161"/>
      <c r="L152" s="10"/>
      <c r="M152" s="161"/>
      <c r="N152" s="161"/>
      <c r="O152" s="161"/>
      <c r="P152" s="161"/>
      <c r="Q152" s="161"/>
      <c r="R152" s="161"/>
      <c r="S152" s="161"/>
      <c r="T152" s="161"/>
      <c r="U152" s="161"/>
      <c r="V152" s="161"/>
      <c r="W152" s="10"/>
    </row>
    <row r="153" spans="1:23" x14ac:dyDescent="0.2">
      <c r="A153" s="14" t="s">
        <v>381</v>
      </c>
      <c r="B153" s="185">
        <v>1</v>
      </c>
      <c r="K153" s="7">
        <v>1</v>
      </c>
      <c r="L153" s="180">
        <v>49923.76</v>
      </c>
      <c r="M153" s="185">
        <v>1</v>
      </c>
      <c r="V153" s="7">
        <v>1</v>
      </c>
      <c r="W153" s="180">
        <v>49923.76</v>
      </c>
    </row>
    <row r="154" spans="1:23" x14ac:dyDescent="0.2">
      <c r="A154" s="14" t="s">
        <v>383</v>
      </c>
      <c r="B154" s="185">
        <v>5</v>
      </c>
      <c r="K154" s="7">
        <v>5</v>
      </c>
      <c r="L154" s="175">
        <v>206932.4</v>
      </c>
      <c r="M154" s="185">
        <v>5</v>
      </c>
      <c r="V154" s="7">
        <v>5</v>
      </c>
      <c r="W154" s="175">
        <v>206932.4</v>
      </c>
    </row>
    <row r="155" spans="1:23" x14ac:dyDescent="0.2">
      <c r="A155" s="186" t="s">
        <v>385</v>
      </c>
      <c r="B155" s="187"/>
      <c r="C155" s="161"/>
      <c r="D155" s="161"/>
      <c r="E155" s="161"/>
      <c r="F155" s="161"/>
      <c r="G155" s="161"/>
      <c r="H155" s="161"/>
      <c r="I155" s="161"/>
      <c r="J155" s="161"/>
      <c r="K155" s="161"/>
      <c r="L155" s="10"/>
      <c r="M155" s="187"/>
      <c r="N155" s="161"/>
      <c r="O155" s="161"/>
      <c r="P155" s="161"/>
      <c r="Q155" s="161"/>
      <c r="R155" s="161"/>
      <c r="S155" s="161"/>
      <c r="T155" s="161"/>
      <c r="U155" s="161"/>
      <c r="V155" s="161"/>
      <c r="W155" s="10"/>
    </row>
    <row r="156" spans="1:23" x14ac:dyDescent="0.2">
      <c r="A156" s="14" t="s">
        <v>386</v>
      </c>
      <c r="B156" s="188">
        <v>3</v>
      </c>
      <c r="C156" s="189"/>
      <c r="D156" s="189"/>
      <c r="E156" s="189"/>
      <c r="F156" s="189"/>
      <c r="G156" s="189"/>
      <c r="H156" s="189"/>
      <c r="I156" s="189"/>
      <c r="J156" s="189"/>
      <c r="K156" s="189">
        <v>3</v>
      </c>
      <c r="L156" s="180">
        <v>84592.56</v>
      </c>
      <c r="M156" s="188">
        <v>3</v>
      </c>
      <c r="N156" s="189"/>
      <c r="O156" s="189"/>
      <c r="P156" s="189"/>
      <c r="Q156" s="189"/>
      <c r="R156" s="189"/>
      <c r="S156" s="189"/>
      <c r="T156" s="189"/>
      <c r="U156" s="189"/>
      <c r="V156" s="189">
        <v>3</v>
      </c>
      <c r="W156" s="180">
        <v>84592.56</v>
      </c>
    </row>
    <row r="157" spans="1:23" x14ac:dyDescent="0.2">
      <c r="A157" s="14" t="s">
        <v>387</v>
      </c>
      <c r="B157" s="188">
        <v>3</v>
      </c>
      <c r="C157" s="189"/>
      <c r="D157" s="189"/>
      <c r="E157" s="189"/>
      <c r="F157" s="189"/>
      <c r="G157" s="189"/>
      <c r="H157" s="189"/>
      <c r="I157" s="189"/>
      <c r="J157" s="189"/>
      <c r="K157" s="189">
        <v>3</v>
      </c>
      <c r="L157" s="180">
        <v>83798.759999999995</v>
      </c>
      <c r="M157" s="188">
        <v>3</v>
      </c>
      <c r="N157" s="189"/>
      <c r="O157" s="189"/>
      <c r="P157" s="189"/>
      <c r="Q157" s="189"/>
      <c r="R157" s="189"/>
      <c r="S157" s="189"/>
      <c r="T157" s="189"/>
      <c r="U157" s="189"/>
      <c r="V157" s="189">
        <v>3</v>
      </c>
      <c r="W157" s="180">
        <v>83798.759999999995</v>
      </c>
    </row>
    <row r="158" spans="1:23" x14ac:dyDescent="0.2">
      <c r="A158" s="186" t="s">
        <v>389</v>
      </c>
      <c r="B158" s="187"/>
      <c r="C158" s="161"/>
      <c r="D158" s="161"/>
      <c r="E158" s="161"/>
      <c r="F158" s="161"/>
      <c r="G158" s="161"/>
      <c r="H158" s="161"/>
      <c r="I158" s="161"/>
      <c r="J158" s="161"/>
      <c r="K158" s="161"/>
      <c r="L158" s="10"/>
      <c r="M158" s="187"/>
      <c r="N158" s="161"/>
      <c r="O158" s="161"/>
      <c r="P158" s="161"/>
      <c r="Q158" s="161"/>
      <c r="R158" s="161"/>
      <c r="S158" s="161"/>
      <c r="T158" s="161"/>
      <c r="U158" s="161"/>
      <c r="V158" s="161"/>
      <c r="W158" s="10"/>
    </row>
    <row r="159" spans="1:23" x14ac:dyDescent="0.2">
      <c r="A159" s="14" t="s">
        <v>390</v>
      </c>
      <c r="B159" s="185">
        <v>5</v>
      </c>
      <c r="K159" s="7">
        <v>5</v>
      </c>
      <c r="L159" s="175">
        <v>122298.32</v>
      </c>
      <c r="M159" s="185">
        <v>5</v>
      </c>
      <c r="V159" s="7">
        <v>5</v>
      </c>
      <c r="W159" s="175">
        <v>122298.32</v>
      </c>
    </row>
    <row r="160" spans="1:23" x14ac:dyDescent="0.2">
      <c r="A160" s="14" t="s">
        <v>391</v>
      </c>
      <c r="B160" s="185">
        <v>6</v>
      </c>
      <c r="K160" s="7">
        <v>6</v>
      </c>
      <c r="L160" s="175">
        <v>144769.92000000001</v>
      </c>
      <c r="M160" s="185">
        <v>6</v>
      </c>
      <c r="V160" s="7">
        <v>6</v>
      </c>
      <c r="W160" s="175">
        <v>144769.92000000001</v>
      </c>
    </row>
    <row r="161" spans="1:23" x14ac:dyDescent="0.2">
      <c r="A161" s="186" t="s">
        <v>393</v>
      </c>
      <c r="B161" s="187"/>
      <c r="C161" s="161"/>
      <c r="D161" s="161"/>
      <c r="E161" s="161"/>
      <c r="F161" s="161"/>
      <c r="G161" s="161"/>
      <c r="H161" s="161"/>
      <c r="I161" s="161"/>
      <c r="J161" s="161"/>
      <c r="K161" s="161"/>
      <c r="L161" s="10"/>
      <c r="M161" s="187"/>
      <c r="N161" s="161"/>
      <c r="O161" s="161"/>
      <c r="P161" s="161"/>
      <c r="Q161" s="161"/>
      <c r="R161" s="161"/>
      <c r="S161" s="161"/>
      <c r="T161" s="161"/>
      <c r="U161" s="161"/>
      <c r="V161" s="161"/>
      <c r="W161" s="10"/>
    </row>
    <row r="162" spans="1:23" ht="12.75" thickBot="1" x14ac:dyDescent="0.25">
      <c r="A162" s="14" t="s">
        <v>398</v>
      </c>
      <c r="B162" s="188">
        <v>1</v>
      </c>
      <c r="C162" s="189"/>
      <c r="D162" s="189"/>
      <c r="E162" s="189"/>
      <c r="F162" s="189"/>
      <c r="G162" s="189"/>
      <c r="H162" s="189"/>
      <c r="I162" s="189"/>
      <c r="J162" s="189"/>
      <c r="K162" s="189">
        <v>1</v>
      </c>
      <c r="L162" s="190">
        <v>26600</v>
      </c>
      <c r="M162" s="188">
        <v>1</v>
      </c>
      <c r="N162" s="189"/>
      <c r="O162" s="189"/>
      <c r="P162" s="189"/>
      <c r="Q162" s="189"/>
      <c r="R162" s="189"/>
      <c r="S162" s="189"/>
      <c r="T162" s="189"/>
      <c r="U162" s="189"/>
      <c r="V162" s="189">
        <v>1</v>
      </c>
      <c r="W162" s="190">
        <v>26600</v>
      </c>
    </row>
    <row r="163" spans="1:23" ht="12.75" thickBot="1" x14ac:dyDescent="0.25">
      <c r="A163" s="269" t="s">
        <v>400</v>
      </c>
      <c r="B163" s="288">
        <f>SUM(B151:B162)</f>
        <v>24</v>
      </c>
      <c r="C163" s="270"/>
      <c r="D163" s="270"/>
      <c r="E163" s="270"/>
      <c r="F163" s="270"/>
      <c r="G163" s="270"/>
      <c r="H163" s="270"/>
      <c r="I163" s="270"/>
      <c r="J163" s="270"/>
      <c r="K163" s="288">
        <f>SUM(K151:K162)</f>
        <v>24</v>
      </c>
      <c r="L163" s="289">
        <f>SUM(L151:L162)</f>
        <v>718915.72000000009</v>
      </c>
      <c r="M163" s="288">
        <f>SUM(M151:M162)</f>
        <v>24</v>
      </c>
      <c r="N163" s="270"/>
      <c r="O163" s="270"/>
      <c r="P163" s="270"/>
      <c r="Q163" s="270"/>
      <c r="R163" s="270"/>
      <c r="S163" s="270"/>
      <c r="T163" s="270"/>
      <c r="U163" s="270"/>
      <c r="V163" s="288">
        <f>SUM(V151:V162)</f>
        <v>24</v>
      </c>
      <c r="W163" s="289">
        <f>SUM(W151:W162)</f>
        <v>718915.72000000009</v>
      </c>
    </row>
    <row r="165" spans="1:23" ht="14.25" customHeight="1" thickBot="1" x14ac:dyDescent="0.25">
      <c r="A165" s="257" t="s">
        <v>427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4.25" customHeight="1" x14ac:dyDescent="0.2">
      <c r="A166" s="646" t="s">
        <v>362</v>
      </c>
      <c r="B166" s="1470" t="s">
        <v>363</v>
      </c>
      <c r="C166" s="1471"/>
      <c r="D166" s="1471"/>
      <c r="E166" s="1471"/>
      <c r="F166" s="1471"/>
      <c r="G166" s="1471"/>
      <c r="H166" s="1471"/>
      <c r="I166" s="1471"/>
      <c r="J166" s="1471"/>
      <c r="K166" s="1471"/>
      <c r="L166" s="1472"/>
      <c r="M166" s="1470" t="s">
        <v>364</v>
      </c>
      <c r="N166" s="1471"/>
      <c r="O166" s="1471"/>
      <c r="P166" s="1471"/>
      <c r="Q166" s="1471"/>
      <c r="R166" s="1471"/>
      <c r="S166" s="1471"/>
      <c r="T166" s="1471"/>
      <c r="U166" s="1471"/>
      <c r="V166" s="1471"/>
      <c r="W166" s="1472"/>
    </row>
    <row r="167" spans="1:23" ht="111" x14ac:dyDescent="0.2">
      <c r="A167" s="647" t="s">
        <v>365</v>
      </c>
      <c r="B167" s="648" t="s">
        <v>366</v>
      </c>
      <c r="C167" s="648" t="s">
        <v>367</v>
      </c>
      <c r="D167" s="649" t="s">
        <v>368</v>
      </c>
      <c r="E167" s="649" t="s">
        <v>369</v>
      </c>
      <c r="F167" s="649" t="s">
        <v>370</v>
      </c>
      <c r="G167" s="649" t="s">
        <v>371</v>
      </c>
      <c r="H167" s="649" t="s">
        <v>372</v>
      </c>
      <c r="I167" s="649" t="s">
        <v>373</v>
      </c>
      <c r="J167" s="650" t="s">
        <v>374</v>
      </c>
      <c r="K167" s="651" t="s">
        <v>375</v>
      </c>
      <c r="L167" s="652" t="s">
        <v>376</v>
      </c>
      <c r="M167" s="648" t="s">
        <v>366</v>
      </c>
      <c r="N167" s="648" t="s">
        <v>367</v>
      </c>
      <c r="O167" s="649" t="s">
        <v>368</v>
      </c>
      <c r="P167" s="649" t="s">
        <v>369</v>
      </c>
      <c r="Q167" s="649" t="s">
        <v>370</v>
      </c>
      <c r="R167" s="649" t="s">
        <v>371</v>
      </c>
      <c r="S167" s="649" t="s">
        <v>372</v>
      </c>
      <c r="T167" s="649" t="s">
        <v>373</v>
      </c>
      <c r="U167" s="650" t="s">
        <v>374</v>
      </c>
      <c r="V167" s="651" t="s">
        <v>375</v>
      </c>
      <c r="W167" s="652" t="s">
        <v>377</v>
      </c>
    </row>
    <row r="168" spans="1:23" x14ac:dyDescent="0.2">
      <c r="A168" s="8"/>
      <c r="L168" s="11"/>
      <c r="W168" s="11"/>
    </row>
    <row r="169" spans="1:23" x14ac:dyDescent="0.2">
      <c r="A169" s="9" t="s">
        <v>378</v>
      </c>
      <c r="B169" s="161"/>
      <c r="C169" s="161"/>
      <c r="D169" s="161"/>
      <c r="E169" s="161"/>
      <c r="F169" s="161"/>
      <c r="G169" s="161"/>
      <c r="H169" s="161"/>
      <c r="I169" s="161"/>
      <c r="J169" s="161"/>
      <c r="K169" s="161"/>
      <c r="L169" s="10"/>
      <c r="M169" s="161"/>
      <c r="N169" s="161"/>
      <c r="O169" s="161"/>
      <c r="P169" s="161"/>
      <c r="Q169" s="161"/>
      <c r="R169" s="161"/>
      <c r="S169" s="161"/>
      <c r="T169" s="161"/>
      <c r="U169" s="161"/>
      <c r="V169" s="161"/>
      <c r="W169" s="10"/>
    </row>
    <row r="170" spans="1:23" x14ac:dyDescent="0.2">
      <c r="A170" s="8" t="s">
        <v>402</v>
      </c>
      <c r="L170" s="11"/>
      <c r="W170" s="11"/>
    </row>
    <row r="171" spans="1:23" x14ac:dyDescent="0.2">
      <c r="A171" s="8" t="s">
        <v>404</v>
      </c>
      <c r="B171" s="7">
        <v>1</v>
      </c>
      <c r="K171" s="163">
        <v>25437.46</v>
      </c>
      <c r="L171" s="162">
        <v>52208.22</v>
      </c>
      <c r="M171" s="7">
        <v>1</v>
      </c>
      <c r="V171" s="163">
        <v>25437.46</v>
      </c>
      <c r="W171" s="162">
        <v>52208.22</v>
      </c>
    </row>
    <row r="172" spans="1:23" x14ac:dyDescent="0.2">
      <c r="A172" s="8" t="s">
        <v>405</v>
      </c>
      <c r="B172" s="7">
        <v>5</v>
      </c>
      <c r="K172" s="163">
        <v>96903.4</v>
      </c>
      <c r="L172" s="162">
        <v>189933.3</v>
      </c>
      <c r="M172" s="7">
        <v>5</v>
      </c>
      <c r="V172" s="163">
        <v>96903.4</v>
      </c>
      <c r="W172" s="162">
        <v>189933.3</v>
      </c>
    </row>
    <row r="173" spans="1:23" x14ac:dyDescent="0.2">
      <c r="A173" s="8" t="s">
        <v>403</v>
      </c>
      <c r="K173" s="163"/>
      <c r="L173" s="162"/>
      <c r="V173" s="163"/>
      <c r="W173" s="162"/>
    </row>
    <row r="174" spans="1:23" x14ac:dyDescent="0.2">
      <c r="A174" s="8" t="s">
        <v>403</v>
      </c>
      <c r="K174" s="163"/>
      <c r="L174" s="162"/>
      <c r="V174" s="163"/>
      <c r="W174" s="162"/>
    </row>
    <row r="175" spans="1:23" x14ac:dyDescent="0.2">
      <c r="A175" s="8" t="s">
        <v>406</v>
      </c>
      <c r="K175" s="163"/>
      <c r="L175" s="162"/>
      <c r="V175" s="163"/>
      <c r="W175" s="162"/>
    </row>
    <row r="176" spans="1:23" x14ac:dyDescent="0.2">
      <c r="A176" s="302"/>
      <c r="K176" s="163"/>
      <c r="L176" s="162"/>
      <c r="V176" s="163"/>
      <c r="W176" s="162"/>
    </row>
    <row r="177" spans="1:23" x14ac:dyDescent="0.2">
      <c r="A177" s="9" t="s">
        <v>385</v>
      </c>
      <c r="B177" s="161"/>
      <c r="C177" s="161"/>
      <c r="D177" s="161"/>
      <c r="E177" s="161"/>
      <c r="F177" s="161"/>
      <c r="G177" s="161"/>
      <c r="H177" s="161"/>
      <c r="I177" s="161"/>
      <c r="J177" s="161"/>
      <c r="K177" s="170"/>
      <c r="L177" s="165"/>
      <c r="M177" s="161"/>
      <c r="N177" s="161"/>
      <c r="O177" s="161"/>
      <c r="P177" s="161"/>
      <c r="Q177" s="161"/>
      <c r="R177" s="161"/>
      <c r="S177" s="161"/>
      <c r="T177" s="161"/>
      <c r="U177" s="161"/>
      <c r="V177" s="170"/>
      <c r="W177" s="165"/>
    </row>
    <row r="178" spans="1:23" x14ac:dyDescent="0.2">
      <c r="A178" s="8" t="s">
        <v>386</v>
      </c>
      <c r="K178" s="163"/>
      <c r="L178" s="162"/>
      <c r="V178" s="163"/>
      <c r="W178" s="162"/>
    </row>
    <row r="179" spans="1:23" x14ac:dyDescent="0.2">
      <c r="A179" s="8" t="s">
        <v>387</v>
      </c>
      <c r="B179" s="7">
        <v>6</v>
      </c>
      <c r="K179" s="163">
        <v>81806.28</v>
      </c>
      <c r="L179" s="162">
        <v>158964.35999999999</v>
      </c>
      <c r="M179" s="7">
        <v>6</v>
      </c>
      <c r="V179" s="163">
        <v>81806.28</v>
      </c>
      <c r="W179" s="162">
        <v>158964.35999999999</v>
      </c>
    </row>
    <row r="180" spans="1:23" x14ac:dyDescent="0.2">
      <c r="A180" s="8" t="s">
        <v>408</v>
      </c>
      <c r="K180" s="163"/>
      <c r="L180" s="162"/>
      <c r="V180" s="163"/>
      <c r="W180" s="162"/>
    </row>
    <row r="181" spans="1:23" x14ac:dyDescent="0.2">
      <c r="A181" s="8"/>
      <c r="K181" s="163"/>
      <c r="L181" s="162"/>
      <c r="V181" s="163"/>
      <c r="W181" s="162"/>
    </row>
    <row r="182" spans="1:23" x14ac:dyDescent="0.2">
      <c r="A182" s="9" t="s">
        <v>389</v>
      </c>
      <c r="B182" s="161"/>
      <c r="C182" s="161"/>
      <c r="D182" s="161"/>
      <c r="E182" s="161"/>
      <c r="F182" s="161"/>
      <c r="G182" s="161"/>
      <c r="H182" s="161"/>
      <c r="I182" s="161"/>
      <c r="J182" s="161"/>
      <c r="K182" s="170"/>
      <c r="L182" s="165"/>
      <c r="M182" s="161"/>
      <c r="N182" s="161"/>
      <c r="O182" s="161"/>
      <c r="P182" s="161"/>
      <c r="Q182" s="161"/>
      <c r="R182" s="161"/>
      <c r="S182" s="161"/>
      <c r="T182" s="161"/>
      <c r="U182" s="161"/>
      <c r="V182" s="170"/>
      <c r="W182" s="165"/>
    </row>
    <row r="183" spans="1:23" x14ac:dyDescent="0.2">
      <c r="A183" s="8" t="s">
        <v>390</v>
      </c>
      <c r="B183" s="7">
        <v>7</v>
      </c>
      <c r="K183" s="163">
        <v>86735.18</v>
      </c>
      <c r="L183" s="162">
        <v>168047.46</v>
      </c>
      <c r="M183" s="7">
        <v>7</v>
      </c>
      <c r="V183" s="163">
        <v>86735.18</v>
      </c>
      <c r="W183" s="162">
        <v>168047.46</v>
      </c>
    </row>
    <row r="184" spans="1:23" x14ac:dyDescent="0.2">
      <c r="A184" s="8" t="s">
        <v>391</v>
      </c>
      <c r="B184" s="7">
        <v>5</v>
      </c>
      <c r="K184" s="163">
        <v>55147.64</v>
      </c>
      <c r="L184" s="162">
        <v>119921.94</v>
      </c>
      <c r="M184" s="7">
        <v>5</v>
      </c>
      <c r="V184" s="163">
        <v>55147.64</v>
      </c>
      <c r="W184" s="162">
        <v>119921.94</v>
      </c>
    </row>
    <row r="185" spans="1:23" x14ac:dyDescent="0.2">
      <c r="A185" s="8" t="s">
        <v>409</v>
      </c>
      <c r="K185" s="163"/>
      <c r="L185" s="162"/>
      <c r="V185" s="163"/>
      <c r="W185" s="162"/>
    </row>
    <row r="186" spans="1:23" x14ac:dyDescent="0.2">
      <c r="A186" s="8"/>
      <c r="K186" s="163"/>
      <c r="L186" s="162"/>
      <c r="V186" s="163"/>
      <c r="W186" s="162"/>
    </row>
    <row r="187" spans="1:23" x14ac:dyDescent="0.2">
      <c r="A187" s="9" t="s">
        <v>393</v>
      </c>
      <c r="B187" s="161"/>
      <c r="C187" s="161"/>
      <c r="D187" s="161"/>
      <c r="E187" s="161"/>
      <c r="F187" s="161"/>
      <c r="G187" s="161"/>
      <c r="H187" s="161"/>
      <c r="I187" s="161"/>
      <c r="J187" s="161"/>
      <c r="K187" s="170"/>
      <c r="L187" s="165"/>
      <c r="M187" s="161"/>
      <c r="N187" s="161"/>
      <c r="O187" s="161"/>
      <c r="P187" s="161"/>
      <c r="Q187" s="161"/>
      <c r="R187" s="161"/>
      <c r="S187" s="161"/>
      <c r="T187" s="161"/>
      <c r="U187" s="161"/>
      <c r="V187" s="170"/>
      <c r="W187" s="165"/>
    </row>
    <row r="188" spans="1:23" x14ac:dyDescent="0.2">
      <c r="A188" s="8" t="s">
        <v>394</v>
      </c>
      <c r="K188" s="163"/>
      <c r="L188" s="162"/>
      <c r="V188" s="163"/>
      <c r="W188" s="162"/>
    </row>
    <row r="189" spans="1:23" x14ac:dyDescent="0.2">
      <c r="A189" s="8" t="s">
        <v>403</v>
      </c>
      <c r="K189" s="163"/>
      <c r="L189" s="162"/>
      <c r="V189" s="163"/>
      <c r="W189" s="162"/>
    </row>
    <row r="190" spans="1:23" x14ac:dyDescent="0.2">
      <c r="A190" s="8" t="s">
        <v>410</v>
      </c>
      <c r="K190" s="163"/>
      <c r="L190" s="162"/>
      <c r="V190" s="163"/>
      <c r="W190" s="162"/>
    </row>
    <row r="191" spans="1:23" ht="12.75" thickBot="1" x14ac:dyDescent="0.25">
      <c r="A191" s="8"/>
      <c r="K191" s="163"/>
      <c r="L191" s="162"/>
      <c r="V191" s="163"/>
      <c r="W191" s="162"/>
    </row>
    <row r="192" spans="1:23" ht="12.75" thickBot="1" x14ac:dyDescent="0.25">
      <c r="A192" s="263" t="s">
        <v>400</v>
      </c>
      <c r="B192" s="270">
        <f>SUM(B171:B191)</f>
        <v>24</v>
      </c>
      <c r="C192" s="270"/>
      <c r="D192" s="270"/>
      <c r="E192" s="270"/>
      <c r="F192" s="270"/>
      <c r="G192" s="270"/>
      <c r="H192" s="270"/>
      <c r="I192" s="270"/>
      <c r="J192" s="270"/>
      <c r="K192" s="287">
        <f>SUM(K171:K191)</f>
        <v>346029.95999999996</v>
      </c>
      <c r="L192" s="287">
        <f>SUM(L171:L191)</f>
        <v>689075.28</v>
      </c>
      <c r="M192" s="270">
        <v>24</v>
      </c>
      <c r="N192" s="270"/>
      <c r="O192" s="270"/>
      <c r="P192" s="270"/>
      <c r="Q192" s="270"/>
      <c r="R192" s="270"/>
      <c r="S192" s="270"/>
      <c r="T192" s="270"/>
      <c r="U192" s="270"/>
      <c r="V192" s="287">
        <f>SUM(V171:V191)</f>
        <v>346029.95999999996</v>
      </c>
      <c r="W192" s="287">
        <f>SUM(W171:W191)</f>
        <v>689075.28</v>
      </c>
    </row>
    <row r="193" spans="1:23" x14ac:dyDescent="0.2">
      <c r="A193" s="2"/>
    </row>
    <row r="195" spans="1:23" ht="15.75" customHeight="1" thickBot="1" x14ac:dyDescent="0.25">
      <c r="A195" s="257" t="s">
        <v>428</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5.75" customHeight="1" x14ac:dyDescent="0.2">
      <c r="A196" s="646" t="s">
        <v>362</v>
      </c>
      <c r="B196" s="1470" t="s">
        <v>363</v>
      </c>
      <c r="C196" s="1471"/>
      <c r="D196" s="1471"/>
      <c r="E196" s="1471"/>
      <c r="F196" s="1471"/>
      <c r="G196" s="1471"/>
      <c r="H196" s="1471"/>
      <c r="I196" s="1471"/>
      <c r="J196" s="1471"/>
      <c r="K196" s="1471"/>
      <c r="L196" s="1472"/>
      <c r="M196" s="1470" t="s">
        <v>364</v>
      </c>
      <c r="N196" s="1471"/>
      <c r="O196" s="1471"/>
      <c r="P196" s="1471"/>
      <c r="Q196" s="1471"/>
      <c r="R196" s="1471"/>
      <c r="S196" s="1471"/>
      <c r="T196" s="1471"/>
      <c r="U196" s="1471"/>
      <c r="V196" s="1471"/>
      <c r="W196" s="1472"/>
    </row>
    <row r="197" spans="1:23" ht="118.5" x14ac:dyDescent="0.2">
      <c r="A197" s="647" t="s">
        <v>365</v>
      </c>
      <c r="B197" s="648" t="s">
        <v>366</v>
      </c>
      <c r="C197" s="648" t="s">
        <v>367</v>
      </c>
      <c r="D197" s="649" t="s">
        <v>368</v>
      </c>
      <c r="E197" s="649" t="s">
        <v>369</v>
      </c>
      <c r="F197" s="649" t="s">
        <v>370</v>
      </c>
      <c r="G197" s="649" t="s">
        <v>371</v>
      </c>
      <c r="H197" s="649" t="s">
        <v>372</v>
      </c>
      <c r="I197" s="649" t="s">
        <v>373</v>
      </c>
      <c r="J197" s="650" t="s">
        <v>374</v>
      </c>
      <c r="K197" s="651" t="s">
        <v>375</v>
      </c>
      <c r="L197" s="652" t="s">
        <v>376</v>
      </c>
      <c r="M197" s="648" t="s">
        <v>366</v>
      </c>
      <c r="N197" s="648" t="s">
        <v>367</v>
      </c>
      <c r="O197" s="649" t="s">
        <v>368</v>
      </c>
      <c r="P197" s="649" t="s">
        <v>369</v>
      </c>
      <c r="Q197" s="649" t="s">
        <v>370</v>
      </c>
      <c r="R197" s="649" t="s">
        <v>371</v>
      </c>
      <c r="S197" s="649" t="s">
        <v>372</v>
      </c>
      <c r="T197" s="649" t="s">
        <v>373</v>
      </c>
      <c r="U197" s="650" t="s">
        <v>374</v>
      </c>
      <c r="V197" s="651" t="s">
        <v>375</v>
      </c>
      <c r="W197" s="652" t="s">
        <v>377</v>
      </c>
    </row>
    <row r="198" spans="1:23" x14ac:dyDescent="0.2">
      <c r="A198" s="8"/>
      <c r="L198" s="11"/>
      <c r="V198" s="176"/>
      <c r="W198" s="11"/>
    </row>
    <row r="199" spans="1:23" x14ac:dyDescent="0.2">
      <c r="A199" s="9" t="s">
        <v>378</v>
      </c>
      <c r="B199" s="161"/>
      <c r="C199" s="161"/>
      <c r="D199" s="161"/>
      <c r="E199" s="161"/>
      <c r="F199" s="161"/>
      <c r="G199" s="161"/>
      <c r="H199" s="161"/>
      <c r="I199" s="161"/>
      <c r="J199" s="161"/>
      <c r="K199" s="161"/>
      <c r="L199" s="10"/>
      <c r="M199" s="161"/>
      <c r="N199" s="161"/>
      <c r="O199" s="161"/>
      <c r="P199" s="161"/>
      <c r="Q199" s="161"/>
      <c r="R199" s="161"/>
      <c r="S199" s="161"/>
      <c r="T199" s="161"/>
      <c r="U199" s="161"/>
      <c r="V199" s="177"/>
      <c r="W199" s="10"/>
    </row>
    <row r="200" spans="1:23" x14ac:dyDescent="0.2">
      <c r="A200" s="8" t="s">
        <v>402</v>
      </c>
      <c r="L200" s="11"/>
      <c r="V200" s="176"/>
      <c r="W200" s="11"/>
    </row>
    <row r="201" spans="1:23" x14ac:dyDescent="0.2">
      <c r="A201" s="8" t="s">
        <v>381</v>
      </c>
      <c r="B201" s="191">
        <v>1</v>
      </c>
      <c r="K201" s="192"/>
      <c r="L201" s="193">
        <f>'[2]F-09-PERSONAL'!$L$10</f>
        <v>83698.48</v>
      </c>
      <c r="M201" s="191">
        <v>1</v>
      </c>
      <c r="V201" s="194" t="s">
        <v>429</v>
      </c>
      <c r="W201" s="193">
        <f>L201</f>
        <v>83698.48</v>
      </c>
    </row>
    <row r="202" spans="1:23" x14ac:dyDescent="0.2">
      <c r="A202" s="8" t="s">
        <v>383</v>
      </c>
      <c r="B202" s="191">
        <v>6</v>
      </c>
      <c r="L202" s="193">
        <v>443176.16</v>
      </c>
      <c r="M202" s="191">
        <v>6</v>
      </c>
      <c r="V202" s="176" t="s">
        <v>430</v>
      </c>
      <c r="W202" s="193">
        <f t="shared" ref="W202:W203" si="19">L202</f>
        <v>443176.16</v>
      </c>
    </row>
    <row r="203" spans="1:23" x14ac:dyDescent="0.2">
      <c r="A203" s="8" t="s">
        <v>384</v>
      </c>
      <c r="B203" s="191">
        <v>1</v>
      </c>
      <c r="L203" s="193">
        <v>57026.2</v>
      </c>
      <c r="M203" s="191">
        <v>1</v>
      </c>
      <c r="V203" s="176" t="s">
        <v>429</v>
      </c>
      <c r="W203" s="193">
        <f t="shared" si="19"/>
        <v>57026.2</v>
      </c>
    </row>
    <row r="204" spans="1:23" x14ac:dyDescent="0.2">
      <c r="A204" s="9" t="s">
        <v>385</v>
      </c>
      <c r="B204" s="195"/>
      <c r="C204" s="161"/>
      <c r="D204" s="161"/>
      <c r="E204" s="161"/>
      <c r="F204" s="161"/>
      <c r="G204" s="161"/>
      <c r="H204" s="161"/>
      <c r="I204" s="161"/>
      <c r="J204" s="161"/>
      <c r="K204" s="161"/>
      <c r="L204" s="10"/>
      <c r="M204" s="161"/>
      <c r="N204" s="161"/>
      <c r="O204" s="161"/>
      <c r="P204" s="161"/>
      <c r="Q204" s="161"/>
      <c r="R204" s="161"/>
      <c r="S204" s="161"/>
      <c r="T204" s="161"/>
      <c r="U204" s="161"/>
      <c r="V204" s="177"/>
      <c r="W204" s="10"/>
    </row>
    <row r="205" spans="1:23" x14ac:dyDescent="0.2">
      <c r="A205" s="8" t="s">
        <v>387</v>
      </c>
      <c r="B205" s="191">
        <v>6</v>
      </c>
      <c r="L205" s="196">
        <v>251771.96</v>
      </c>
      <c r="M205" s="191">
        <v>6</v>
      </c>
      <c r="V205" s="176" t="s">
        <v>430</v>
      </c>
      <c r="W205" s="196">
        <f>L205</f>
        <v>251771.96</v>
      </c>
    </row>
    <row r="206" spans="1:23" x14ac:dyDescent="0.2">
      <c r="A206" s="9" t="s">
        <v>389</v>
      </c>
      <c r="B206" s="161"/>
      <c r="C206" s="161"/>
      <c r="D206" s="161"/>
      <c r="E206" s="161"/>
      <c r="F206" s="161"/>
      <c r="G206" s="161"/>
      <c r="H206" s="161"/>
      <c r="I206" s="161"/>
      <c r="J206" s="161"/>
      <c r="K206" s="161"/>
      <c r="L206" s="10"/>
      <c r="M206" s="161"/>
      <c r="N206" s="161"/>
      <c r="O206" s="161"/>
      <c r="P206" s="161"/>
      <c r="Q206" s="161"/>
      <c r="R206" s="161"/>
      <c r="S206" s="161"/>
      <c r="T206" s="161"/>
      <c r="U206" s="161"/>
      <c r="V206" s="177"/>
      <c r="W206" s="10"/>
    </row>
    <row r="207" spans="1:23" x14ac:dyDescent="0.2">
      <c r="A207" s="8" t="s">
        <v>390</v>
      </c>
      <c r="B207" s="191">
        <v>22</v>
      </c>
      <c r="L207" s="196">
        <v>784134.8</v>
      </c>
      <c r="M207" s="191">
        <v>20</v>
      </c>
      <c r="V207" s="176" t="s">
        <v>431</v>
      </c>
      <c r="W207" s="196">
        <f>L207</f>
        <v>784134.8</v>
      </c>
    </row>
    <row r="208" spans="1:23" x14ac:dyDescent="0.2">
      <c r="A208" s="8" t="s">
        <v>391</v>
      </c>
      <c r="B208" s="191">
        <v>10</v>
      </c>
      <c r="L208" s="193">
        <v>362879.48</v>
      </c>
      <c r="M208" s="191">
        <v>10</v>
      </c>
      <c r="V208" s="176" t="s">
        <v>432</v>
      </c>
      <c r="W208" s="196">
        <f>L208</f>
        <v>362879.48</v>
      </c>
    </row>
    <row r="209" spans="1:23" x14ac:dyDescent="0.2">
      <c r="A209" s="8" t="s">
        <v>403</v>
      </c>
      <c r="L209" s="11"/>
      <c r="V209" s="176"/>
      <c r="W209" s="11"/>
    </row>
    <row r="210" spans="1:23" x14ac:dyDescent="0.2">
      <c r="A210" s="8" t="s">
        <v>409</v>
      </c>
      <c r="L210" s="11"/>
      <c r="V210" s="176"/>
      <c r="W210" s="11"/>
    </row>
    <row r="211" spans="1:23" x14ac:dyDescent="0.2">
      <c r="A211" s="8"/>
      <c r="L211" s="11"/>
      <c r="V211" s="176"/>
      <c r="W211" s="11"/>
    </row>
    <row r="212" spans="1:23" x14ac:dyDescent="0.2">
      <c r="A212" s="9" t="s">
        <v>393</v>
      </c>
      <c r="B212" s="161"/>
      <c r="C212" s="161"/>
      <c r="D212" s="161"/>
      <c r="E212" s="161"/>
      <c r="F212" s="161"/>
      <c r="G212" s="161"/>
      <c r="H212" s="161"/>
      <c r="I212" s="161"/>
      <c r="J212" s="161"/>
      <c r="K212" s="161"/>
      <c r="L212" s="10"/>
      <c r="M212" s="161"/>
      <c r="N212" s="161"/>
      <c r="O212" s="161"/>
      <c r="P212" s="161"/>
      <c r="Q212" s="161"/>
      <c r="R212" s="161"/>
      <c r="S212" s="161"/>
      <c r="T212" s="161"/>
      <c r="U212" s="161"/>
      <c r="V212" s="177"/>
      <c r="W212" s="10"/>
    </row>
    <row r="213" spans="1:23" x14ac:dyDescent="0.2">
      <c r="A213" s="8" t="s">
        <v>394</v>
      </c>
      <c r="L213" s="11"/>
      <c r="V213" s="176"/>
      <c r="W213" s="11"/>
    </row>
    <row r="214" spans="1:23" x14ac:dyDescent="0.2">
      <c r="A214" s="8" t="s">
        <v>403</v>
      </c>
      <c r="L214" s="11"/>
      <c r="V214" s="176"/>
      <c r="W214" s="11"/>
    </row>
    <row r="215" spans="1:23" x14ac:dyDescent="0.2">
      <c r="A215" s="8" t="s">
        <v>410</v>
      </c>
      <c r="L215" s="11"/>
      <c r="V215" s="176"/>
      <c r="W215" s="11"/>
    </row>
    <row r="216" spans="1:23" ht="12.75" thickBot="1" x14ac:dyDescent="0.25">
      <c r="A216" s="8"/>
      <c r="L216" s="11"/>
      <c r="V216" s="176"/>
      <c r="W216" s="11"/>
    </row>
    <row r="217" spans="1:23" ht="12.75" thickBot="1" x14ac:dyDescent="0.25">
      <c r="A217" s="263" t="s">
        <v>400</v>
      </c>
      <c r="B217" s="270">
        <f>SUM(B201:B216)</f>
        <v>46</v>
      </c>
      <c r="C217" s="270"/>
      <c r="D217" s="270"/>
      <c r="E217" s="270"/>
      <c r="F217" s="270"/>
      <c r="G217" s="270"/>
      <c r="H217" s="270"/>
      <c r="I217" s="270"/>
      <c r="J217" s="270"/>
      <c r="K217" s="272">
        <f>SUM(K201:K216)</f>
        <v>0</v>
      </c>
      <c r="L217" s="285">
        <f>SUM(L201:L216)</f>
        <v>1982687.08</v>
      </c>
      <c r="M217" s="270">
        <f>SUM(M201:M216)</f>
        <v>44</v>
      </c>
      <c r="N217" s="270"/>
      <c r="O217" s="270"/>
      <c r="P217" s="270"/>
      <c r="Q217" s="270"/>
      <c r="R217" s="270"/>
      <c r="S217" s="270"/>
      <c r="T217" s="270"/>
      <c r="U217" s="270"/>
      <c r="V217" s="286">
        <v>44</v>
      </c>
      <c r="W217" s="285">
        <f>SUM(W201:W216)</f>
        <v>1982687.08</v>
      </c>
    </row>
    <row r="219" spans="1:23" ht="12.75" thickBot="1" x14ac:dyDescent="0.25">
      <c r="A219" s="257" t="s">
        <v>433</v>
      </c>
      <c r="B219" s="257"/>
      <c r="C219" s="257"/>
      <c r="D219" s="257"/>
      <c r="E219" s="261"/>
      <c r="F219" s="261"/>
      <c r="G219" s="261"/>
      <c r="H219" s="261"/>
      <c r="I219" s="261"/>
      <c r="J219" s="261"/>
      <c r="K219" s="261"/>
      <c r="L219" s="261"/>
      <c r="M219" s="261"/>
      <c r="N219" s="261"/>
      <c r="O219" s="261"/>
      <c r="P219" s="261"/>
      <c r="Q219" s="261"/>
      <c r="R219" s="261"/>
      <c r="S219" s="261"/>
      <c r="T219" s="261"/>
      <c r="U219" s="261"/>
      <c r="V219" s="261"/>
      <c r="W219" s="261"/>
    </row>
    <row r="220" spans="1:23" x14ac:dyDescent="0.2">
      <c r="A220" s="646" t="s">
        <v>362</v>
      </c>
      <c r="B220" s="1470" t="s">
        <v>363</v>
      </c>
      <c r="C220" s="1471"/>
      <c r="D220" s="1471"/>
      <c r="E220" s="1471"/>
      <c r="F220" s="1471"/>
      <c r="G220" s="1471"/>
      <c r="H220" s="1471"/>
      <c r="I220" s="1471"/>
      <c r="J220" s="1471"/>
      <c r="K220" s="1471"/>
      <c r="L220" s="1472"/>
      <c r="M220" s="1470" t="s">
        <v>364</v>
      </c>
      <c r="N220" s="1471"/>
      <c r="O220" s="1471"/>
      <c r="P220" s="1471"/>
      <c r="Q220" s="1471"/>
      <c r="R220" s="1471"/>
      <c r="S220" s="1471"/>
      <c r="T220" s="1471"/>
      <c r="U220" s="1471"/>
      <c r="V220" s="1471"/>
      <c r="W220" s="1472"/>
    </row>
    <row r="221" spans="1:23" ht="118.5" x14ac:dyDescent="0.2">
      <c r="A221" s="647" t="s">
        <v>365</v>
      </c>
      <c r="B221" s="648" t="s">
        <v>366</v>
      </c>
      <c r="C221" s="648" t="s">
        <v>367</v>
      </c>
      <c r="D221" s="649" t="s">
        <v>368</v>
      </c>
      <c r="E221" s="649" t="s">
        <v>369</v>
      </c>
      <c r="F221" s="649" t="s">
        <v>370</v>
      </c>
      <c r="G221" s="649" t="s">
        <v>371</v>
      </c>
      <c r="H221" s="649" t="s">
        <v>372</v>
      </c>
      <c r="I221" s="649" t="s">
        <v>373</v>
      </c>
      <c r="J221" s="650" t="s">
        <v>374</v>
      </c>
      <c r="K221" s="651" t="s">
        <v>375</v>
      </c>
      <c r="L221" s="652" t="s">
        <v>376</v>
      </c>
      <c r="M221" s="648" t="s">
        <v>366</v>
      </c>
      <c r="N221" s="648" t="s">
        <v>367</v>
      </c>
      <c r="O221" s="649" t="s">
        <v>368</v>
      </c>
      <c r="P221" s="649" t="s">
        <v>369</v>
      </c>
      <c r="Q221" s="649" t="s">
        <v>370</v>
      </c>
      <c r="R221" s="649" t="s">
        <v>371</v>
      </c>
      <c r="S221" s="649" t="s">
        <v>372</v>
      </c>
      <c r="T221" s="649" t="s">
        <v>373</v>
      </c>
      <c r="U221" s="650" t="s">
        <v>374</v>
      </c>
      <c r="V221" s="651" t="s">
        <v>375</v>
      </c>
      <c r="W221" s="652" t="s">
        <v>377</v>
      </c>
    </row>
    <row r="222" spans="1:23" x14ac:dyDescent="0.2">
      <c r="A222" s="8"/>
      <c r="L222" s="11"/>
      <c r="W222" s="11"/>
    </row>
    <row r="223" spans="1:23" x14ac:dyDescent="0.2">
      <c r="A223" s="9" t="s">
        <v>378</v>
      </c>
      <c r="B223" s="161"/>
      <c r="C223" s="161"/>
      <c r="D223" s="161"/>
      <c r="E223" s="161"/>
      <c r="F223" s="161"/>
      <c r="G223" s="161"/>
      <c r="H223" s="161"/>
      <c r="I223" s="161"/>
      <c r="J223" s="161"/>
      <c r="K223" s="161"/>
      <c r="L223" s="10"/>
      <c r="M223" s="161"/>
      <c r="N223" s="161"/>
      <c r="O223" s="161"/>
      <c r="P223" s="161"/>
      <c r="Q223" s="161"/>
      <c r="R223" s="161"/>
      <c r="S223" s="161"/>
      <c r="T223" s="161"/>
      <c r="U223" s="161"/>
      <c r="V223" s="161"/>
      <c r="W223" s="10"/>
    </row>
    <row r="224" spans="1:23" x14ac:dyDescent="0.2">
      <c r="A224" s="8" t="s">
        <v>402</v>
      </c>
      <c r="L224" s="11"/>
      <c r="W224" s="11"/>
    </row>
    <row r="225" spans="1:23" x14ac:dyDescent="0.2">
      <c r="A225" s="8" t="s">
        <v>381</v>
      </c>
      <c r="B225" s="7">
        <v>1</v>
      </c>
      <c r="K225" s="7">
        <f>+B225+C225+D225</f>
        <v>1</v>
      </c>
      <c r="L225" s="193">
        <v>33385</v>
      </c>
      <c r="M225" s="7">
        <v>1</v>
      </c>
      <c r="V225" s="7">
        <f>+M225+N225+O225</f>
        <v>1</v>
      </c>
      <c r="W225" s="193">
        <v>33385</v>
      </c>
    </row>
    <row r="226" spans="1:23" x14ac:dyDescent="0.2">
      <c r="A226" s="8" t="s">
        <v>383</v>
      </c>
      <c r="B226" s="7">
        <v>3</v>
      </c>
      <c r="K226" s="7">
        <f>+B226+C226+D226</f>
        <v>3</v>
      </c>
      <c r="L226" s="193">
        <v>90993</v>
      </c>
      <c r="M226" s="7">
        <v>3</v>
      </c>
      <c r="V226" s="7">
        <f>+M226+N226+O226</f>
        <v>3</v>
      </c>
      <c r="W226" s="193">
        <v>90993</v>
      </c>
    </row>
    <row r="227" spans="1:23" x14ac:dyDescent="0.2">
      <c r="A227" s="8" t="s">
        <v>403</v>
      </c>
      <c r="L227" s="193"/>
      <c r="W227" s="193"/>
    </row>
    <row r="228" spans="1:23" x14ac:dyDescent="0.2">
      <c r="A228" s="8" t="s">
        <v>403</v>
      </c>
      <c r="L228" s="193"/>
      <c r="W228" s="193"/>
    </row>
    <row r="229" spans="1:23" x14ac:dyDescent="0.2">
      <c r="A229" s="8" t="s">
        <v>406</v>
      </c>
      <c r="L229" s="193"/>
      <c r="W229" s="193"/>
    </row>
    <row r="230" spans="1:23" x14ac:dyDescent="0.2">
      <c r="A230" s="302"/>
      <c r="L230" s="193"/>
      <c r="W230" s="193"/>
    </row>
    <row r="231" spans="1:23" x14ac:dyDescent="0.2">
      <c r="A231" s="9" t="s">
        <v>385</v>
      </c>
      <c r="B231" s="161"/>
      <c r="C231" s="161"/>
      <c r="D231" s="161"/>
      <c r="E231" s="161"/>
      <c r="F231" s="161"/>
      <c r="G231" s="161"/>
      <c r="H231" s="161"/>
      <c r="I231" s="161"/>
      <c r="J231" s="161"/>
      <c r="K231" s="161"/>
      <c r="L231" s="197"/>
      <c r="M231" s="161"/>
      <c r="N231" s="161"/>
      <c r="O231" s="161"/>
      <c r="P231" s="161"/>
      <c r="Q231" s="161"/>
      <c r="R231" s="161"/>
      <c r="S231" s="161"/>
      <c r="T231" s="161"/>
      <c r="U231" s="161"/>
      <c r="V231" s="161"/>
      <c r="W231" s="197"/>
    </row>
    <row r="232" spans="1:23" x14ac:dyDescent="0.2">
      <c r="A232" s="8" t="s">
        <v>386</v>
      </c>
      <c r="B232" s="7">
        <v>2</v>
      </c>
      <c r="K232" s="7">
        <f t="shared" ref="K232:K235" si="20">+B232+C232+D232</f>
        <v>2</v>
      </c>
      <c r="L232" s="193">
        <v>51454</v>
      </c>
      <c r="M232" s="7">
        <v>2</v>
      </c>
      <c r="V232" s="7">
        <f t="shared" ref="V232:V235" si="21">+M232+N232+O232</f>
        <v>2</v>
      </c>
      <c r="W232" s="193">
        <f>51454+34147.6</f>
        <v>85601.600000000006</v>
      </c>
    </row>
    <row r="233" spans="1:23" x14ac:dyDescent="0.2">
      <c r="A233" s="8" t="s">
        <v>387</v>
      </c>
      <c r="B233" s="7">
        <v>4</v>
      </c>
      <c r="K233" s="7">
        <f t="shared" si="20"/>
        <v>4</v>
      </c>
      <c r="L233" s="193">
        <v>102686</v>
      </c>
      <c r="M233" s="7">
        <v>4</v>
      </c>
      <c r="V233" s="7">
        <f t="shared" si="21"/>
        <v>4</v>
      </c>
      <c r="W233" s="193">
        <f>102686+68299.2</f>
        <v>170985.2</v>
      </c>
    </row>
    <row r="234" spans="1:23" x14ac:dyDescent="0.2">
      <c r="A234" s="8" t="s">
        <v>388</v>
      </c>
      <c r="B234" s="7">
        <v>5</v>
      </c>
      <c r="K234" s="7">
        <f t="shared" si="20"/>
        <v>5</v>
      </c>
      <c r="L234" s="193">
        <v>124777</v>
      </c>
      <c r="M234" s="7">
        <v>5</v>
      </c>
      <c r="V234" s="7">
        <f t="shared" si="21"/>
        <v>5</v>
      </c>
      <c r="W234" s="193">
        <f>124777+34149.6</f>
        <v>158926.6</v>
      </c>
    </row>
    <row r="235" spans="1:23" x14ac:dyDescent="0.2">
      <c r="A235" s="8" t="s">
        <v>408</v>
      </c>
      <c r="B235" s="7">
        <v>2</v>
      </c>
      <c r="K235" s="7">
        <f t="shared" si="20"/>
        <v>2</v>
      </c>
      <c r="L235" s="193">
        <v>49060</v>
      </c>
      <c r="M235" s="7">
        <v>2</v>
      </c>
      <c r="V235" s="7">
        <f t="shared" si="21"/>
        <v>2</v>
      </c>
      <c r="W235" s="193">
        <f>49060+34149.6</f>
        <v>83209.600000000006</v>
      </c>
    </row>
    <row r="236" spans="1:23" x14ac:dyDescent="0.2">
      <c r="A236" s="8"/>
      <c r="L236" s="193"/>
      <c r="W236" s="193"/>
    </row>
    <row r="237" spans="1:23" x14ac:dyDescent="0.2">
      <c r="A237" s="9" t="s">
        <v>389</v>
      </c>
      <c r="B237" s="161"/>
      <c r="C237" s="161"/>
      <c r="D237" s="161"/>
      <c r="E237" s="161"/>
      <c r="F237" s="161"/>
      <c r="G237" s="161"/>
      <c r="H237" s="161"/>
      <c r="I237" s="161"/>
      <c r="J237" s="161"/>
      <c r="K237" s="161"/>
      <c r="L237" s="197"/>
      <c r="M237" s="161"/>
      <c r="N237" s="161"/>
      <c r="O237" s="161"/>
      <c r="P237" s="161"/>
      <c r="Q237" s="161"/>
      <c r="R237" s="161"/>
      <c r="S237" s="161"/>
      <c r="T237" s="161"/>
      <c r="U237" s="161"/>
      <c r="V237" s="161"/>
      <c r="W237" s="197"/>
    </row>
    <row r="238" spans="1:23" x14ac:dyDescent="0.2">
      <c r="A238" s="8" t="s">
        <v>390</v>
      </c>
      <c r="B238" s="7">
        <v>6</v>
      </c>
      <c r="D238" s="7">
        <v>2</v>
      </c>
      <c r="K238" s="7">
        <f t="shared" ref="K238:K239" si="22">+B238+C238+D238</f>
        <v>8</v>
      </c>
      <c r="L238" s="193">
        <f>140735+23520</f>
        <v>164255</v>
      </c>
      <c r="M238" s="7">
        <v>6</v>
      </c>
      <c r="N238" s="7">
        <v>2</v>
      </c>
      <c r="V238" s="7">
        <f t="shared" ref="V238:V243" si="23">+M238+N238+O238</f>
        <v>8</v>
      </c>
      <c r="W238" s="193">
        <f>164255+51427.8</f>
        <v>215682.8</v>
      </c>
    </row>
    <row r="239" spans="1:23" x14ac:dyDescent="0.2">
      <c r="A239" s="8" t="s">
        <v>391</v>
      </c>
      <c r="B239" s="7">
        <v>1</v>
      </c>
      <c r="K239" s="7">
        <f t="shared" si="22"/>
        <v>1</v>
      </c>
      <c r="L239" s="193">
        <v>23192</v>
      </c>
      <c r="M239" s="7">
        <v>1</v>
      </c>
      <c r="V239" s="7">
        <f t="shared" si="23"/>
        <v>1</v>
      </c>
      <c r="W239" s="193">
        <f>23192+10285.56</f>
        <v>33477.56</v>
      </c>
    </row>
    <row r="240" spans="1:23" x14ac:dyDescent="0.2">
      <c r="A240" s="8" t="s">
        <v>409</v>
      </c>
      <c r="L240" s="193"/>
      <c r="W240" s="193"/>
    </row>
    <row r="241" spans="1:23" x14ac:dyDescent="0.2">
      <c r="A241" s="8"/>
      <c r="L241" s="193"/>
      <c r="W241" s="193"/>
    </row>
    <row r="242" spans="1:23" x14ac:dyDescent="0.2">
      <c r="A242" s="9" t="s">
        <v>393</v>
      </c>
      <c r="B242" s="161"/>
      <c r="C242" s="161"/>
      <c r="D242" s="161"/>
      <c r="E242" s="161"/>
      <c r="F242" s="161"/>
      <c r="G242" s="161"/>
      <c r="H242" s="161"/>
      <c r="I242" s="161"/>
      <c r="J242" s="161"/>
      <c r="K242" s="161"/>
      <c r="L242" s="197"/>
      <c r="M242" s="161"/>
      <c r="N242" s="161"/>
      <c r="O242" s="161"/>
      <c r="P242" s="161"/>
      <c r="Q242" s="161"/>
      <c r="R242" s="161"/>
      <c r="S242" s="161"/>
      <c r="T242" s="161"/>
      <c r="U242" s="161"/>
      <c r="V242" s="161"/>
      <c r="W242" s="197"/>
    </row>
    <row r="243" spans="1:23" x14ac:dyDescent="0.2">
      <c r="A243" s="8" t="s">
        <v>394</v>
      </c>
      <c r="B243" s="7">
        <v>3</v>
      </c>
      <c r="D243" s="7">
        <v>1</v>
      </c>
      <c r="K243" s="7">
        <f t="shared" ref="K243" si="24">+B243+C243+D243</f>
        <v>4</v>
      </c>
      <c r="L243" s="193">
        <f>68433+11760</f>
        <v>80193</v>
      </c>
      <c r="M243" s="7">
        <v>3</v>
      </c>
      <c r="N243" s="7">
        <v>1</v>
      </c>
      <c r="V243" s="7">
        <f t="shared" si="23"/>
        <v>4</v>
      </c>
      <c r="W243" s="193">
        <f>80193+18861.12</f>
        <v>99054.12</v>
      </c>
    </row>
    <row r="244" spans="1:23" x14ac:dyDescent="0.2">
      <c r="A244" s="8" t="s">
        <v>403</v>
      </c>
      <c r="L244" s="193"/>
      <c r="W244" s="11"/>
    </row>
    <row r="245" spans="1:23" x14ac:dyDescent="0.2">
      <c r="A245" s="8" t="s">
        <v>410</v>
      </c>
      <c r="L245" s="11"/>
      <c r="W245" s="11"/>
    </row>
    <row r="246" spans="1:23" ht="12.75" thickBot="1" x14ac:dyDescent="0.25">
      <c r="A246" s="8"/>
      <c r="L246" s="11"/>
      <c r="W246" s="11"/>
    </row>
    <row r="247" spans="1:23" ht="12.75" thickBot="1" x14ac:dyDescent="0.25">
      <c r="A247" s="263" t="s">
        <v>400</v>
      </c>
      <c r="B247" s="270">
        <v>27</v>
      </c>
      <c r="C247" s="270"/>
      <c r="D247" s="270">
        <f>SUM(D237:D246)</f>
        <v>3</v>
      </c>
      <c r="E247" s="270"/>
      <c r="F247" s="270"/>
      <c r="G247" s="270"/>
      <c r="H247" s="270"/>
      <c r="I247" s="270"/>
      <c r="J247" s="270"/>
      <c r="K247" s="270">
        <f>SUM(K224:K246)</f>
        <v>30</v>
      </c>
      <c r="L247" s="284">
        <f>SUM(L225:L246)</f>
        <v>719995</v>
      </c>
      <c r="M247" s="270">
        <f>SUM(M225:M246)</f>
        <v>27</v>
      </c>
      <c r="N247" s="270">
        <f>SUM(N238:N246)</f>
        <v>3</v>
      </c>
      <c r="O247" s="270"/>
      <c r="P247" s="270"/>
      <c r="Q247" s="270"/>
      <c r="R247" s="270"/>
      <c r="S247" s="270"/>
      <c r="T247" s="270"/>
      <c r="U247" s="270"/>
      <c r="V247" s="270">
        <f>SUM(V225:V246)</f>
        <v>30</v>
      </c>
      <c r="W247" s="284">
        <f>SUM(W225:W246)</f>
        <v>971315.4800000001</v>
      </c>
    </row>
    <row r="249" spans="1:23" ht="12.75" thickBot="1" x14ac:dyDescent="0.25">
      <c r="A249" s="257" t="s">
        <v>434</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x14ac:dyDescent="0.2">
      <c r="A250" s="646" t="s">
        <v>362</v>
      </c>
      <c r="B250" s="1471" t="s">
        <v>363</v>
      </c>
      <c r="C250" s="1471"/>
      <c r="D250" s="1471"/>
      <c r="E250" s="1471"/>
      <c r="F250" s="1471"/>
      <c r="G250" s="1471"/>
      <c r="H250" s="1471"/>
      <c r="I250" s="1471"/>
      <c r="J250" s="1471"/>
      <c r="K250" s="1471"/>
      <c r="L250" s="1472"/>
      <c r="M250" s="1470" t="s">
        <v>364</v>
      </c>
      <c r="N250" s="1471"/>
      <c r="O250" s="1471"/>
      <c r="P250" s="1471"/>
      <c r="Q250" s="1471"/>
      <c r="R250" s="1471"/>
      <c r="S250" s="1471"/>
      <c r="T250" s="1471"/>
      <c r="U250" s="1471"/>
      <c r="V250" s="1471"/>
      <c r="W250" s="1472"/>
    </row>
    <row r="251" spans="1:23" ht="118.5" x14ac:dyDescent="0.2">
      <c r="A251" s="647" t="s">
        <v>365</v>
      </c>
      <c r="B251" s="648" t="s">
        <v>366</v>
      </c>
      <c r="C251" s="648" t="s">
        <v>367</v>
      </c>
      <c r="D251" s="649" t="s">
        <v>368</v>
      </c>
      <c r="E251" s="649" t="s">
        <v>369</v>
      </c>
      <c r="F251" s="649" t="s">
        <v>370</v>
      </c>
      <c r="G251" s="649" t="s">
        <v>371</v>
      </c>
      <c r="H251" s="649" t="s">
        <v>372</v>
      </c>
      <c r="I251" s="649" t="s">
        <v>373</v>
      </c>
      <c r="J251" s="650" t="s">
        <v>374</v>
      </c>
      <c r="K251" s="651" t="s">
        <v>375</v>
      </c>
      <c r="L251" s="652" t="s">
        <v>376</v>
      </c>
      <c r="M251" s="648" t="s">
        <v>366</v>
      </c>
      <c r="N251" s="648" t="s">
        <v>367</v>
      </c>
      <c r="O251" s="649" t="s">
        <v>368</v>
      </c>
      <c r="P251" s="649" t="s">
        <v>369</v>
      </c>
      <c r="Q251" s="649" t="s">
        <v>370</v>
      </c>
      <c r="R251" s="649" t="s">
        <v>371</v>
      </c>
      <c r="S251" s="649" t="s">
        <v>372</v>
      </c>
      <c r="T251" s="649" t="s">
        <v>373</v>
      </c>
      <c r="U251" s="650" t="s">
        <v>374</v>
      </c>
      <c r="V251" s="651" t="s">
        <v>375</v>
      </c>
      <c r="W251" s="652" t="s">
        <v>377</v>
      </c>
    </row>
    <row r="252" spans="1:23" x14ac:dyDescent="0.2">
      <c r="A252" s="8"/>
      <c r="L252" s="11"/>
      <c r="W252" s="11"/>
    </row>
    <row r="253" spans="1:23" x14ac:dyDescent="0.2">
      <c r="A253" s="9" t="s">
        <v>378</v>
      </c>
      <c r="B253" s="161"/>
      <c r="C253" s="161"/>
      <c r="D253" s="161"/>
      <c r="E253" s="161"/>
      <c r="F253" s="161"/>
      <c r="G253" s="161"/>
      <c r="H253" s="161"/>
      <c r="I253" s="161"/>
      <c r="J253" s="161"/>
      <c r="K253" s="161"/>
      <c r="L253" s="10"/>
      <c r="M253" s="161"/>
      <c r="N253" s="161"/>
      <c r="O253" s="161"/>
      <c r="P253" s="161"/>
      <c r="Q253" s="161"/>
      <c r="R253" s="161"/>
      <c r="S253" s="161"/>
      <c r="T253" s="161"/>
      <c r="U253" s="161"/>
      <c r="V253" s="161"/>
      <c r="W253" s="10"/>
    </row>
    <row r="254" spans="1:23" x14ac:dyDescent="0.2">
      <c r="A254" s="8" t="s">
        <v>381</v>
      </c>
      <c r="B254" s="7">
        <v>1</v>
      </c>
      <c r="K254" s="7">
        <f>+B254</f>
        <v>1</v>
      </c>
      <c r="L254" s="175">
        <f>((796.39+2260)*12+1000)*K254</f>
        <v>37676.68</v>
      </c>
      <c r="M254" s="7">
        <f>K254</f>
        <v>1</v>
      </c>
      <c r="V254" s="7">
        <f>+M254</f>
        <v>1</v>
      </c>
      <c r="W254" s="175">
        <f>((796.39+2260)*12+1000)*V254</f>
        <v>37676.68</v>
      </c>
    </row>
    <row r="255" spans="1:23" x14ac:dyDescent="0.2">
      <c r="A255" s="8" t="s">
        <v>383</v>
      </c>
      <c r="B255" s="7">
        <v>7</v>
      </c>
      <c r="K255" s="7">
        <f>+B255+C255+D255</f>
        <v>7</v>
      </c>
      <c r="L255" s="198">
        <f>((757.49+1575)*12+1000)*K255</f>
        <v>202929.15999999997</v>
      </c>
      <c r="M255" s="7">
        <f t="shared" ref="M255:M256" si="25">K255</f>
        <v>7</v>
      </c>
      <c r="V255" s="7">
        <f>+M255+N255+O255</f>
        <v>7</v>
      </c>
      <c r="W255" s="198">
        <f>((757.49+1575)*12+1000)*V255</f>
        <v>202929.15999999997</v>
      </c>
    </row>
    <row r="256" spans="1:23" x14ac:dyDescent="0.2">
      <c r="A256" s="8" t="s">
        <v>384</v>
      </c>
      <c r="B256" s="7">
        <v>2</v>
      </c>
      <c r="K256" s="7">
        <f>+B256+C256+D256</f>
        <v>2</v>
      </c>
      <c r="L256" s="198">
        <f>((738.1+1257.9)*12+1000)*K256</f>
        <v>49904</v>
      </c>
      <c r="M256" s="7">
        <f t="shared" si="25"/>
        <v>2</v>
      </c>
      <c r="V256" s="7">
        <f>+M256+N256+O256</f>
        <v>2</v>
      </c>
      <c r="W256" s="198">
        <f>((738.1+1360)*12+1000)*V256</f>
        <v>52354.399999999994</v>
      </c>
    </row>
    <row r="257" spans="1:23" x14ac:dyDescent="0.2">
      <c r="A257" s="8"/>
      <c r="L257" s="11"/>
      <c r="W257" s="11"/>
    </row>
    <row r="258" spans="1:23" x14ac:dyDescent="0.2">
      <c r="A258" s="302"/>
      <c r="L258" s="11"/>
      <c r="W258" s="11"/>
    </row>
    <row r="259" spans="1:23" x14ac:dyDescent="0.2">
      <c r="A259" s="9" t="s">
        <v>385</v>
      </c>
      <c r="B259" s="161"/>
      <c r="C259" s="161"/>
      <c r="D259" s="161"/>
      <c r="E259" s="161"/>
      <c r="F259" s="161"/>
      <c r="G259" s="161"/>
      <c r="H259" s="161"/>
      <c r="I259" s="161"/>
      <c r="J259" s="161"/>
      <c r="K259" s="161"/>
      <c r="L259" s="10"/>
      <c r="M259" s="161"/>
      <c r="N259" s="161"/>
      <c r="O259" s="161"/>
      <c r="P259" s="161"/>
      <c r="Q259" s="161"/>
      <c r="R259" s="161"/>
      <c r="S259" s="161"/>
      <c r="T259" s="161"/>
      <c r="U259" s="161"/>
      <c r="V259" s="161"/>
      <c r="W259" s="10"/>
    </row>
    <row r="260" spans="1:23" x14ac:dyDescent="0.2">
      <c r="A260" s="8" t="s">
        <v>386</v>
      </c>
      <c r="B260" s="7">
        <v>4</v>
      </c>
      <c r="K260" s="7">
        <f t="shared" ref="K260:K262" si="26">+B260+C260+D260</f>
        <v>4</v>
      </c>
      <c r="L260" s="198">
        <f>((698.59+1113.89)*12+1000)*K260</f>
        <v>90999.040000000008</v>
      </c>
      <c r="M260" s="7">
        <f>K260</f>
        <v>4</v>
      </c>
      <c r="V260" s="7">
        <f t="shared" ref="V260:V262" si="27">+M260+N260+O260</f>
        <v>4</v>
      </c>
      <c r="W260" s="198">
        <f>((698.59+1230)*12+1000)*V260</f>
        <v>96572.32</v>
      </c>
    </row>
    <row r="261" spans="1:23" x14ac:dyDescent="0.2">
      <c r="A261" s="8" t="s">
        <v>387</v>
      </c>
      <c r="B261" s="7">
        <v>2</v>
      </c>
      <c r="K261" s="7">
        <f t="shared" si="26"/>
        <v>2</v>
      </c>
      <c r="L261" s="198">
        <f>((673.65+1113.89)*12+1000)*K261</f>
        <v>44900.959999999999</v>
      </c>
      <c r="M261" s="7">
        <f t="shared" ref="M261:M262" si="28">K261</f>
        <v>2</v>
      </c>
      <c r="V261" s="7">
        <f t="shared" si="27"/>
        <v>2</v>
      </c>
      <c r="W261" s="198">
        <f>((673.65+1230)*12+1000)*V261</f>
        <v>47687.600000000006</v>
      </c>
    </row>
    <row r="262" spans="1:23" x14ac:dyDescent="0.2">
      <c r="A262" s="8" t="s">
        <v>408</v>
      </c>
      <c r="B262" s="7">
        <v>2</v>
      </c>
      <c r="K262" s="7">
        <f t="shared" si="26"/>
        <v>2</v>
      </c>
      <c r="L262" s="198">
        <f>((598.98+1113.8)*12+1000)*K262</f>
        <v>43106.720000000001</v>
      </c>
      <c r="M262" s="7">
        <f t="shared" si="28"/>
        <v>2</v>
      </c>
      <c r="V262" s="7">
        <f t="shared" si="27"/>
        <v>2</v>
      </c>
      <c r="W262" s="198">
        <f>((598.98+1230)*12+1000)*V262</f>
        <v>45895.520000000004</v>
      </c>
    </row>
    <row r="263" spans="1:23" x14ac:dyDescent="0.2">
      <c r="A263" s="8"/>
      <c r="L263" s="11"/>
      <c r="W263" s="11"/>
    </row>
    <row r="264" spans="1:23" x14ac:dyDescent="0.2">
      <c r="A264" s="9" t="s">
        <v>389</v>
      </c>
      <c r="B264" s="161"/>
      <c r="C264" s="161"/>
      <c r="D264" s="161"/>
      <c r="E264" s="161"/>
      <c r="F264" s="161"/>
      <c r="G264" s="161"/>
      <c r="H264" s="161"/>
      <c r="I264" s="161"/>
      <c r="J264" s="161"/>
      <c r="K264" s="161"/>
      <c r="L264" s="10"/>
      <c r="M264" s="161"/>
      <c r="N264" s="161"/>
      <c r="O264" s="161"/>
      <c r="P264" s="161"/>
      <c r="Q264" s="161"/>
      <c r="R264" s="161"/>
      <c r="S264" s="161"/>
      <c r="T264" s="161"/>
      <c r="U264" s="161"/>
      <c r="V264" s="161"/>
      <c r="W264" s="10"/>
    </row>
    <row r="265" spans="1:23" x14ac:dyDescent="0.2">
      <c r="A265" s="8" t="s">
        <v>390</v>
      </c>
      <c r="B265" s="7">
        <v>4</v>
      </c>
      <c r="K265" s="7">
        <f t="shared" ref="K265:K266" si="29">+B265+C265+D265</f>
        <v>4</v>
      </c>
      <c r="L265" s="198">
        <f>((574.93+1070)*12+1000)*K265</f>
        <v>82956.639999999985</v>
      </c>
      <c r="M265" s="7">
        <f>K265</f>
        <v>4</v>
      </c>
      <c r="V265" s="7">
        <f t="shared" ref="V265:V266" si="30">+M265+N265+O265</f>
        <v>4</v>
      </c>
      <c r="W265" s="198">
        <f>((574.93+1170)*12+1000)*V265</f>
        <v>87756.639999999985</v>
      </c>
    </row>
    <row r="266" spans="1:23" x14ac:dyDescent="0.2">
      <c r="A266" s="8" t="s">
        <v>391</v>
      </c>
      <c r="B266" s="7">
        <v>7</v>
      </c>
      <c r="K266" s="7">
        <f t="shared" si="29"/>
        <v>7</v>
      </c>
      <c r="L266" s="198">
        <f>((567.17+1070)*12+1000)*K266</f>
        <v>144522.28</v>
      </c>
      <c r="M266" s="7">
        <f>K266</f>
        <v>7</v>
      </c>
      <c r="V266" s="7">
        <f t="shared" si="30"/>
        <v>7</v>
      </c>
      <c r="W266" s="198">
        <f>((567.17+1170)*12+1000)*V266</f>
        <v>152922.28</v>
      </c>
    </row>
    <row r="267" spans="1:23" x14ac:dyDescent="0.2">
      <c r="A267" s="8"/>
      <c r="L267" s="11"/>
      <c r="W267" s="11"/>
    </row>
    <row r="268" spans="1:23" x14ac:dyDescent="0.2">
      <c r="A268" s="8"/>
      <c r="L268" s="11"/>
      <c r="W268" s="11"/>
    </row>
    <row r="269" spans="1:23" x14ac:dyDescent="0.2">
      <c r="A269" s="9" t="s">
        <v>393</v>
      </c>
      <c r="B269" s="161"/>
      <c r="C269" s="161"/>
      <c r="D269" s="161"/>
      <c r="E269" s="161"/>
      <c r="F269" s="161"/>
      <c r="G269" s="161"/>
      <c r="H269" s="161"/>
      <c r="I269" s="161"/>
      <c r="J269" s="161"/>
      <c r="K269" s="161"/>
      <c r="L269" s="10"/>
      <c r="M269" s="161"/>
      <c r="N269" s="161"/>
      <c r="O269" s="161"/>
      <c r="P269" s="161"/>
      <c r="Q269" s="161"/>
      <c r="R269" s="161"/>
      <c r="S269" s="161"/>
      <c r="T269" s="161"/>
      <c r="U269" s="161"/>
      <c r="V269" s="161"/>
      <c r="W269" s="10"/>
    </row>
    <row r="270" spans="1:23" x14ac:dyDescent="0.2">
      <c r="A270" s="8"/>
      <c r="L270" s="199"/>
      <c r="W270" s="199"/>
    </row>
    <row r="271" spans="1:23" ht="12.75" thickBot="1" x14ac:dyDescent="0.25">
      <c r="A271" s="8" t="s">
        <v>403</v>
      </c>
      <c r="L271" s="11"/>
      <c r="W271" s="11"/>
    </row>
    <row r="272" spans="1:23" ht="12.75" thickBot="1" x14ac:dyDescent="0.25">
      <c r="A272" s="263" t="s">
        <v>400</v>
      </c>
      <c r="B272" s="270">
        <f>SUM(B254:B270)</f>
        <v>29</v>
      </c>
      <c r="C272" s="270"/>
      <c r="D272" s="270"/>
      <c r="E272" s="270"/>
      <c r="F272" s="270"/>
      <c r="G272" s="270"/>
      <c r="H272" s="270"/>
      <c r="I272" s="270"/>
      <c r="J272" s="270"/>
      <c r="K272" s="270">
        <f>SUM(K254:K271)</f>
        <v>29</v>
      </c>
      <c r="L272" s="271">
        <f>SUM(L254:L271)</f>
        <v>696995.4800000001</v>
      </c>
      <c r="M272" s="270">
        <v>29</v>
      </c>
      <c r="N272" s="270"/>
      <c r="O272" s="270"/>
      <c r="P272" s="270"/>
      <c r="Q272" s="270"/>
      <c r="R272" s="270"/>
      <c r="S272" s="270"/>
      <c r="T272" s="270"/>
      <c r="U272" s="270"/>
      <c r="V272" s="270">
        <v>29</v>
      </c>
      <c r="W272" s="271">
        <f>SUM(W254:W271)</f>
        <v>723794.60000000009</v>
      </c>
    </row>
    <row r="274" spans="1:23" ht="12.75" thickBot="1" x14ac:dyDescent="0.25">
      <c r="A274" s="257" t="s">
        <v>435</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x14ac:dyDescent="0.2">
      <c r="A275" s="646" t="s">
        <v>362</v>
      </c>
      <c r="B275" s="1470" t="s">
        <v>363</v>
      </c>
      <c r="C275" s="1471"/>
      <c r="D275" s="1471"/>
      <c r="E275" s="1471"/>
      <c r="F275" s="1471"/>
      <c r="G275" s="1471"/>
      <c r="H275" s="1471"/>
      <c r="I275" s="1471"/>
      <c r="J275" s="1471"/>
      <c r="K275" s="1471"/>
      <c r="L275" s="1472"/>
      <c r="M275" s="1470" t="s">
        <v>364</v>
      </c>
      <c r="N275" s="1471"/>
      <c r="O275" s="1471"/>
      <c r="P275" s="1471"/>
      <c r="Q275" s="1471"/>
      <c r="R275" s="1471"/>
      <c r="S275" s="1471"/>
      <c r="T275" s="1471"/>
      <c r="U275" s="1471"/>
      <c r="V275" s="1471"/>
      <c r="W275" s="1472"/>
    </row>
    <row r="276" spans="1:23" ht="111" x14ac:dyDescent="0.2">
      <c r="A276" s="647" t="s">
        <v>365</v>
      </c>
      <c r="B276" s="648" t="s">
        <v>366</v>
      </c>
      <c r="C276" s="648" t="s">
        <v>367</v>
      </c>
      <c r="D276" s="649" t="s">
        <v>368</v>
      </c>
      <c r="E276" s="649" t="s">
        <v>369</v>
      </c>
      <c r="F276" s="649" t="s">
        <v>370</v>
      </c>
      <c r="G276" s="649" t="s">
        <v>371</v>
      </c>
      <c r="H276" s="649" t="s">
        <v>372</v>
      </c>
      <c r="I276" s="649" t="s">
        <v>373</v>
      </c>
      <c r="J276" s="650" t="s">
        <v>374</v>
      </c>
      <c r="K276" s="651" t="s">
        <v>375</v>
      </c>
      <c r="L276" s="652" t="s">
        <v>376</v>
      </c>
      <c r="M276" s="648" t="s">
        <v>366</v>
      </c>
      <c r="N276" s="648" t="s">
        <v>367</v>
      </c>
      <c r="O276" s="649" t="s">
        <v>368</v>
      </c>
      <c r="P276" s="649" t="s">
        <v>369</v>
      </c>
      <c r="Q276" s="649" t="s">
        <v>370</v>
      </c>
      <c r="R276" s="649" t="s">
        <v>371</v>
      </c>
      <c r="S276" s="649" t="s">
        <v>372</v>
      </c>
      <c r="T276" s="649" t="s">
        <v>373</v>
      </c>
      <c r="U276" s="650" t="s">
        <v>374</v>
      </c>
      <c r="V276" s="651" t="s">
        <v>375</v>
      </c>
      <c r="W276" s="652" t="s">
        <v>377</v>
      </c>
    </row>
    <row r="277" spans="1:23" x14ac:dyDescent="0.2">
      <c r="A277" s="8"/>
      <c r="L277" s="11"/>
      <c r="W277" s="11"/>
    </row>
    <row r="278" spans="1:23" x14ac:dyDescent="0.2">
      <c r="A278" s="9" t="s">
        <v>378</v>
      </c>
      <c r="B278" s="161"/>
      <c r="C278" s="161"/>
      <c r="D278" s="161"/>
      <c r="E278" s="161"/>
      <c r="F278" s="161"/>
      <c r="G278" s="161"/>
      <c r="H278" s="161"/>
      <c r="I278" s="161"/>
      <c r="J278" s="161"/>
      <c r="K278" s="161"/>
      <c r="L278" s="10"/>
      <c r="M278" s="161"/>
      <c r="N278" s="161"/>
      <c r="O278" s="161"/>
      <c r="P278" s="161"/>
      <c r="Q278" s="161"/>
      <c r="R278" s="161"/>
      <c r="S278" s="161"/>
      <c r="T278" s="161"/>
      <c r="U278" s="161"/>
      <c r="V278" s="161"/>
      <c r="W278" s="10"/>
    </row>
    <row r="279" spans="1:23" x14ac:dyDescent="0.2">
      <c r="A279" s="8" t="s">
        <v>402</v>
      </c>
      <c r="L279" s="11"/>
      <c r="W279" s="11"/>
    </row>
    <row r="280" spans="1:23" x14ac:dyDescent="0.2">
      <c r="A280" s="8" t="s">
        <v>404</v>
      </c>
      <c r="B280" s="7">
        <v>1</v>
      </c>
      <c r="K280" s="200">
        <v>995.82999999999993</v>
      </c>
      <c r="L280" s="7">
        <f>+K280*12</f>
        <v>11949.96</v>
      </c>
      <c r="M280" s="7">
        <v>1</v>
      </c>
      <c r="V280" s="200">
        <v>995.82999999999993</v>
      </c>
      <c r="W280" s="7">
        <f>+V280*12</f>
        <v>11949.96</v>
      </c>
    </row>
    <row r="281" spans="1:23" x14ac:dyDescent="0.2">
      <c r="A281" s="8" t="s">
        <v>436</v>
      </c>
      <c r="B281" s="7">
        <v>11</v>
      </c>
      <c r="K281" s="200">
        <v>10297.870000000001</v>
      </c>
      <c r="L281" s="7">
        <f>+K281*12</f>
        <v>123574.44</v>
      </c>
      <c r="M281" s="7">
        <v>11</v>
      </c>
      <c r="V281" s="200">
        <v>10297.870000000001</v>
      </c>
      <c r="W281" s="7">
        <f>+V281*12</f>
        <v>123574.44</v>
      </c>
    </row>
    <row r="282" spans="1:23" x14ac:dyDescent="0.2">
      <c r="A282" s="8" t="s">
        <v>403</v>
      </c>
      <c r="K282" s="200"/>
      <c r="V282" s="200"/>
    </row>
    <row r="283" spans="1:23" x14ac:dyDescent="0.2">
      <c r="A283" s="8" t="s">
        <v>403</v>
      </c>
      <c r="K283" s="200"/>
      <c r="V283" s="200"/>
    </row>
    <row r="284" spans="1:23" x14ac:dyDescent="0.2">
      <c r="A284" s="8" t="s">
        <v>406</v>
      </c>
    </row>
    <row r="285" spans="1:23" x14ac:dyDescent="0.2">
      <c r="A285" s="302"/>
    </row>
    <row r="286" spans="1:23" x14ac:dyDescent="0.2">
      <c r="A286" s="9" t="s">
        <v>385</v>
      </c>
      <c r="B286" s="161"/>
      <c r="C286" s="161"/>
      <c r="D286" s="161"/>
      <c r="E286" s="161"/>
      <c r="F286" s="161"/>
      <c r="G286" s="161"/>
      <c r="H286" s="161"/>
      <c r="I286" s="161"/>
      <c r="J286" s="161"/>
      <c r="K286" s="161"/>
      <c r="L286" s="10"/>
      <c r="M286" s="161"/>
      <c r="N286" s="161"/>
      <c r="O286" s="161"/>
      <c r="P286" s="161"/>
      <c r="Q286" s="161"/>
      <c r="R286" s="161"/>
      <c r="S286" s="161"/>
      <c r="T286" s="161"/>
      <c r="U286" s="161"/>
      <c r="V286" s="161"/>
      <c r="W286" s="10"/>
    </row>
    <row r="287" spans="1:23" x14ac:dyDescent="0.2">
      <c r="A287" s="8" t="s">
        <v>386</v>
      </c>
      <c r="B287" s="7">
        <v>4</v>
      </c>
      <c r="K287" s="200">
        <v>3011.38</v>
      </c>
      <c r="L287" s="7">
        <f>+K287*12</f>
        <v>36136.559999999998</v>
      </c>
      <c r="M287" s="7">
        <v>4</v>
      </c>
      <c r="V287" s="200">
        <v>3011.38</v>
      </c>
      <c r="W287" s="7">
        <f>+V287*12</f>
        <v>36136.559999999998</v>
      </c>
    </row>
    <row r="288" spans="1:23" x14ac:dyDescent="0.2">
      <c r="A288" s="8" t="s">
        <v>387</v>
      </c>
      <c r="B288" s="7">
        <v>4</v>
      </c>
      <c r="K288" s="200">
        <v>2849.7599999999998</v>
      </c>
      <c r="L288" s="7">
        <f t="shared" ref="L288:L297" si="31">+K288*12</f>
        <v>34197.119999999995</v>
      </c>
      <c r="M288" s="7">
        <v>4</v>
      </c>
      <c r="V288" s="200">
        <v>2849.7599999999998</v>
      </c>
      <c r="W288" s="7">
        <f t="shared" ref="W288:W297" si="32">+V288*12</f>
        <v>34197.119999999995</v>
      </c>
    </row>
    <row r="289" spans="1:23" x14ac:dyDescent="0.2">
      <c r="A289" s="8" t="s">
        <v>388</v>
      </c>
      <c r="B289" s="7">
        <v>2</v>
      </c>
      <c r="K289" s="201">
        <v>1385.09</v>
      </c>
      <c r="L289" s="7">
        <f t="shared" si="31"/>
        <v>16621.079999999998</v>
      </c>
      <c r="M289" s="7">
        <v>2</v>
      </c>
      <c r="V289" s="201">
        <v>1385.09</v>
      </c>
      <c r="W289" s="7">
        <f t="shared" si="32"/>
        <v>16621.079999999998</v>
      </c>
    </row>
    <row r="290" spans="1:23" x14ac:dyDescent="0.2">
      <c r="A290" s="8" t="s">
        <v>437</v>
      </c>
      <c r="B290" s="7">
        <v>3</v>
      </c>
      <c r="K290" s="201">
        <v>2227.42</v>
      </c>
      <c r="L290" s="7">
        <f t="shared" si="31"/>
        <v>26729.040000000001</v>
      </c>
      <c r="M290" s="7">
        <v>3</v>
      </c>
      <c r="V290" s="201">
        <v>2227.42</v>
      </c>
      <c r="W290" s="7">
        <f t="shared" si="32"/>
        <v>26729.040000000001</v>
      </c>
    </row>
    <row r="291" spans="1:23" x14ac:dyDescent="0.2">
      <c r="A291" s="9" t="s">
        <v>389</v>
      </c>
      <c r="B291" s="161"/>
      <c r="C291" s="161"/>
      <c r="D291" s="161"/>
      <c r="E291" s="161"/>
      <c r="F291" s="161"/>
      <c r="G291" s="161"/>
      <c r="H291" s="161"/>
      <c r="I291" s="161"/>
      <c r="J291" s="161"/>
      <c r="K291" s="161"/>
      <c r="L291" s="10"/>
      <c r="M291" s="161"/>
      <c r="N291" s="161"/>
      <c r="O291" s="161"/>
      <c r="P291" s="161"/>
      <c r="Q291" s="161"/>
      <c r="R291" s="161"/>
      <c r="S291" s="161"/>
      <c r="T291" s="161"/>
      <c r="U291" s="161"/>
      <c r="V291" s="161"/>
      <c r="W291" s="10"/>
    </row>
    <row r="292" spans="1:23" x14ac:dyDescent="0.2">
      <c r="A292" s="8" t="s">
        <v>390</v>
      </c>
      <c r="B292" s="7">
        <v>29</v>
      </c>
      <c r="K292" s="200">
        <v>17571.009999999998</v>
      </c>
      <c r="L292" s="7">
        <f t="shared" si="31"/>
        <v>210852.12</v>
      </c>
      <c r="M292" s="7">
        <v>29</v>
      </c>
      <c r="V292" s="200">
        <v>17571.009999999998</v>
      </c>
      <c r="W292" s="7">
        <f t="shared" si="32"/>
        <v>210852.12</v>
      </c>
    </row>
    <row r="293" spans="1:23" x14ac:dyDescent="0.2">
      <c r="A293" s="8" t="s">
        <v>391</v>
      </c>
      <c r="B293" s="7">
        <v>4</v>
      </c>
      <c r="K293" s="200">
        <v>2331.4499999999998</v>
      </c>
      <c r="L293" s="7">
        <f t="shared" si="31"/>
        <v>27977.399999999998</v>
      </c>
      <c r="M293" s="7">
        <v>4</v>
      </c>
      <c r="V293" s="200">
        <v>2331.4499999999998</v>
      </c>
      <c r="W293" s="7">
        <f t="shared" si="32"/>
        <v>27977.399999999998</v>
      </c>
    </row>
    <row r="294" spans="1:23" x14ac:dyDescent="0.2">
      <c r="A294" s="8" t="s">
        <v>392</v>
      </c>
      <c r="B294" s="7">
        <v>7</v>
      </c>
      <c r="K294" s="200">
        <v>4106.74</v>
      </c>
      <c r="L294" s="7">
        <f t="shared" si="31"/>
        <v>49280.88</v>
      </c>
      <c r="M294" s="7">
        <v>7</v>
      </c>
      <c r="V294" s="200">
        <v>4106.74</v>
      </c>
      <c r="W294" s="7">
        <f t="shared" si="32"/>
        <v>49280.88</v>
      </c>
    </row>
    <row r="295" spans="1:23" x14ac:dyDescent="0.2">
      <c r="A295" s="8"/>
    </row>
    <row r="296" spans="1:23" x14ac:dyDescent="0.2">
      <c r="A296" s="9" t="s">
        <v>393</v>
      </c>
      <c r="B296" s="161"/>
      <c r="C296" s="161"/>
      <c r="D296" s="161"/>
      <c r="E296" s="161"/>
      <c r="F296" s="161"/>
      <c r="G296" s="161"/>
      <c r="H296" s="161"/>
      <c r="I296" s="161"/>
      <c r="J296" s="161"/>
      <c r="K296" s="161"/>
      <c r="L296" s="10"/>
      <c r="M296" s="161"/>
      <c r="N296" s="161"/>
      <c r="O296" s="161"/>
      <c r="P296" s="161"/>
      <c r="Q296" s="161"/>
      <c r="R296" s="161"/>
      <c r="S296" s="161"/>
      <c r="T296" s="161"/>
      <c r="U296" s="161"/>
      <c r="V296" s="161"/>
      <c r="W296" s="10"/>
    </row>
    <row r="297" spans="1:23" x14ac:dyDescent="0.2">
      <c r="A297" s="8" t="s">
        <v>394</v>
      </c>
      <c r="B297" s="7">
        <v>1</v>
      </c>
      <c r="K297" s="202">
        <v>569.83999999999992</v>
      </c>
      <c r="L297" s="7">
        <f t="shared" si="31"/>
        <v>6838.079999999999</v>
      </c>
      <c r="M297" s="7">
        <v>1</v>
      </c>
      <c r="V297" s="202">
        <v>569.83999999999992</v>
      </c>
      <c r="W297" s="7">
        <f t="shared" si="32"/>
        <v>6838.079999999999</v>
      </c>
    </row>
    <row r="298" spans="1:23" x14ac:dyDescent="0.2">
      <c r="A298" s="8" t="s">
        <v>403</v>
      </c>
      <c r="L298" s="11"/>
      <c r="W298" s="11"/>
    </row>
    <row r="299" spans="1:23" x14ac:dyDescent="0.2">
      <c r="A299" s="8" t="s">
        <v>410</v>
      </c>
      <c r="L299" s="11"/>
      <c r="W299" s="11"/>
    </row>
    <row r="300" spans="1:23" ht="12.75" thickBot="1" x14ac:dyDescent="0.25">
      <c r="A300" s="8"/>
      <c r="L300" s="11"/>
      <c r="W300" s="11"/>
    </row>
    <row r="301" spans="1:23" ht="12.75" thickBot="1" x14ac:dyDescent="0.25">
      <c r="A301" s="263" t="s">
        <v>400</v>
      </c>
      <c r="B301" s="270">
        <f>SUM(B280:B300)</f>
        <v>66</v>
      </c>
      <c r="C301" s="270"/>
      <c r="D301" s="270"/>
      <c r="E301" s="270"/>
      <c r="F301" s="270"/>
      <c r="G301" s="270"/>
      <c r="H301" s="270"/>
      <c r="I301" s="270"/>
      <c r="J301" s="270"/>
      <c r="K301" s="265">
        <f>SUM(K280:K300)</f>
        <v>45346.389999999992</v>
      </c>
      <c r="L301" s="265">
        <f>SUM(L280:L300)</f>
        <v>544156.67999999993</v>
      </c>
      <c r="M301" s="270"/>
      <c r="N301" s="270"/>
      <c r="O301" s="270"/>
      <c r="P301" s="270"/>
      <c r="Q301" s="270"/>
      <c r="R301" s="270"/>
      <c r="S301" s="270"/>
      <c r="T301" s="270"/>
      <c r="U301" s="270"/>
      <c r="V301" s="265">
        <f>SUM(V280:V300)</f>
        <v>45346.389999999992</v>
      </c>
      <c r="W301" s="283">
        <f>SUM(W280:W300)</f>
        <v>544156.67999999993</v>
      </c>
    </row>
    <row r="304" spans="1:23" ht="12.75" thickBot="1" x14ac:dyDescent="0.25">
      <c r="A304" s="257" t="s">
        <v>438</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2.75" thickBot="1" x14ac:dyDescent="0.25">
      <c r="A305" s="321" t="s">
        <v>362</v>
      </c>
      <c r="B305" s="1470" t="s">
        <v>363</v>
      </c>
      <c r="C305" s="1471"/>
      <c r="D305" s="1471"/>
      <c r="E305" s="1471"/>
      <c r="F305" s="1471"/>
      <c r="G305" s="1471"/>
      <c r="H305" s="1471"/>
      <c r="I305" s="1471"/>
      <c r="J305" s="1471"/>
      <c r="K305" s="1471"/>
      <c r="L305" s="1472"/>
      <c r="M305" s="1470" t="s">
        <v>364</v>
      </c>
      <c r="N305" s="1471"/>
      <c r="O305" s="1471"/>
      <c r="P305" s="1471"/>
      <c r="Q305" s="1471"/>
      <c r="R305" s="1471"/>
      <c r="S305" s="1471"/>
      <c r="T305" s="1471"/>
      <c r="U305" s="1471"/>
      <c r="V305" s="1471"/>
      <c r="W305" s="1472"/>
    </row>
    <row r="306" spans="1:23" ht="111" x14ac:dyDescent="0.2">
      <c r="A306" s="322" t="s">
        <v>365</v>
      </c>
      <c r="B306" s="656" t="s">
        <v>366</v>
      </c>
      <c r="C306" s="656" t="s">
        <v>367</v>
      </c>
      <c r="D306" s="657" t="s">
        <v>368</v>
      </c>
      <c r="E306" s="657" t="s">
        <v>369</v>
      </c>
      <c r="F306" s="657" t="s">
        <v>370</v>
      </c>
      <c r="G306" s="657" t="s">
        <v>371</v>
      </c>
      <c r="H306" s="657" t="s">
        <v>372</v>
      </c>
      <c r="I306" s="657" t="s">
        <v>373</v>
      </c>
      <c r="J306" s="658" t="s">
        <v>374</v>
      </c>
      <c r="K306" s="659" t="s">
        <v>375</v>
      </c>
      <c r="L306" s="660" t="s">
        <v>376</v>
      </c>
      <c r="M306" s="661" t="s">
        <v>366</v>
      </c>
      <c r="N306" s="656" t="s">
        <v>367</v>
      </c>
      <c r="O306" s="657" t="s">
        <v>368</v>
      </c>
      <c r="P306" s="657" t="s">
        <v>369</v>
      </c>
      <c r="Q306" s="657" t="s">
        <v>370</v>
      </c>
      <c r="R306" s="657" t="s">
        <v>371</v>
      </c>
      <c r="S306" s="657" t="s">
        <v>372</v>
      </c>
      <c r="T306" s="657" t="s">
        <v>373</v>
      </c>
      <c r="U306" s="658" t="s">
        <v>374</v>
      </c>
      <c r="V306" s="659" t="s">
        <v>375</v>
      </c>
      <c r="W306" s="660" t="s">
        <v>377</v>
      </c>
    </row>
    <row r="307" spans="1:23" x14ac:dyDescent="0.2">
      <c r="A307" s="662"/>
      <c r="B307" s="663"/>
      <c r="C307" s="663"/>
      <c r="D307" s="663"/>
      <c r="E307" s="663"/>
      <c r="F307" s="663"/>
      <c r="G307" s="663"/>
      <c r="H307" s="663"/>
      <c r="I307" s="663"/>
      <c r="J307" s="664"/>
      <c r="K307" s="664"/>
      <c r="L307" s="665"/>
      <c r="M307" s="666"/>
      <c r="N307" s="663"/>
      <c r="O307" s="663"/>
      <c r="P307" s="663"/>
      <c r="Q307" s="663"/>
      <c r="R307" s="663"/>
      <c r="S307" s="663"/>
      <c r="T307" s="663"/>
      <c r="U307" s="664"/>
      <c r="V307" s="664"/>
      <c r="W307" s="665"/>
    </row>
    <row r="308" spans="1:23" x14ac:dyDescent="0.2">
      <c r="A308" s="9" t="s">
        <v>378</v>
      </c>
      <c r="B308" s="161">
        <f>SUM(B309:B315)</f>
        <v>11</v>
      </c>
      <c r="C308" s="161">
        <f t="shared" ref="C308:J308" si="33">SUM(C309:C315)</f>
        <v>0</v>
      </c>
      <c r="D308" s="161">
        <f t="shared" si="33"/>
        <v>0</v>
      </c>
      <c r="E308" s="161">
        <f t="shared" si="33"/>
        <v>0</v>
      </c>
      <c r="F308" s="161">
        <f t="shared" si="33"/>
        <v>0</v>
      </c>
      <c r="G308" s="161">
        <f t="shared" si="33"/>
        <v>0</v>
      </c>
      <c r="H308" s="161">
        <f t="shared" si="33"/>
        <v>0</v>
      </c>
      <c r="I308" s="161">
        <f t="shared" si="33"/>
        <v>0</v>
      </c>
      <c r="J308" s="161">
        <f t="shared" si="33"/>
        <v>0</v>
      </c>
      <c r="K308" s="161">
        <f>SUM(K309:K315)</f>
        <v>11</v>
      </c>
      <c r="L308" s="174">
        <f>SUM(L309:L316)</f>
        <v>541674.04</v>
      </c>
      <c r="M308" s="187">
        <f>SUM(M309:M315)</f>
        <v>11</v>
      </c>
      <c r="N308" s="161">
        <f t="shared" ref="N308:P308" si="34">SUM(N309:N316)</f>
        <v>0</v>
      </c>
      <c r="O308" s="161">
        <f t="shared" si="34"/>
        <v>0</v>
      </c>
      <c r="P308" s="161">
        <f t="shared" si="34"/>
        <v>0</v>
      </c>
      <c r="Q308" s="161">
        <f>SUM(Q309:Q316)</f>
        <v>0</v>
      </c>
      <c r="R308" s="161">
        <f t="shared" ref="R308:U308" si="35">SUM(R309:R316)</f>
        <v>0</v>
      </c>
      <c r="S308" s="161">
        <f t="shared" si="35"/>
        <v>0</v>
      </c>
      <c r="T308" s="161">
        <f t="shared" si="35"/>
        <v>0</v>
      </c>
      <c r="U308" s="161">
        <f t="shared" si="35"/>
        <v>0</v>
      </c>
      <c r="V308" s="161">
        <f>SUM(V309+V310+V311+V312+V313+V314+V315+V316)</f>
        <v>11</v>
      </c>
      <c r="W308" s="174">
        <f>SUM(W309:W316)</f>
        <v>541674.04</v>
      </c>
    </row>
    <row r="309" spans="1:23" x14ac:dyDescent="0.2">
      <c r="A309" s="8" t="s">
        <v>402</v>
      </c>
      <c r="B309" s="203"/>
      <c r="C309" s="203"/>
      <c r="D309" s="203"/>
      <c r="E309" s="203"/>
      <c r="F309" s="203"/>
      <c r="G309" s="203"/>
      <c r="H309" s="203"/>
      <c r="I309" s="203"/>
      <c r="J309" s="203"/>
      <c r="K309" s="203"/>
      <c r="L309" s="11"/>
      <c r="M309" s="204"/>
      <c r="N309" s="203"/>
      <c r="O309" s="203"/>
      <c r="P309" s="203"/>
      <c r="Q309" s="203"/>
      <c r="R309" s="203"/>
      <c r="S309" s="203"/>
      <c r="T309" s="203"/>
      <c r="U309" s="203"/>
      <c r="V309" s="203"/>
      <c r="W309" s="11"/>
    </row>
    <row r="310" spans="1:23" x14ac:dyDescent="0.2">
      <c r="A310" s="8" t="s">
        <v>379</v>
      </c>
      <c r="B310" s="203"/>
      <c r="C310" s="203"/>
      <c r="D310" s="203"/>
      <c r="E310" s="203"/>
      <c r="F310" s="203"/>
      <c r="G310" s="203"/>
      <c r="H310" s="203"/>
      <c r="I310" s="203"/>
      <c r="J310" s="203"/>
      <c r="K310" s="203"/>
      <c r="L310" s="11"/>
      <c r="M310" s="204"/>
      <c r="N310" s="203"/>
      <c r="O310" s="203"/>
      <c r="P310" s="203"/>
      <c r="Q310" s="203"/>
      <c r="R310" s="203"/>
      <c r="S310" s="203"/>
      <c r="T310" s="203"/>
      <c r="U310" s="203"/>
      <c r="V310" s="203"/>
      <c r="W310" s="11"/>
    </row>
    <row r="311" spans="1:23" x14ac:dyDescent="0.2">
      <c r="A311" s="8" t="s">
        <v>380</v>
      </c>
      <c r="B311" s="203">
        <v>1</v>
      </c>
      <c r="C311" s="203"/>
      <c r="D311" s="203"/>
      <c r="E311" s="203"/>
      <c r="F311" s="203"/>
      <c r="G311" s="203"/>
      <c r="H311" s="203"/>
      <c r="I311" s="203"/>
      <c r="J311" s="203"/>
      <c r="K311" s="203">
        <v>1</v>
      </c>
      <c r="L311" s="205">
        <v>72174.880000000005</v>
      </c>
      <c r="M311" s="204">
        <v>1</v>
      </c>
      <c r="N311" s="203"/>
      <c r="O311" s="203"/>
      <c r="P311" s="203"/>
      <c r="Q311" s="203"/>
      <c r="R311" s="203"/>
      <c r="S311" s="203"/>
      <c r="T311" s="203"/>
      <c r="U311" s="203"/>
      <c r="V311" s="203">
        <v>1</v>
      </c>
      <c r="W311" s="205">
        <v>72174.880000000005</v>
      </c>
    </row>
    <row r="312" spans="1:23" x14ac:dyDescent="0.2">
      <c r="A312" s="8" t="s">
        <v>381</v>
      </c>
      <c r="B312" s="203">
        <v>5</v>
      </c>
      <c r="C312" s="203"/>
      <c r="D312" s="203"/>
      <c r="E312" s="203"/>
      <c r="F312" s="203"/>
      <c r="G312" s="203"/>
      <c r="H312" s="203"/>
      <c r="I312" s="203"/>
      <c r="J312" s="203"/>
      <c r="K312" s="203">
        <v>5</v>
      </c>
      <c r="L312" s="206">
        <v>275490</v>
      </c>
      <c r="M312" s="204">
        <v>5</v>
      </c>
      <c r="N312" s="203"/>
      <c r="O312" s="203"/>
      <c r="P312" s="203"/>
      <c r="Q312" s="203"/>
      <c r="R312" s="203"/>
      <c r="S312" s="203"/>
      <c r="T312" s="203"/>
      <c r="U312" s="203"/>
      <c r="V312" s="203">
        <v>5</v>
      </c>
      <c r="W312" s="206">
        <v>275490</v>
      </c>
    </row>
    <row r="313" spans="1:23" x14ac:dyDescent="0.2">
      <c r="A313" s="8" t="s">
        <v>382</v>
      </c>
      <c r="B313" s="203">
        <v>0</v>
      </c>
      <c r="C313" s="203"/>
      <c r="D313" s="203"/>
      <c r="E313" s="203"/>
      <c r="F313" s="203"/>
      <c r="G313" s="203"/>
      <c r="H313" s="203"/>
      <c r="I313" s="203"/>
      <c r="J313" s="203"/>
      <c r="K313" s="203">
        <v>0</v>
      </c>
      <c r="L313" s="11"/>
      <c r="M313" s="204">
        <v>0</v>
      </c>
      <c r="N313" s="203"/>
      <c r="O313" s="203"/>
      <c r="P313" s="203"/>
      <c r="Q313" s="203"/>
      <c r="R313" s="203"/>
      <c r="S313" s="203"/>
      <c r="T313" s="203"/>
      <c r="U313" s="203"/>
      <c r="V313" s="203">
        <v>0</v>
      </c>
      <c r="W313" s="11"/>
    </row>
    <row r="314" spans="1:23" x14ac:dyDescent="0.2">
      <c r="A314" s="8" t="s">
        <v>383</v>
      </c>
      <c r="B314" s="203">
        <v>2</v>
      </c>
      <c r="C314" s="203"/>
      <c r="D314" s="203"/>
      <c r="E314" s="203"/>
      <c r="F314" s="203"/>
      <c r="G314" s="203"/>
      <c r="H314" s="203"/>
      <c r="I314" s="203"/>
      <c r="J314" s="203"/>
      <c r="K314" s="203">
        <v>2</v>
      </c>
      <c r="L314" s="205">
        <v>79920.479999999996</v>
      </c>
      <c r="M314" s="204">
        <v>2</v>
      </c>
      <c r="N314" s="203"/>
      <c r="O314" s="203"/>
      <c r="P314" s="203"/>
      <c r="Q314" s="203"/>
      <c r="R314" s="203"/>
      <c r="S314" s="203"/>
      <c r="T314" s="203"/>
      <c r="U314" s="203"/>
      <c r="V314" s="203">
        <v>2</v>
      </c>
      <c r="W314" s="205">
        <v>79920.479999999996</v>
      </c>
    </row>
    <row r="315" spans="1:23" x14ac:dyDescent="0.2">
      <c r="A315" s="182" t="s">
        <v>384</v>
      </c>
      <c r="B315" s="203">
        <v>3</v>
      </c>
      <c r="C315" s="203"/>
      <c r="D315" s="203"/>
      <c r="E315" s="203"/>
      <c r="F315" s="203"/>
      <c r="G315" s="203"/>
      <c r="H315" s="203"/>
      <c r="I315" s="203"/>
      <c r="J315" s="203"/>
      <c r="K315" s="203">
        <v>3</v>
      </c>
      <c r="L315" s="206">
        <v>114088.68</v>
      </c>
      <c r="M315" s="204">
        <v>3</v>
      </c>
      <c r="N315" s="203"/>
      <c r="O315" s="203"/>
      <c r="P315" s="203"/>
      <c r="Q315" s="203"/>
      <c r="R315" s="203"/>
      <c r="S315" s="203"/>
      <c r="T315" s="203"/>
      <c r="U315" s="203"/>
      <c r="V315" s="203">
        <v>3</v>
      </c>
      <c r="W315" s="206">
        <v>114088.68</v>
      </c>
    </row>
    <row r="316" spans="1:23" x14ac:dyDescent="0.2">
      <c r="A316" s="182"/>
      <c r="B316" s="203"/>
      <c r="C316" s="203"/>
      <c r="D316" s="203"/>
      <c r="E316" s="203"/>
      <c r="F316" s="203"/>
      <c r="G316" s="203"/>
      <c r="H316" s="203"/>
      <c r="I316" s="203"/>
      <c r="J316" s="203"/>
      <c r="K316" s="203"/>
      <c r="L316" s="206"/>
      <c r="M316" s="204"/>
      <c r="N316" s="203"/>
      <c r="O316" s="203"/>
      <c r="P316" s="203"/>
      <c r="Q316" s="203"/>
      <c r="R316" s="203"/>
      <c r="S316" s="203"/>
      <c r="T316" s="203"/>
      <c r="U316" s="203"/>
      <c r="V316" s="203"/>
      <c r="W316" s="206"/>
    </row>
    <row r="317" spans="1:23" x14ac:dyDescent="0.2">
      <c r="A317" s="9" t="s">
        <v>385</v>
      </c>
      <c r="B317" s="207">
        <f>SUM(B318:B322)</f>
        <v>22</v>
      </c>
      <c r="C317" s="207">
        <f t="shared" ref="C317:K317" si="36">SUM(C318:C322)</f>
        <v>0</v>
      </c>
      <c r="D317" s="207">
        <f t="shared" si="36"/>
        <v>0</v>
      </c>
      <c r="E317" s="207">
        <f t="shared" si="36"/>
        <v>0</v>
      </c>
      <c r="F317" s="207">
        <f t="shared" si="36"/>
        <v>0</v>
      </c>
      <c r="G317" s="207">
        <f t="shared" si="36"/>
        <v>0</v>
      </c>
      <c r="H317" s="207">
        <f t="shared" si="36"/>
        <v>0</v>
      </c>
      <c r="I317" s="207">
        <f t="shared" si="36"/>
        <v>0</v>
      </c>
      <c r="J317" s="207">
        <f t="shared" si="36"/>
        <v>0</v>
      </c>
      <c r="K317" s="207">
        <f t="shared" si="36"/>
        <v>22</v>
      </c>
      <c r="L317" s="174">
        <f>SUM(L318:L322)</f>
        <v>606803.28</v>
      </c>
      <c r="M317" s="187">
        <f>SUM(M318:M322)</f>
        <v>22</v>
      </c>
      <c r="N317" s="187">
        <f>SUM(N318:N322)</f>
        <v>0</v>
      </c>
      <c r="O317" s="187">
        <f t="shared" ref="O317:U317" si="37">SUM(O318:O322)</f>
        <v>0</v>
      </c>
      <c r="P317" s="187">
        <f t="shared" si="37"/>
        <v>0</v>
      </c>
      <c r="Q317" s="187">
        <f t="shared" si="37"/>
        <v>0</v>
      </c>
      <c r="R317" s="187">
        <f t="shared" si="37"/>
        <v>0</v>
      </c>
      <c r="S317" s="187">
        <f t="shared" si="37"/>
        <v>0</v>
      </c>
      <c r="T317" s="187">
        <f t="shared" si="37"/>
        <v>0</v>
      </c>
      <c r="U317" s="187">
        <f t="shared" si="37"/>
        <v>0</v>
      </c>
      <c r="V317" s="161">
        <f>SUM(V318:V323)</f>
        <v>22</v>
      </c>
      <c r="W317" s="174">
        <f>SUM(W318:W323)</f>
        <v>606803.28</v>
      </c>
    </row>
    <row r="318" spans="1:23" x14ac:dyDescent="0.2">
      <c r="A318" s="8" t="s">
        <v>386</v>
      </c>
      <c r="B318" s="203">
        <v>6</v>
      </c>
      <c r="C318" s="203"/>
      <c r="D318" s="203"/>
      <c r="E318" s="203"/>
      <c r="F318" s="203"/>
      <c r="G318" s="203"/>
      <c r="H318" s="203"/>
      <c r="I318" s="203"/>
      <c r="J318" s="203"/>
      <c r="K318" s="203">
        <v>6</v>
      </c>
      <c r="L318" s="193">
        <v>225464.4</v>
      </c>
      <c r="M318" s="204">
        <v>6</v>
      </c>
      <c r="N318" s="203"/>
      <c r="O318" s="203"/>
      <c r="P318" s="203"/>
      <c r="Q318" s="203"/>
      <c r="R318" s="203"/>
      <c r="S318" s="203"/>
      <c r="T318" s="203"/>
      <c r="U318" s="203"/>
      <c r="V318" s="203">
        <v>6</v>
      </c>
      <c r="W318" s="193">
        <v>225464.4</v>
      </c>
    </row>
    <row r="319" spans="1:23" x14ac:dyDescent="0.2">
      <c r="A319" s="8" t="s">
        <v>387</v>
      </c>
      <c r="B319" s="203">
        <v>0</v>
      </c>
      <c r="C319" s="203"/>
      <c r="D319" s="203"/>
      <c r="E319" s="203"/>
      <c r="F319" s="203"/>
      <c r="G319" s="203"/>
      <c r="H319" s="203"/>
      <c r="I319" s="203"/>
      <c r="J319" s="203"/>
      <c r="K319" s="203">
        <v>0</v>
      </c>
      <c r="L319" s="11"/>
      <c r="M319" s="204">
        <v>0</v>
      </c>
      <c r="N319" s="203"/>
      <c r="O319" s="203"/>
      <c r="P319" s="203"/>
      <c r="Q319" s="203"/>
      <c r="R319" s="203"/>
      <c r="S319" s="203"/>
      <c r="T319" s="203"/>
      <c r="U319" s="203"/>
      <c r="V319" s="203">
        <v>0</v>
      </c>
      <c r="W319" s="11"/>
    </row>
    <row r="320" spans="1:23" x14ac:dyDescent="0.2">
      <c r="A320" s="8" t="s">
        <v>388</v>
      </c>
      <c r="B320" s="203"/>
      <c r="C320" s="203"/>
      <c r="D320" s="203"/>
      <c r="E320" s="203"/>
      <c r="F320" s="203"/>
      <c r="G320" s="203"/>
      <c r="H320" s="203"/>
      <c r="I320" s="203"/>
      <c r="J320" s="203"/>
      <c r="K320" s="203"/>
      <c r="L320" s="11"/>
      <c r="M320" s="204"/>
      <c r="N320" s="203"/>
      <c r="O320" s="203"/>
      <c r="P320" s="203"/>
      <c r="Q320" s="203"/>
      <c r="R320" s="203"/>
      <c r="S320" s="203"/>
      <c r="T320" s="203"/>
      <c r="U320" s="203"/>
      <c r="V320" s="203"/>
      <c r="W320" s="11"/>
    </row>
    <row r="321" spans="1:23" x14ac:dyDescent="0.2">
      <c r="A321" s="8" t="s">
        <v>437</v>
      </c>
      <c r="B321" s="203"/>
      <c r="C321" s="203"/>
      <c r="D321" s="203"/>
      <c r="E321" s="203"/>
      <c r="F321" s="203"/>
      <c r="G321" s="203"/>
      <c r="H321" s="203"/>
      <c r="I321" s="203"/>
      <c r="J321" s="203"/>
      <c r="K321" s="203"/>
      <c r="L321" s="11"/>
      <c r="M321" s="204"/>
      <c r="N321" s="203"/>
      <c r="O321" s="203"/>
      <c r="P321" s="203"/>
      <c r="Q321" s="203"/>
      <c r="R321" s="203"/>
      <c r="S321" s="203"/>
      <c r="T321" s="203"/>
      <c r="U321" s="203"/>
      <c r="V321" s="203"/>
      <c r="W321" s="11"/>
    </row>
    <row r="322" spans="1:23" x14ac:dyDescent="0.2">
      <c r="A322" s="8" t="s">
        <v>408</v>
      </c>
      <c r="B322" s="203">
        <v>16</v>
      </c>
      <c r="C322" s="203"/>
      <c r="D322" s="203"/>
      <c r="E322" s="203"/>
      <c r="F322" s="203"/>
      <c r="G322" s="203"/>
      <c r="H322" s="203"/>
      <c r="I322" s="203"/>
      <c r="J322" s="203"/>
      <c r="K322" s="203">
        <v>16</v>
      </c>
      <c r="L322" s="193">
        <v>381338.88</v>
      </c>
      <c r="M322" s="204">
        <v>16</v>
      </c>
      <c r="N322" s="203"/>
      <c r="O322" s="203"/>
      <c r="P322" s="203"/>
      <c r="Q322" s="203"/>
      <c r="R322" s="203"/>
      <c r="S322" s="203"/>
      <c r="T322" s="203"/>
      <c r="U322" s="203"/>
      <c r="V322" s="203">
        <v>16</v>
      </c>
      <c r="W322" s="193">
        <v>381338.88</v>
      </c>
    </row>
    <row r="323" spans="1:23" x14ac:dyDescent="0.2">
      <c r="A323" s="8"/>
      <c r="B323" s="203"/>
      <c r="C323" s="203"/>
      <c r="D323" s="203"/>
      <c r="E323" s="203"/>
      <c r="F323" s="203"/>
      <c r="G323" s="203"/>
      <c r="H323" s="203"/>
      <c r="I323" s="203"/>
      <c r="J323" s="203"/>
      <c r="K323" s="203"/>
      <c r="L323" s="175"/>
      <c r="M323" s="204"/>
      <c r="N323" s="203"/>
      <c r="O323" s="203"/>
      <c r="P323" s="203"/>
      <c r="Q323" s="203"/>
      <c r="R323" s="203"/>
      <c r="S323" s="203"/>
      <c r="T323" s="203"/>
      <c r="U323" s="203"/>
      <c r="V323" s="203"/>
      <c r="W323" s="175"/>
    </row>
    <row r="324" spans="1:23" x14ac:dyDescent="0.2">
      <c r="A324" s="9" t="s">
        <v>389</v>
      </c>
      <c r="B324" s="207">
        <f>SUM(B325:B330)</f>
        <v>47</v>
      </c>
      <c r="C324" s="207">
        <f t="shared" ref="C324:K324" si="38">SUM(C325:C330)</f>
        <v>0</v>
      </c>
      <c r="D324" s="207">
        <f t="shared" si="38"/>
        <v>0</v>
      </c>
      <c r="E324" s="207">
        <f t="shared" si="38"/>
        <v>0</v>
      </c>
      <c r="F324" s="207">
        <f t="shared" si="38"/>
        <v>0</v>
      </c>
      <c r="G324" s="207">
        <f t="shared" si="38"/>
        <v>0</v>
      </c>
      <c r="H324" s="207">
        <f t="shared" si="38"/>
        <v>0</v>
      </c>
      <c r="I324" s="207">
        <f t="shared" si="38"/>
        <v>0</v>
      </c>
      <c r="J324" s="207">
        <f t="shared" si="38"/>
        <v>0</v>
      </c>
      <c r="K324" s="207">
        <f t="shared" si="38"/>
        <v>47</v>
      </c>
      <c r="L324" s="174">
        <f>SUM(L325:L330)</f>
        <v>703944.4800000001</v>
      </c>
      <c r="M324" s="187">
        <f>SUM(M325:M330)</f>
        <v>47</v>
      </c>
      <c r="N324" s="187">
        <f>SUM(N325:N330)</f>
        <v>0</v>
      </c>
      <c r="O324" s="187">
        <f t="shared" ref="O324:U324" si="39">SUM(O325:O330)</f>
        <v>0</v>
      </c>
      <c r="P324" s="187">
        <f t="shared" si="39"/>
        <v>0</v>
      </c>
      <c r="Q324" s="187">
        <f t="shared" si="39"/>
        <v>0</v>
      </c>
      <c r="R324" s="187">
        <f t="shared" si="39"/>
        <v>0</v>
      </c>
      <c r="S324" s="187">
        <f t="shared" si="39"/>
        <v>0</v>
      </c>
      <c r="T324" s="187">
        <f t="shared" si="39"/>
        <v>0</v>
      </c>
      <c r="U324" s="187">
        <f t="shared" si="39"/>
        <v>0</v>
      </c>
      <c r="V324" s="161">
        <f>SUM(V325:V331)</f>
        <v>47</v>
      </c>
      <c r="W324" s="174">
        <f>SUM(W325:W331)</f>
        <v>703944.4800000001</v>
      </c>
    </row>
    <row r="325" spans="1:23" x14ac:dyDescent="0.2">
      <c r="A325" s="8" t="s">
        <v>390</v>
      </c>
      <c r="B325" s="203">
        <v>21</v>
      </c>
      <c r="C325" s="203"/>
      <c r="D325" s="203"/>
      <c r="E325" s="203"/>
      <c r="F325" s="203"/>
      <c r="G325" s="203"/>
      <c r="H325" s="203"/>
      <c r="I325" s="203"/>
      <c r="J325" s="203"/>
      <c r="K325" s="203">
        <v>21</v>
      </c>
      <c r="L325" s="193">
        <v>412503.84</v>
      </c>
      <c r="M325" s="203">
        <v>21</v>
      </c>
      <c r="N325" s="203"/>
      <c r="O325" s="203"/>
      <c r="P325" s="203"/>
      <c r="Q325" s="203"/>
      <c r="R325" s="203"/>
      <c r="S325" s="203"/>
      <c r="T325" s="203"/>
      <c r="U325" s="203"/>
      <c r="V325" s="203">
        <v>21</v>
      </c>
      <c r="W325" s="193">
        <v>412503.84</v>
      </c>
    </row>
    <row r="326" spans="1:23" x14ac:dyDescent="0.2">
      <c r="A326" s="8" t="s">
        <v>391</v>
      </c>
      <c r="B326" s="203">
        <v>1</v>
      </c>
      <c r="C326" s="203"/>
      <c r="D326" s="203"/>
      <c r="E326" s="203"/>
      <c r="F326" s="203"/>
      <c r="G326" s="203"/>
      <c r="H326" s="203"/>
      <c r="I326" s="203"/>
      <c r="J326" s="203"/>
      <c r="K326" s="203">
        <v>1</v>
      </c>
      <c r="L326" s="193">
        <v>10269.24</v>
      </c>
      <c r="M326" s="203">
        <v>1</v>
      </c>
      <c r="N326" s="203"/>
      <c r="O326" s="203"/>
      <c r="P326" s="203"/>
      <c r="Q326" s="203"/>
      <c r="R326" s="203"/>
      <c r="S326" s="203"/>
      <c r="T326" s="203"/>
      <c r="U326" s="203"/>
      <c r="V326" s="203">
        <v>1</v>
      </c>
      <c r="W326" s="193">
        <v>10269.24</v>
      </c>
    </row>
    <row r="327" spans="1:23" x14ac:dyDescent="0.2">
      <c r="A327" s="8" t="s">
        <v>392</v>
      </c>
      <c r="B327" s="203">
        <v>2</v>
      </c>
      <c r="C327" s="203"/>
      <c r="D327" s="203"/>
      <c r="E327" s="203"/>
      <c r="F327" s="203"/>
      <c r="G327" s="203"/>
      <c r="H327" s="203"/>
      <c r="I327" s="203"/>
      <c r="J327" s="203"/>
      <c r="K327" s="203">
        <v>2</v>
      </c>
      <c r="L327" s="193">
        <v>20083.2</v>
      </c>
      <c r="M327" s="203">
        <v>2</v>
      </c>
      <c r="N327" s="203"/>
      <c r="O327" s="203"/>
      <c r="P327" s="203"/>
      <c r="Q327" s="203"/>
      <c r="R327" s="203"/>
      <c r="S327" s="203"/>
      <c r="T327" s="203"/>
      <c r="U327" s="203"/>
      <c r="V327" s="203">
        <v>2</v>
      </c>
      <c r="W327" s="193">
        <v>20083.2</v>
      </c>
    </row>
    <row r="328" spans="1:23" x14ac:dyDescent="0.2">
      <c r="A328" s="8" t="s">
        <v>439</v>
      </c>
      <c r="B328" s="203">
        <v>0</v>
      </c>
      <c r="C328" s="203"/>
      <c r="D328" s="203"/>
      <c r="E328" s="203"/>
      <c r="F328" s="203"/>
      <c r="G328" s="203"/>
      <c r="H328" s="203"/>
      <c r="I328" s="203"/>
      <c r="J328" s="203"/>
      <c r="K328" s="203">
        <v>0</v>
      </c>
      <c r="L328" s="193">
        <v>0</v>
      </c>
      <c r="M328" s="203">
        <v>0</v>
      </c>
      <c r="N328" s="203"/>
      <c r="O328" s="203"/>
      <c r="P328" s="203"/>
      <c r="Q328" s="203"/>
      <c r="R328" s="203"/>
      <c r="S328" s="203"/>
      <c r="T328" s="203"/>
      <c r="U328" s="203"/>
      <c r="V328" s="203">
        <v>0</v>
      </c>
      <c r="W328" s="193">
        <v>0</v>
      </c>
    </row>
    <row r="329" spans="1:23" x14ac:dyDescent="0.2">
      <c r="A329" s="8" t="s">
        <v>409</v>
      </c>
      <c r="B329" s="203">
        <v>22</v>
      </c>
      <c r="C329" s="203"/>
      <c r="D329" s="203"/>
      <c r="E329" s="203"/>
      <c r="F329" s="203"/>
      <c r="G329" s="203"/>
      <c r="H329" s="203"/>
      <c r="I329" s="203"/>
      <c r="J329" s="203"/>
      <c r="K329" s="203">
        <v>22</v>
      </c>
      <c r="L329" s="193">
        <v>251758.32</v>
      </c>
      <c r="M329" s="203">
        <v>22</v>
      </c>
      <c r="N329" s="203"/>
      <c r="O329" s="203"/>
      <c r="P329" s="203"/>
      <c r="Q329" s="203"/>
      <c r="R329" s="203"/>
      <c r="S329" s="203"/>
      <c r="T329" s="203"/>
      <c r="U329" s="203"/>
      <c r="V329" s="203">
        <v>22</v>
      </c>
      <c r="W329" s="193">
        <v>251758.32</v>
      </c>
    </row>
    <row r="330" spans="1:23" x14ac:dyDescent="0.2">
      <c r="A330" s="8" t="s">
        <v>440</v>
      </c>
      <c r="B330" s="203">
        <v>1</v>
      </c>
      <c r="C330" s="203"/>
      <c r="D330" s="203"/>
      <c r="E330" s="203"/>
      <c r="F330" s="203"/>
      <c r="G330" s="203"/>
      <c r="H330" s="203"/>
      <c r="I330" s="203"/>
      <c r="J330" s="203"/>
      <c r="K330" s="203">
        <v>1</v>
      </c>
      <c r="L330" s="193">
        <v>9329.8799999999992</v>
      </c>
      <c r="M330" s="203">
        <v>1</v>
      </c>
      <c r="N330" s="203"/>
      <c r="O330" s="203"/>
      <c r="P330" s="203"/>
      <c r="Q330" s="203"/>
      <c r="R330" s="203"/>
      <c r="S330" s="203"/>
      <c r="T330" s="203"/>
      <c r="U330" s="203"/>
      <c r="V330" s="203">
        <v>1</v>
      </c>
      <c r="W330" s="193">
        <v>9329.8799999999992</v>
      </c>
    </row>
    <row r="331" spans="1:23" x14ac:dyDescent="0.2">
      <c r="A331" s="8"/>
      <c r="B331" s="203"/>
      <c r="C331" s="203"/>
      <c r="D331" s="203"/>
      <c r="E331" s="203"/>
      <c r="F331" s="203"/>
      <c r="G331" s="203"/>
      <c r="H331" s="203"/>
      <c r="I331" s="203"/>
      <c r="J331" s="203"/>
      <c r="K331" s="203"/>
      <c r="L331" s="175"/>
      <c r="M331" s="204"/>
      <c r="N331" s="203"/>
      <c r="O331" s="203"/>
      <c r="P331" s="203"/>
      <c r="Q331" s="203"/>
      <c r="R331" s="203"/>
      <c r="S331" s="203"/>
      <c r="T331" s="203"/>
      <c r="U331" s="203"/>
      <c r="V331" s="203"/>
      <c r="W331" s="175"/>
    </row>
    <row r="332" spans="1:23" x14ac:dyDescent="0.2">
      <c r="A332" s="9" t="s">
        <v>393</v>
      </c>
      <c r="B332" s="207">
        <f>SUM(B333:B337)</f>
        <v>29</v>
      </c>
      <c r="C332" s="207">
        <f>SUM(C333:C341)</f>
        <v>0</v>
      </c>
      <c r="D332" s="207">
        <v>0</v>
      </c>
      <c r="E332" s="207">
        <f t="shared" ref="E332:J332" si="40">SUM(E333:E341)</f>
        <v>0</v>
      </c>
      <c r="F332" s="207">
        <f t="shared" si="40"/>
        <v>0</v>
      </c>
      <c r="G332" s="207">
        <f t="shared" si="40"/>
        <v>0</v>
      </c>
      <c r="H332" s="207">
        <f t="shared" si="40"/>
        <v>0</v>
      </c>
      <c r="I332" s="207">
        <f t="shared" si="40"/>
        <v>0</v>
      </c>
      <c r="J332" s="207">
        <f t="shared" si="40"/>
        <v>0</v>
      </c>
      <c r="K332" s="207">
        <f>SUM(K333:K337)</f>
        <v>29</v>
      </c>
      <c r="L332" s="174">
        <f>SUM(L333:L337)</f>
        <v>302909.40000000002</v>
      </c>
      <c r="M332" s="187">
        <f>SUM(M333:M337)</f>
        <v>29</v>
      </c>
      <c r="N332" s="161">
        <f>SUM(N333:N341)</f>
        <v>0</v>
      </c>
      <c r="O332" s="161">
        <f t="shared" ref="O332:U332" si="41">SUM(O333:O341)</f>
        <v>0</v>
      </c>
      <c r="P332" s="161">
        <f t="shared" si="41"/>
        <v>0</v>
      </c>
      <c r="Q332" s="161">
        <f t="shared" si="41"/>
        <v>0</v>
      </c>
      <c r="R332" s="161">
        <f t="shared" si="41"/>
        <v>0</v>
      </c>
      <c r="S332" s="161">
        <f t="shared" si="41"/>
        <v>0</v>
      </c>
      <c r="T332" s="161">
        <f t="shared" si="41"/>
        <v>0</v>
      </c>
      <c r="U332" s="161">
        <f t="shared" si="41"/>
        <v>0</v>
      </c>
      <c r="V332" s="161">
        <f>SUM(V333:V337)</f>
        <v>29</v>
      </c>
      <c r="W332" s="208">
        <f>SUM(W333:W337)</f>
        <v>302909.40000000002</v>
      </c>
    </row>
    <row r="333" spans="1:23" x14ac:dyDescent="0.2">
      <c r="A333" s="8" t="s">
        <v>394</v>
      </c>
      <c r="B333" s="203">
        <v>0</v>
      </c>
      <c r="C333" s="203"/>
      <c r="D333" s="203"/>
      <c r="E333" s="203"/>
      <c r="F333" s="203"/>
      <c r="G333" s="203"/>
      <c r="H333" s="203"/>
      <c r="I333" s="203"/>
      <c r="J333" s="203"/>
      <c r="K333" s="203">
        <v>0</v>
      </c>
      <c r="L333" s="193">
        <v>0</v>
      </c>
      <c r="M333" s="203">
        <v>0</v>
      </c>
      <c r="N333" s="203"/>
      <c r="O333" s="203"/>
      <c r="P333" s="203"/>
      <c r="Q333" s="203"/>
      <c r="R333" s="203"/>
      <c r="S333" s="203"/>
      <c r="T333" s="203"/>
      <c r="U333" s="203"/>
      <c r="V333" s="203">
        <v>0</v>
      </c>
      <c r="W333" s="193">
        <v>0</v>
      </c>
    </row>
    <row r="334" spans="1:23" x14ac:dyDescent="0.2">
      <c r="A334" s="8" t="s">
        <v>441</v>
      </c>
      <c r="B334" s="203">
        <v>2</v>
      </c>
      <c r="C334" s="203"/>
      <c r="D334" s="203"/>
      <c r="E334" s="203"/>
      <c r="F334" s="203"/>
      <c r="G334" s="203"/>
      <c r="H334" s="203"/>
      <c r="I334" s="203"/>
      <c r="J334" s="203"/>
      <c r="K334" s="203">
        <v>2</v>
      </c>
      <c r="L334" s="193">
        <v>18084</v>
      </c>
      <c r="M334" s="203">
        <v>2</v>
      </c>
      <c r="N334" s="203"/>
      <c r="O334" s="203"/>
      <c r="P334" s="203"/>
      <c r="Q334" s="203"/>
      <c r="R334" s="203"/>
      <c r="S334" s="203"/>
      <c r="T334" s="203"/>
      <c r="U334" s="203"/>
      <c r="V334" s="203">
        <v>2</v>
      </c>
      <c r="W334" s="193">
        <v>18084</v>
      </c>
    </row>
    <row r="335" spans="1:23" x14ac:dyDescent="0.2">
      <c r="A335" s="8" t="s">
        <v>442</v>
      </c>
      <c r="B335" s="203">
        <v>1</v>
      </c>
      <c r="C335" s="203"/>
      <c r="D335" s="203"/>
      <c r="E335" s="203"/>
      <c r="F335" s="203"/>
      <c r="G335" s="203"/>
      <c r="H335" s="203"/>
      <c r="I335" s="203"/>
      <c r="J335" s="203"/>
      <c r="K335" s="203">
        <v>1</v>
      </c>
      <c r="L335" s="193">
        <v>9470.2800000000007</v>
      </c>
      <c r="M335" s="203">
        <v>1</v>
      </c>
      <c r="N335" s="203"/>
      <c r="O335" s="203"/>
      <c r="P335" s="203"/>
      <c r="Q335" s="203"/>
      <c r="R335" s="203"/>
      <c r="S335" s="203"/>
      <c r="T335" s="203"/>
      <c r="U335" s="203"/>
      <c r="V335" s="203">
        <v>1</v>
      </c>
      <c r="W335" s="193">
        <v>9470.2800000000007</v>
      </c>
    </row>
    <row r="336" spans="1:23" x14ac:dyDescent="0.2">
      <c r="A336" s="8" t="s">
        <v>443</v>
      </c>
      <c r="B336" s="203">
        <v>1</v>
      </c>
      <c r="C336" s="203"/>
      <c r="D336" s="203"/>
      <c r="E336" s="203"/>
      <c r="F336" s="203"/>
      <c r="G336" s="203"/>
      <c r="H336" s="203"/>
      <c r="I336" s="203"/>
      <c r="J336" s="203"/>
      <c r="K336" s="203">
        <v>1</v>
      </c>
      <c r="L336" s="193">
        <v>22440.12</v>
      </c>
      <c r="M336" s="203">
        <v>1</v>
      </c>
      <c r="N336" s="203"/>
      <c r="O336" s="203"/>
      <c r="P336" s="203"/>
      <c r="Q336" s="203"/>
      <c r="R336" s="203"/>
      <c r="S336" s="203"/>
      <c r="T336" s="203"/>
      <c r="U336" s="203"/>
      <c r="V336" s="203">
        <v>1</v>
      </c>
      <c r="W336" s="193">
        <v>22440.12</v>
      </c>
    </row>
    <row r="337" spans="1:23" x14ac:dyDescent="0.2">
      <c r="A337" s="8" t="s">
        <v>410</v>
      </c>
      <c r="B337" s="203">
        <v>25</v>
      </c>
      <c r="C337" s="203"/>
      <c r="D337" s="203"/>
      <c r="E337" s="203"/>
      <c r="F337" s="203"/>
      <c r="G337" s="203"/>
      <c r="H337" s="203"/>
      <c r="I337" s="203"/>
      <c r="J337" s="203"/>
      <c r="K337" s="203">
        <v>25</v>
      </c>
      <c r="L337" s="193">
        <v>252915</v>
      </c>
      <c r="M337" s="203">
        <v>25</v>
      </c>
      <c r="N337" s="203"/>
      <c r="O337" s="203"/>
      <c r="P337" s="203"/>
      <c r="Q337" s="203"/>
      <c r="R337" s="203"/>
      <c r="S337" s="203"/>
      <c r="T337" s="203"/>
      <c r="U337" s="203"/>
      <c r="V337" s="203">
        <v>25</v>
      </c>
      <c r="W337" s="193">
        <v>252915</v>
      </c>
    </row>
    <row r="338" spans="1:23" x14ac:dyDescent="0.2">
      <c r="A338" s="209" t="s">
        <v>398</v>
      </c>
      <c r="B338" s="210">
        <f>SUM(B339:B340)</f>
        <v>0</v>
      </c>
      <c r="C338" s="210"/>
      <c r="D338" s="210">
        <f>SUM(D339:D340)</f>
        <v>58</v>
      </c>
      <c r="E338" s="210"/>
      <c r="F338" s="210"/>
      <c r="G338" s="210"/>
      <c r="H338" s="210"/>
      <c r="I338" s="210"/>
      <c r="J338" s="210"/>
      <c r="K338" s="210">
        <f>SUM(K339:K340)</f>
        <v>58</v>
      </c>
      <c r="L338" s="211">
        <f>SUM(L339:L340)</f>
        <v>1269422.8799999999</v>
      </c>
      <c r="M338" s="212">
        <f>SUM(M339:M340)</f>
        <v>58</v>
      </c>
      <c r="N338" s="210">
        <v>0</v>
      </c>
      <c r="O338" s="210">
        <v>0</v>
      </c>
      <c r="P338" s="210">
        <v>0</v>
      </c>
      <c r="Q338" s="210">
        <v>0</v>
      </c>
      <c r="R338" s="210">
        <v>0</v>
      </c>
      <c r="S338" s="210">
        <v>0</v>
      </c>
      <c r="T338" s="210">
        <v>0</v>
      </c>
      <c r="U338" s="210">
        <v>0</v>
      </c>
      <c r="V338" s="210">
        <f>SUM(V339:V340)</f>
        <v>58</v>
      </c>
      <c r="W338" s="211">
        <f>SUM(W339:W340)</f>
        <v>1269422.8799999999</v>
      </c>
    </row>
    <row r="339" spans="1:23" x14ac:dyDescent="0.2">
      <c r="A339" s="8" t="s">
        <v>444</v>
      </c>
      <c r="B339" s="203">
        <v>0</v>
      </c>
      <c r="C339" s="203"/>
      <c r="D339" s="203">
        <v>37</v>
      </c>
      <c r="E339" s="203"/>
      <c r="F339" s="203"/>
      <c r="G339" s="203"/>
      <c r="H339" s="203"/>
      <c r="I339" s="203"/>
      <c r="J339" s="203"/>
      <c r="K339" s="203">
        <v>37</v>
      </c>
      <c r="L339" s="193">
        <v>775938.84</v>
      </c>
      <c r="M339" s="203">
        <v>37</v>
      </c>
      <c r="N339" s="203"/>
      <c r="O339" s="203"/>
      <c r="P339" s="203"/>
      <c r="Q339" s="203"/>
      <c r="R339" s="203"/>
      <c r="S339" s="203"/>
      <c r="T339" s="203"/>
      <c r="U339" s="203"/>
      <c r="V339" s="203">
        <v>37</v>
      </c>
      <c r="W339" s="193">
        <v>775938.84</v>
      </c>
    </row>
    <row r="340" spans="1:23" x14ac:dyDescent="0.2">
      <c r="A340" s="8" t="s">
        <v>445</v>
      </c>
      <c r="B340" s="203">
        <v>0</v>
      </c>
      <c r="C340" s="203"/>
      <c r="D340" s="203">
        <v>21</v>
      </c>
      <c r="E340" s="203"/>
      <c r="F340" s="203"/>
      <c r="G340" s="203"/>
      <c r="H340" s="203"/>
      <c r="I340" s="203"/>
      <c r="J340" s="203"/>
      <c r="K340" s="203">
        <v>21</v>
      </c>
      <c r="L340" s="193">
        <v>493484.04</v>
      </c>
      <c r="M340" s="203">
        <v>21</v>
      </c>
      <c r="N340" s="203"/>
      <c r="O340" s="203"/>
      <c r="P340" s="203"/>
      <c r="Q340" s="203"/>
      <c r="R340" s="203"/>
      <c r="S340" s="203"/>
      <c r="T340" s="203"/>
      <c r="U340" s="203"/>
      <c r="V340" s="203">
        <v>21</v>
      </c>
      <c r="W340" s="193">
        <v>493484.04</v>
      </c>
    </row>
    <row r="341" spans="1:23" x14ac:dyDescent="0.2">
      <c r="A341" s="8"/>
      <c r="B341" s="203"/>
      <c r="C341" s="203"/>
      <c r="D341" s="203"/>
      <c r="E341" s="203"/>
      <c r="F341" s="203"/>
      <c r="G341" s="203"/>
      <c r="H341" s="203"/>
      <c r="I341" s="203"/>
      <c r="J341" s="203"/>
      <c r="K341" s="203"/>
      <c r="L341" s="175"/>
      <c r="M341" s="204"/>
      <c r="N341" s="203"/>
      <c r="O341" s="203"/>
      <c r="P341" s="203"/>
      <c r="Q341" s="203"/>
      <c r="R341" s="203"/>
      <c r="S341" s="203"/>
      <c r="T341" s="203"/>
      <c r="U341" s="203"/>
      <c r="V341" s="203"/>
      <c r="W341" s="175"/>
    </row>
    <row r="342" spans="1:23" ht="12.75" thickBot="1" x14ac:dyDescent="0.25">
      <c r="A342" s="279" t="s">
        <v>400</v>
      </c>
      <c r="B342" s="280">
        <f>SUM(B308+B317+B324+B332+B338)</f>
        <v>109</v>
      </c>
      <c r="C342" s="280">
        <f>SUM(C308,C317,C324,C332)</f>
        <v>0</v>
      </c>
      <c r="D342" s="280">
        <v>58</v>
      </c>
      <c r="E342" s="280">
        <f t="shared" ref="E342:J342" si="42">SUM(E308,E317,E324,E332)</f>
        <v>0</v>
      </c>
      <c r="F342" s="280">
        <f t="shared" si="42"/>
        <v>0</v>
      </c>
      <c r="G342" s="280">
        <f t="shared" si="42"/>
        <v>0</v>
      </c>
      <c r="H342" s="280">
        <f t="shared" si="42"/>
        <v>0</v>
      </c>
      <c r="I342" s="280">
        <f t="shared" si="42"/>
        <v>0</v>
      </c>
      <c r="J342" s="280">
        <f t="shared" si="42"/>
        <v>0</v>
      </c>
      <c r="K342" s="280">
        <f>SUM(K308+K317+K324+K332+K338)</f>
        <v>167</v>
      </c>
      <c r="L342" s="281">
        <f>SUM(L308+L317+L324+L332+L338)</f>
        <v>3424754.08</v>
      </c>
      <c r="M342" s="282">
        <f>SUM(M308+M317+M324+M332+M338)</f>
        <v>167</v>
      </c>
      <c r="N342" s="280">
        <f>SUM(N308,N317,N324,N332)</f>
        <v>0</v>
      </c>
      <c r="O342" s="280">
        <f t="shared" ref="O342:U342" si="43">SUM(O308,O317,O324,O332)</f>
        <v>0</v>
      </c>
      <c r="P342" s="280">
        <f t="shared" si="43"/>
        <v>0</v>
      </c>
      <c r="Q342" s="280">
        <f t="shared" si="43"/>
        <v>0</v>
      </c>
      <c r="R342" s="280">
        <f t="shared" si="43"/>
        <v>0</v>
      </c>
      <c r="S342" s="280">
        <f t="shared" si="43"/>
        <v>0</v>
      </c>
      <c r="T342" s="280">
        <f t="shared" si="43"/>
        <v>0</v>
      </c>
      <c r="U342" s="280">
        <f t="shared" si="43"/>
        <v>0</v>
      </c>
      <c r="V342" s="280">
        <f>SUM(V308+V317+V324+V332+V338)</f>
        <v>167</v>
      </c>
      <c r="W342" s="281">
        <f>SUM(W308+W317+W324+W332+W338)</f>
        <v>3424754.08</v>
      </c>
    </row>
    <row r="345" spans="1:23" ht="12.75" thickBot="1" x14ac:dyDescent="0.25">
      <c r="A345" s="257" t="s">
        <v>446</v>
      </c>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x14ac:dyDescent="0.2">
      <c r="A346" s="646" t="s">
        <v>362</v>
      </c>
      <c r="B346" s="1470" t="s">
        <v>363</v>
      </c>
      <c r="C346" s="1471"/>
      <c r="D346" s="1471"/>
      <c r="E346" s="1471"/>
      <c r="F346" s="1471"/>
      <c r="G346" s="1471"/>
      <c r="H346" s="1471"/>
      <c r="I346" s="1471"/>
      <c r="J346" s="1471"/>
      <c r="K346" s="1471"/>
      <c r="L346" s="1472"/>
      <c r="M346" s="1470" t="s">
        <v>364</v>
      </c>
      <c r="N346" s="1471"/>
      <c r="O346" s="1471"/>
      <c r="P346" s="1471"/>
      <c r="Q346" s="1471"/>
      <c r="R346" s="1471"/>
      <c r="S346" s="1471"/>
      <c r="T346" s="1471"/>
      <c r="U346" s="1471"/>
      <c r="V346" s="1471"/>
      <c r="W346" s="1472"/>
    </row>
    <row r="347" spans="1:23" ht="118.5" x14ac:dyDescent="0.2">
      <c r="A347" s="647" t="s">
        <v>365</v>
      </c>
      <c r="B347" s="648" t="s">
        <v>366</v>
      </c>
      <c r="C347" s="648" t="s">
        <v>367</v>
      </c>
      <c r="D347" s="649" t="s">
        <v>368</v>
      </c>
      <c r="E347" s="649" t="s">
        <v>369</v>
      </c>
      <c r="F347" s="649" t="s">
        <v>370</v>
      </c>
      <c r="G347" s="649" t="s">
        <v>371</v>
      </c>
      <c r="H347" s="649" t="s">
        <v>372</v>
      </c>
      <c r="I347" s="649" t="s">
        <v>373</v>
      </c>
      <c r="J347" s="650" t="s">
        <v>447</v>
      </c>
      <c r="K347" s="651" t="s">
        <v>375</v>
      </c>
      <c r="L347" s="652" t="s">
        <v>376</v>
      </c>
      <c r="M347" s="648" t="s">
        <v>366</v>
      </c>
      <c r="N347" s="648" t="s">
        <v>367</v>
      </c>
      <c r="O347" s="649" t="s">
        <v>368</v>
      </c>
      <c r="P347" s="649" t="s">
        <v>369</v>
      </c>
      <c r="Q347" s="649" t="s">
        <v>370</v>
      </c>
      <c r="R347" s="649" t="s">
        <v>371</v>
      </c>
      <c r="S347" s="649" t="s">
        <v>372</v>
      </c>
      <c r="T347" s="649" t="s">
        <v>373</v>
      </c>
      <c r="U347" s="650" t="s">
        <v>447</v>
      </c>
      <c r="V347" s="651" t="s">
        <v>375</v>
      </c>
      <c r="W347" s="652" t="s">
        <v>377</v>
      </c>
    </row>
    <row r="348" spans="1:23" x14ac:dyDescent="0.2">
      <c r="A348" s="8"/>
      <c r="L348" s="11"/>
      <c r="W348" s="11"/>
    </row>
    <row r="349" spans="1:23" x14ac:dyDescent="0.2">
      <c r="A349" s="9" t="s">
        <v>378</v>
      </c>
      <c r="B349" s="161">
        <f>SUM(B350:B356)</f>
        <v>20</v>
      </c>
      <c r="C349" s="161"/>
      <c r="D349" s="161"/>
      <c r="E349" s="161"/>
      <c r="F349" s="161"/>
      <c r="G349" s="161"/>
      <c r="H349" s="161"/>
      <c r="I349" s="161"/>
      <c r="J349" s="161"/>
      <c r="K349" s="161"/>
      <c r="L349" s="174">
        <f>SUM(L350:L356)</f>
        <v>807411.19999999995</v>
      </c>
      <c r="M349" s="161">
        <f>SUM(M350:M356)</f>
        <v>20</v>
      </c>
      <c r="N349" s="161"/>
      <c r="O349" s="161"/>
      <c r="P349" s="161"/>
      <c r="Q349" s="161"/>
      <c r="R349" s="161"/>
      <c r="S349" s="161"/>
      <c r="T349" s="161"/>
      <c r="U349" s="161"/>
      <c r="V349" s="161"/>
      <c r="W349" s="174">
        <f>SUM(W350:W356)</f>
        <v>928522.88</v>
      </c>
    </row>
    <row r="350" spans="1:23" x14ac:dyDescent="0.2">
      <c r="A350" s="8" t="s">
        <v>403</v>
      </c>
      <c r="L350" s="11"/>
      <c r="W350" s="11"/>
    </row>
    <row r="351" spans="1:23" x14ac:dyDescent="0.2">
      <c r="A351" s="8" t="s">
        <v>381</v>
      </c>
      <c r="B351" s="7">
        <v>1</v>
      </c>
      <c r="L351" s="175">
        <v>72828.28</v>
      </c>
      <c r="M351" s="7">
        <v>1</v>
      </c>
      <c r="W351" s="175">
        <f>(L351*15%)+L351</f>
        <v>83752.521999999997</v>
      </c>
    </row>
    <row r="352" spans="1:23" x14ac:dyDescent="0.2">
      <c r="A352" s="8" t="s">
        <v>382</v>
      </c>
      <c r="B352" s="7">
        <v>7</v>
      </c>
      <c r="L352" s="175">
        <v>307325.19999999995</v>
      </c>
      <c r="M352" s="7">
        <v>7</v>
      </c>
      <c r="W352" s="175">
        <f t="shared" ref="W352:W355" si="44">(L352*15%)+L352</f>
        <v>353423.97999999992</v>
      </c>
    </row>
    <row r="353" spans="1:23" x14ac:dyDescent="0.2">
      <c r="A353" s="8" t="s">
        <v>383</v>
      </c>
      <c r="B353" s="7">
        <v>11</v>
      </c>
      <c r="L353" s="175">
        <v>398045.36</v>
      </c>
      <c r="M353" s="7">
        <v>11</v>
      </c>
      <c r="W353" s="175">
        <f t="shared" si="44"/>
        <v>457752.16399999999</v>
      </c>
    </row>
    <row r="354" spans="1:23" x14ac:dyDescent="0.2">
      <c r="A354" s="8" t="s">
        <v>403</v>
      </c>
      <c r="L354" s="175"/>
      <c r="W354" s="175"/>
    </row>
    <row r="355" spans="1:23" x14ac:dyDescent="0.2">
      <c r="A355" s="8" t="s">
        <v>406</v>
      </c>
      <c r="B355" s="7">
        <v>1</v>
      </c>
      <c r="L355" s="175">
        <v>29212.359999999997</v>
      </c>
      <c r="M355" s="7">
        <v>1</v>
      </c>
      <c r="W355" s="175">
        <f t="shared" si="44"/>
        <v>33594.213999999993</v>
      </c>
    </row>
    <row r="356" spans="1:23" x14ac:dyDescent="0.2">
      <c r="A356" s="302"/>
      <c r="L356" s="175"/>
      <c r="W356" s="175"/>
    </row>
    <row r="357" spans="1:23" x14ac:dyDescent="0.2">
      <c r="A357" s="9" t="s">
        <v>385</v>
      </c>
      <c r="B357" s="161">
        <f>SUM(B358:B362)</f>
        <v>19</v>
      </c>
      <c r="C357" s="161"/>
      <c r="D357" s="161"/>
      <c r="E357" s="161"/>
      <c r="F357" s="161"/>
      <c r="G357" s="161"/>
      <c r="H357" s="161"/>
      <c r="I357" s="161"/>
      <c r="J357" s="161"/>
      <c r="K357" s="161"/>
      <c r="L357" s="174">
        <f>SUM(L358:L362)</f>
        <v>517839.64000000007</v>
      </c>
      <c r="M357" s="161">
        <f>SUM(M358:M362)</f>
        <v>19</v>
      </c>
      <c r="N357" s="161"/>
      <c r="O357" s="161"/>
      <c r="P357" s="161"/>
      <c r="Q357" s="161"/>
      <c r="R357" s="161"/>
      <c r="S357" s="161"/>
      <c r="T357" s="161"/>
      <c r="U357" s="161"/>
      <c r="V357" s="161"/>
      <c r="W357" s="174">
        <f>SUM(W358:W362)</f>
        <v>595515.58600000001</v>
      </c>
    </row>
    <row r="358" spans="1:23" x14ac:dyDescent="0.2">
      <c r="A358" s="8" t="s">
        <v>386</v>
      </c>
      <c r="B358" s="7">
        <v>1</v>
      </c>
      <c r="L358" s="175">
        <v>29461.840000000004</v>
      </c>
      <c r="M358" s="7">
        <v>1</v>
      </c>
      <c r="W358" s="175">
        <f>(L358*15%)+L358</f>
        <v>33881.116000000002</v>
      </c>
    </row>
    <row r="359" spans="1:23" x14ac:dyDescent="0.2">
      <c r="A359" s="8" t="s">
        <v>387</v>
      </c>
      <c r="B359" s="7">
        <v>1</v>
      </c>
      <c r="L359" s="175">
        <v>27482.560000000001</v>
      </c>
      <c r="M359" s="7">
        <v>1</v>
      </c>
      <c r="W359" s="175">
        <f t="shared" ref="W359:W361" si="45">(L359*15%)+L359</f>
        <v>31604.944000000003</v>
      </c>
    </row>
    <row r="360" spans="1:23" x14ac:dyDescent="0.2">
      <c r="A360" s="8" t="s">
        <v>437</v>
      </c>
      <c r="B360" s="7">
        <v>13</v>
      </c>
      <c r="L360" s="175">
        <v>352869.16000000003</v>
      </c>
      <c r="M360" s="7">
        <v>13</v>
      </c>
      <c r="W360" s="175">
        <f t="shared" si="45"/>
        <v>405799.53400000004</v>
      </c>
    </row>
    <row r="361" spans="1:23" x14ac:dyDescent="0.2">
      <c r="A361" s="8" t="s">
        <v>408</v>
      </c>
      <c r="B361" s="7">
        <v>4</v>
      </c>
      <c r="L361" s="175">
        <v>108026.08</v>
      </c>
      <c r="M361" s="7">
        <v>4</v>
      </c>
      <c r="W361" s="175">
        <f t="shared" si="45"/>
        <v>124229.992</v>
      </c>
    </row>
    <row r="362" spans="1:23" x14ac:dyDescent="0.2">
      <c r="A362" s="8"/>
      <c r="L362" s="175"/>
      <c r="W362" s="175"/>
    </row>
    <row r="363" spans="1:23" x14ac:dyDescent="0.2">
      <c r="A363" s="9" t="s">
        <v>389</v>
      </c>
      <c r="B363" s="161">
        <f>SUM(B364:B368)</f>
        <v>73</v>
      </c>
      <c r="C363" s="161"/>
      <c r="D363" s="161"/>
      <c r="E363" s="161"/>
      <c r="F363" s="161"/>
      <c r="G363" s="161"/>
      <c r="H363" s="161"/>
      <c r="I363" s="161"/>
      <c r="J363" s="161"/>
      <c r="K363" s="161"/>
      <c r="L363" s="174">
        <f>SUM(L364:L368)</f>
        <v>1889206.2400000002</v>
      </c>
      <c r="M363" s="161">
        <f>SUM(M364:M368)</f>
        <v>73</v>
      </c>
      <c r="N363" s="161"/>
      <c r="O363" s="161"/>
      <c r="P363" s="161"/>
      <c r="Q363" s="161"/>
      <c r="R363" s="161"/>
      <c r="S363" s="161"/>
      <c r="T363" s="161"/>
      <c r="U363" s="161"/>
      <c r="V363" s="161"/>
      <c r="W363" s="174">
        <f>SUM(W364:W368)</f>
        <v>2172587.176</v>
      </c>
    </row>
    <row r="364" spans="1:23" x14ac:dyDescent="0.2">
      <c r="A364" s="8" t="s">
        <v>390</v>
      </c>
      <c r="B364" s="7">
        <v>8</v>
      </c>
      <c r="L364" s="175">
        <v>210747.19999999998</v>
      </c>
      <c r="M364" s="7">
        <v>8</v>
      </c>
      <c r="W364" s="175">
        <f>(L364*15%)+L364</f>
        <v>242359.27999999997</v>
      </c>
    </row>
    <row r="365" spans="1:23" x14ac:dyDescent="0.2">
      <c r="A365" s="8" t="s">
        <v>391</v>
      </c>
      <c r="B365" s="7">
        <v>20</v>
      </c>
      <c r="L365" s="175">
        <v>521645.60000000003</v>
      </c>
      <c r="M365" s="7">
        <v>20</v>
      </c>
      <c r="W365" s="175">
        <f t="shared" ref="W365:W368" si="46">(L365*15%)+L365</f>
        <v>599892.44000000006</v>
      </c>
    </row>
    <row r="366" spans="1:23" x14ac:dyDescent="0.2">
      <c r="A366" s="8" t="s">
        <v>392</v>
      </c>
      <c r="B366" s="7">
        <v>22</v>
      </c>
      <c r="L366" s="175">
        <v>566212.24</v>
      </c>
      <c r="M366" s="7">
        <v>22</v>
      </c>
      <c r="W366" s="175">
        <f t="shared" si="46"/>
        <v>651144.076</v>
      </c>
    </row>
    <row r="367" spans="1:23" x14ac:dyDescent="0.2">
      <c r="A367" s="8" t="s">
        <v>439</v>
      </c>
      <c r="B367" s="7">
        <v>19</v>
      </c>
      <c r="L367" s="175">
        <v>487927.60000000003</v>
      </c>
      <c r="M367" s="7">
        <v>19</v>
      </c>
      <c r="W367" s="175">
        <f t="shared" si="46"/>
        <v>561116.74</v>
      </c>
    </row>
    <row r="368" spans="1:23" x14ac:dyDescent="0.2">
      <c r="A368" s="8" t="s">
        <v>409</v>
      </c>
      <c r="B368" s="7">
        <v>4</v>
      </c>
      <c r="L368" s="175">
        <v>102673.59999999999</v>
      </c>
      <c r="M368" s="7">
        <v>4</v>
      </c>
      <c r="W368" s="175">
        <f t="shared" si="46"/>
        <v>118074.63999999998</v>
      </c>
    </row>
    <row r="369" spans="1:23" x14ac:dyDescent="0.2">
      <c r="A369" s="9" t="s">
        <v>393</v>
      </c>
      <c r="B369" s="161">
        <f>SUM(B370:B373)</f>
        <v>10</v>
      </c>
      <c r="C369" s="161"/>
      <c r="D369" s="161"/>
      <c r="E369" s="161"/>
      <c r="F369" s="161"/>
      <c r="G369" s="161"/>
      <c r="H369" s="161"/>
      <c r="I369" s="161"/>
      <c r="J369" s="161"/>
      <c r="K369" s="161"/>
      <c r="L369" s="174">
        <f>SUM(L370:L373)</f>
        <v>252703.59999999998</v>
      </c>
      <c r="M369" s="161">
        <f>SUM(M370:M373)</f>
        <v>10</v>
      </c>
      <c r="N369" s="161"/>
      <c r="O369" s="161"/>
      <c r="P369" s="161"/>
      <c r="Q369" s="161"/>
      <c r="R369" s="161"/>
      <c r="S369" s="161"/>
      <c r="T369" s="161"/>
      <c r="U369" s="161"/>
      <c r="V369" s="161"/>
      <c r="W369" s="174">
        <f>SUM(W370:W373)</f>
        <v>290609.13999999996</v>
      </c>
    </row>
    <row r="370" spans="1:23" x14ac:dyDescent="0.2">
      <c r="A370" s="8" t="s">
        <v>394</v>
      </c>
      <c r="L370" s="175"/>
      <c r="W370" s="175"/>
    </row>
    <row r="371" spans="1:23" x14ac:dyDescent="0.2">
      <c r="A371" s="8" t="s">
        <v>403</v>
      </c>
      <c r="L371" s="175"/>
      <c r="W371" s="175"/>
    </row>
    <row r="372" spans="1:23" x14ac:dyDescent="0.2">
      <c r="A372" s="8" t="s">
        <v>442</v>
      </c>
      <c r="B372" s="7">
        <v>10</v>
      </c>
      <c r="L372" s="175">
        <v>252703.59999999998</v>
      </c>
      <c r="M372" s="7">
        <v>10</v>
      </c>
      <c r="W372" s="175">
        <f t="shared" ref="W372" si="47">(L372*15%)+L372</f>
        <v>290609.13999999996</v>
      </c>
    </row>
    <row r="373" spans="1:23" ht="12.75" thickBot="1" x14ac:dyDescent="0.25">
      <c r="A373" s="8"/>
      <c r="L373" s="175"/>
      <c r="W373" s="175"/>
    </row>
    <row r="374" spans="1:23" ht="12.75" thickBot="1" x14ac:dyDescent="0.25">
      <c r="A374" s="12" t="s">
        <v>400</v>
      </c>
      <c r="B374" s="13">
        <f>B349+B357+B363+B369</f>
        <v>122</v>
      </c>
      <c r="C374" s="13"/>
      <c r="D374" s="13"/>
      <c r="E374" s="13"/>
      <c r="F374" s="13"/>
      <c r="G374" s="13"/>
      <c r="H374" s="13"/>
      <c r="I374" s="13"/>
      <c r="J374" s="13"/>
      <c r="K374" s="13"/>
      <c r="L374" s="178">
        <f>+L349+L357+L363+L369</f>
        <v>3467160.68</v>
      </c>
      <c r="M374" s="13">
        <f>M349+M357+M363+M369</f>
        <v>122</v>
      </c>
      <c r="N374" s="13"/>
      <c r="O374" s="13"/>
      <c r="P374" s="13"/>
      <c r="Q374" s="13"/>
      <c r="R374" s="13"/>
      <c r="S374" s="13"/>
      <c r="T374" s="13"/>
      <c r="U374" s="13"/>
      <c r="V374" s="13"/>
      <c r="W374" s="178">
        <f>+W349+W357+W363+W369</f>
        <v>3987234.7820000001</v>
      </c>
    </row>
    <row r="375" spans="1:23" ht="24" x14ac:dyDescent="0.2">
      <c r="A375" s="213" t="s">
        <v>448</v>
      </c>
      <c r="B375" s="2"/>
      <c r="C375" s="2"/>
      <c r="D375" s="2"/>
      <c r="E375" s="2"/>
      <c r="F375" s="2"/>
      <c r="G375" s="2"/>
      <c r="H375" s="2"/>
      <c r="I375" s="2"/>
      <c r="J375" s="214"/>
      <c r="K375" s="2"/>
      <c r="L375" s="215"/>
      <c r="M375" s="2"/>
      <c r="N375" s="2"/>
      <c r="O375" s="2"/>
      <c r="P375" s="2"/>
      <c r="Q375" s="2"/>
      <c r="R375" s="2"/>
      <c r="S375" s="2"/>
      <c r="T375" s="2"/>
      <c r="U375" s="214"/>
      <c r="V375" s="2"/>
      <c r="W375" s="215"/>
    </row>
    <row r="376" spans="1:23" x14ac:dyDescent="0.2">
      <c r="A376" s="667" t="s">
        <v>449</v>
      </c>
      <c r="B376" s="216"/>
      <c r="C376" s="216"/>
      <c r="D376" s="216"/>
      <c r="E376" s="216"/>
      <c r="F376" s="216"/>
      <c r="G376" s="216"/>
      <c r="H376" s="216"/>
      <c r="I376" s="216"/>
      <c r="J376" s="216">
        <f>SUM(J377:J379)</f>
        <v>4</v>
      </c>
      <c r="K376" s="216"/>
      <c r="L376" s="217">
        <f>SUM(L377:L379)</f>
        <v>171580.84</v>
      </c>
      <c r="M376" s="216"/>
      <c r="N376" s="216"/>
      <c r="O376" s="216"/>
      <c r="P376" s="216"/>
      <c r="Q376" s="216"/>
      <c r="R376" s="216"/>
      <c r="S376" s="216"/>
      <c r="T376" s="216"/>
      <c r="U376" s="216">
        <f>SUM(U377:U379)</f>
        <v>4</v>
      </c>
      <c r="V376" s="216"/>
      <c r="W376" s="217">
        <f>SUM(W377:W379)</f>
        <v>197317.96600000001</v>
      </c>
    </row>
    <row r="377" spans="1:23" x14ac:dyDescent="0.2">
      <c r="A377" s="668" t="s">
        <v>437</v>
      </c>
      <c r="B377" s="2"/>
      <c r="C377" s="2"/>
      <c r="D377" s="2"/>
      <c r="E377" s="2"/>
      <c r="F377" s="2"/>
      <c r="G377" s="2"/>
      <c r="H377" s="2"/>
      <c r="I377" s="2"/>
      <c r="K377" s="2"/>
      <c r="L377" s="175"/>
      <c r="M377" s="2"/>
      <c r="N377" s="2"/>
      <c r="O377" s="2"/>
      <c r="P377" s="2"/>
      <c r="Q377" s="2"/>
      <c r="R377" s="2"/>
      <c r="S377" s="2"/>
      <c r="T377" s="2"/>
      <c r="V377" s="2"/>
      <c r="W377" s="175"/>
    </row>
    <row r="378" spans="1:23" x14ac:dyDescent="0.2">
      <c r="A378" s="668" t="s">
        <v>408</v>
      </c>
      <c r="B378" s="2"/>
      <c r="C378" s="2"/>
      <c r="D378" s="2"/>
      <c r="E378" s="2"/>
      <c r="F378" s="2"/>
      <c r="G378" s="2"/>
      <c r="H378" s="2"/>
      <c r="I378" s="2"/>
      <c r="J378" s="7">
        <v>2</v>
      </c>
      <c r="K378" s="2"/>
      <c r="L378" s="175">
        <v>85697.84</v>
      </c>
      <c r="M378" s="2"/>
      <c r="N378" s="2"/>
      <c r="O378" s="2"/>
      <c r="P378" s="2"/>
      <c r="Q378" s="2"/>
      <c r="R378" s="2"/>
      <c r="S378" s="2"/>
      <c r="T378" s="2"/>
      <c r="U378" s="7">
        <v>2</v>
      </c>
      <c r="V378" s="2"/>
      <c r="W378" s="175">
        <f>(L378*15%)+L378</f>
        <v>98552.516000000003</v>
      </c>
    </row>
    <row r="379" spans="1:23" x14ac:dyDescent="0.2">
      <c r="A379" s="668" t="s">
        <v>450</v>
      </c>
      <c r="B379" s="2"/>
      <c r="C379" s="2"/>
      <c r="D379" s="2"/>
      <c r="E379" s="2"/>
      <c r="F379" s="2"/>
      <c r="G379" s="2"/>
      <c r="H379" s="2"/>
      <c r="I379" s="2"/>
      <c r="J379" s="7">
        <v>2</v>
      </c>
      <c r="K379" s="2"/>
      <c r="L379" s="175">
        <v>85883</v>
      </c>
      <c r="M379" s="2"/>
      <c r="N379" s="2"/>
      <c r="O379" s="2"/>
      <c r="P379" s="2"/>
      <c r="Q379" s="2"/>
      <c r="R379" s="2"/>
      <c r="S379" s="2"/>
      <c r="T379" s="2"/>
      <c r="U379" s="7">
        <v>2</v>
      </c>
      <c r="V379" s="2"/>
      <c r="W379" s="175">
        <f t="shared" ref="W379:W391" si="48">(L379*15%)+L379</f>
        <v>98765.45</v>
      </c>
    </row>
    <row r="380" spans="1:23" x14ac:dyDescent="0.2">
      <c r="A380" s="669" t="s">
        <v>389</v>
      </c>
      <c r="B380" s="216"/>
      <c r="C380" s="216"/>
      <c r="D380" s="216"/>
      <c r="E380" s="216"/>
      <c r="F380" s="216"/>
      <c r="G380" s="216"/>
      <c r="H380" s="216"/>
      <c r="I380" s="216"/>
      <c r="J380" s="216">
        <f>SUM(J381:J386)</f>
        <v>201</v>
      </c>
      <c r="K380" s="216"/>
      <c r="L380" s="217">
        <f>SUM(L381:L386)</f>
        <v>7543395.4800000014</v>
      </c>
      <c r="M380" s="216"/>
      <c r="N380" s="216"/>
      <c r="O380" s="216"/>
      <c r="P380" s="216"/>
      <c r="Q380" s="216"/>
      <c r="R380" s="216"/>
      <c r="S380" s="216"/>
      <c r="T380" s="216"/>
      <c r="U380" s="216">
        <f>SUM(U381:U386)</f>
        <v>211</v>
      </c>
      <c r="V380" s="216"/>
      <c r="W380" s="217">
        <f>SUM(W381:W386)</f>
        <v>9277050.8020000011</v>
      </c>
    </row>
    <row r="381" spans="1:23" x14ac:dyDescent="0.2">
      <c r="A381" s="668" t="s">
        <v>390</v>
      </c>
      <c r="B381" s="2"/>
      <c r="C381" s="2"/>
      <c r="D381" s="2"/>
      <c r="E381" s="2"/>
      <c r="F381" s="2"/>
      <c r="G381" s="2"/>
      <c r="H381" s="2"/>
      <c r="I381" s="2"/>
      <c r="J381" s="7">
        <v>11</v>
      </c>
      <c r="K381" s="2"/>
      <c r="L381" s="175">
        <v>417542.83999999997</v>
      </c>
      <c r="M381" s="2"/>
      <c r="N381" s="2"/>
      <c r="O381" s="2"/>
      <c r="P381" s="2"/>
      <c r="Q381" s="2"/>
      <c r="R381" s="2"/>
      <c r="S381" s="2"/>
      <c r="T381" s="2"/>
      <c r="U381" s="7">
        <v>11</v>
      </c>
      <c r="V381" s="2"/>
      <c r="W381" s="175">
        <f t="shared" si="48"/>
        <v>480174.26599999995</v>
      </c>
    </row>
    <row r="382" spans="1:23" x14ac:dyDescent="0.2">
      <c r="A382" s="668" t="s">
        <v>391</v>
      </c>
      <c r="B382" s="2"/>
      <c r="C382" s="2"/>
      <c r="D382" s="2"/>
      <c r="E382" s="2"/>
      <c r="F382" s="2"/>
      <c r="G382" s="2"/>
      <c r="H382" s="2"/>
      <c r="I382" s="2"/>
      <c r="J382" s="7">
        <v>59</v>
      </c>
      <c r="K382" s="2"/>
      <c r="L382" s="175">
        <v>2233104.2000000011</v>
      </c>
      <c r="M382" s="2"/>
      <c r="N382" s="2"/>
      <c r="O382" s="2"/>
      <c r="P382" s="2"/>
      <c r="Q382" s="2"/>
      <c r="R382" s="2"/>
      <c r="S382" s="2"/>
      <c r="T382" s="2"/>
      <c r="U382" s="7">
        <v>59</v>
      </c>
      <c r="V382" s="2"/>
      <c r="W382" s="175">
        <f t="shared" si="48"/>
        <v>2568069.8300000015</v>
      </c>
    </row>
    <row r="383" spans="1:23" x14ac:dyDescent="0.2">
      <c r="A383" s="668" t="s">
        <v>392</v>
      </c>
      <c r="B383" s="2"/>
      <c r="C383" s="2"/>
      <c r="D383" s="2"/>
      <c r="E383" s="2"/>
      <c r="F383" s="2"/>
      <c r="G383" s="2"/>
      <c r="H383" s="2"/>
      <c r="I383" s="2"/>
      <c r="J383" s="7">
        <v>68</v>
      </c>
      <c r="K383" s="2"/>
      <c r="L383" s="175">
        <v>2523396.0800000019</v>
      </c>
      <c r="M383" s="2"/>
      <c r="N383" s="2"/>
      <c r="O383" s="2"/>
      <c r="P383" s="2"/>
      <c r="Q383" s="2"/>
      <c r="R383" s="2"/>
      <c r="S383" s="2"/>
      <c r="T383" s="2"/>
      <c r="U383" s="7">
        <v>68</v>
      </c>
      <c r="V383" s="2"/>
      <c r="W383" s="175">
        <f t="shared" si="48"/>
        <v>2901905.4920000024</v>
      </c>
    </row>
    <row r="384" spans="1:23" x14ac:dyDescent="0.2">
      <c r="A384" s="668" t="s">
        <v>439</v>
      </c>
      <c r="B384" s="2"/>
      <c r="C384" s="2"/>
      <c r="D384" s="2"/>
      <c r="E384" s="2"/>
      <c r="F384" s="2"/>
      <c r="G384" s="2"/>
      <c r="H384" s="2"/>
      <c r="I384" s="2"/>
      <c r="J384" s="7">
        <v>7</v>
      </c>
      <c r="K384" s="2"/>
      <c r="L384" s="175">
        <v>232188.87999999998</v>
      </c>
      <c r="M384" s="2"/>
      <c r="N384" s="2"/>
      <c r="O384" s="2"/>
      <c r="P384" s="2"/>
      <c r="Q384" s="2"/>
      <c r="R384" s="2"/>
      <c r="S384" s="2"/>
      <c r="T384" s="2"/>
      <c r="U384" s="7">
        <v>7</v>
      </c>
      <c r="V384" s="2"/>
      <c r="W384" s="175">
        <f t="shared" si="48"/>
        <v>267017.21199999994</v>
      </c>
    </row>
    <row r="385" spans="1:23" x14ac:dyDescent="0.2">
      <c r="A385" s="668" t="s">
        <v>409</v>
      </c>
      <c r="B385" s="2"/>
      <c r="C385" s="2"/>
      <c r="D385" s="2"/>
      <c r="E385" s="2"/>
      <c r="F385" s="2"/>
      <c r="G385" s="2"/>
      <c r="H385" s="2"/>
      <c r="I385" s="2"/>
      <c r="K385" s="2"/>
      <c r="L385" s="175"/>
      <c r="M385" s="2"/>
      <c r="N385" s="2"/>
      <c r="O385" s="2"/>
      <c r="P385" s="2"/>
      <c r="Q385" s="2"/>
      <c r="R385" s="2"/>
      <c r="S385" s="2"/>
      <c r="T385" s="2"/>
      <c r="V385" s="2"/>
      <c r="W385" s="175"/>
    </row>
    <row r="386" spans="1:23" x14ac:dyDescent="0.2">
      <c r="A386" s="668" t="s">
        <v>440</v>
      </c>
      <c r="B386" s="2"/>
      <c r="C386" s="2"/>
      <c r="D386" s="2"/>
      <c r="E386" s="2"/>
      <c r="F386" s="2"/>
      <c r="G386" s="2"/>
      <c r="H386" s="2"/>
      <c r="I386" s="2"/>
      <c r="J386" s="7">
        <v>56</v>
      </c>
      <c r="K386" s="2"/>
      <c r="L386" s="175">
        <v>2137163.4799999986</v>
      </c>
      <c r="M386" s="2"/>
      <c r="N386" s="2"/>
      <c r="O386" s="2"/>
      <c r="P386" s="2"/>
      <c r="Q386" s="2"/>
      <c r="R386" s="2"/>
      <c r="S386" s="2"/>
      <c r="T386" s="2"/>
      <c r="U386" s="216">
        <f>56+3+7</f>
        <v>66</v>
      </c>
      <c r="V386" s="2"/>
      <c r="W386" s="218">
        <f>(L386*15%)+L386+130517+196512+275117</f>
        <v>3059884.0019999985</v>
      </c>
    </row>
    <row r="387" spans="1:23" x14ac:dyDescent="0.2">
      <c r="A387" s="669" t="s">
        <v>393</v>
      </c>
      <c r="B387" s="216"/>
      <c r="C387" s="216"/>
      <c r="D387" s="216"/>
      <c r="E387" s="216"/>
      <c r="F387" s="216"/>
      <c r="G387" s="216"/>
      <c r="H387" s="216"/>
      <c r="I387" s="216"/>
      <c r="J387" s="216">
        <f>SUM(J388:J392)</f>
        <v>32</v>
      </c>
      <c r="K387" s="216"/>
      <c r="L387" s="217">
        <f>SUM(L388:L392)</f>
        <v>1218704.1199999999</v>
      </c>
      <c r="M387" s="216"/>
      <c r="N387" s="216"/>
      <c r="O387" s="216"/>
      <c r="P387" s="216"/>
      <c r="Q387" s="216"/>
      <c r="R387" s="216"/>
      <c r="S387" s="216"/>
      <c r="T387" s="216"/>
      <c r="U387" s="216">
        <f>SUM(U388:U392)</f>
        <v>39</v>
      </c>
      <c r="V387" s="216"/>
      <c r="W387" s="217">
        <f>SUM(W388:W392)</f>
        <v>1673315.7379999999</v>
      </c>
    </row>
    <row r="388" spans="1:23" x14ac:dyDescent="0.2">
      <c r="A388" s="668" t="s">
        <v>394</v>
      </c>
      <c r="B388" s="2"/>
      <c r="C388" s="2"/>
      <c r="D388" s="2"/>
      <c r="E388" s="2"/>
      <c r="F388" s="2"/>
      <c r="G388" s="2"/>
      <c r="H388" s="2"/>
      <c r="I388" s="2"/>
      <c r="J388" s="7">
        <v>8</v>
      </c>
      <c r="K388" s="2"/>
      <c r="L388" s="175">
        <v>339840.91999999993</v>
      </c>
      <c r="M388" s="2"/>
      <c r="N388" s="2"/>
      <c r="O388" s="2"/>
      <c r="P388" s="2"/>
      <c r="Q388" s="2"/>
      <c r="R388" s="2"/>
      <c r="S388" s="2"/>
      <c r="T388" s="2"/>
      <c r="U388" s="7">
        <v>8</v>
      </c>
      <c r="V388" s="2"/>
      <c r="W388" s="175">
        <f t="shared" si="48"/>
        <v>390817.0579999999</v>
      </c>
    </row>
    <row r="389" spans="1:23" x14ac:dyDescent="0.2">
      <c r="A389" s="668" t="s">
        <v>441</v>
      </c>
      <c r="B389" s="2"/>
      <c r="C389" s="2"/>
      <c r="D389" s="2"/>
      <c r="E389" s="2"/>
      <c r="F389" s="2"/>
      <c r="G389" s="2"/>
      <c r="H389" s="2"/>
      <c r="I389" s="2"/>
      <c r="J389" s="7">
        <v>6</v>
      </c>
      <c r="K389" s="2"/>
      <c r="L389" s="175">
        <v>227043.72000000003</v>
      </c>
      <c r="M389" s="2"/>
      <c r="N389" s="2"/>
      <c r="O389" s="2"/>
      <c r="P389" s="2"/>
      <c r="Q389" s="2"/>
      <c r="R389" s="2"/>
      <c r="S389" s="2"/>
      <c r="T389" s="2"/>
      <c r="U389" s="7">
        <v>6</v>
      </c>
      <c r="V389" s="2"/>
      <c r="W389" s="175">
        <f t="shared" si="48"/>
        <v>261100.27800000005</v>
      </c>
    </row>
    <row r="390" spans="1:23" x14ac:dyDescent="0.2">
      <c r="A390" s="668" t="s">
        <v>442</v>
      </c>
      <c r="B390" s="2"/>
      <c r="C390" s="2"/>
      <c r="D390" s="2"/>
      <c r="E390" s="2"/>
      <c r="F390" s="2"/>
      <c r="G390" s="2"/>
      <c r="H390" s="2"/>
      <c r="I390" s="2"/>
      <c r="J390" s="7">
        <v>8</v>
      </c>
      <c r="K390" s="2"/>
      <c r="L390" s="175">
        <v>293889.68</v>
      </c>
      <c r="M390" s="2"/>
      <c r="N390" s="2"/>
      <c r="O390" s="2"/>
      <c r="P390" s="2"/>
      <c r="Q390" s="2"/>
      <c r="R390" s="2"/>
      <c r="S390" s="2"/>
      <c r="T390" s="2"/>
      <c r="U390" s="7">
        <v>8</v>
      </c>
      <c r="V390" s="2"/>
      <c r="W390" s="175">
        <f t="shared" si="48"/>
        <v>337973.13199999998</v>
      </c>
    </row>
    <row r="391" spans="1:23" x14ac:dyDescent="0.2">
      <c r="A391" s="668" t="s">
        <v>443</v>
      </c>
      <c r="B391" s="2"/>
      <c r="C391" s="2"/>
      <c r="D391" s="2"/>
      <c r="E391" s="2"/>
      <c r="F391" s="2"/>
      <c r="G391" s="2"/>
      <c r="H391" s="2"/>
      <c r="I391" s="2"/>
      <c r="J391" s="7">
        <v>5</v>
      </c>
      <c r="K391" s="2"/>
      <c r="L391" s="175">
        <v>184139.12</v>
      </c>
      <c r="M391" s="2"/>
      <c r="N391" s="2"/>
      <c r="O391" s="2"/>
      <c r="P391" s="2"/>
      <c r="Q391" s="2"/>
      <c r="R391" s="2"/>
      <c r="S391" s="2"/>
      <c r="T391" s="2"/>
      <c r="U391" s="7">
        <v>5</v>
      </c>
      <c r="V391" s="2"/>
      <c r="W391" s="175">
        <f t="shared" si="48"/>
        <v>211759.98799999998</v>
      </c>
    </row>
    <row r="392" spans="1:23" x14ac:dyDescent="0.2">
      <c r="A392" s="668" t="s">
        <v>451</v>
      </c>
      <c r="B392" s="2"/>
      <c r="C392" s="2"/>
      <c r="D392" s="2"/>
      <c r="E392" s="2"/>
      <c r="F392" s="2"/>
      <c r="G392" s="2"/>
      <c r="H392" s="2"/>
      <c r="I392" s="2"/>
      <c r="J392" s="7">
        <v>5</v>
      </c>
      <c r="K392" s="2"/>
      <c r="L392" s="175">
        <v>173790.68</v>
      </c>
      <c r="M392" s="2"/>
      <c r="N392" s="2"/>
      <c r="O392" s="2"/>
      <c r="P392" s="2"/>
      <c r="Q392" s="2"/>
      <c r="R392" s="2"/>
      <c r="S392" s="2"/>
      <c r="T392" s="2"/>
      <c r="U392" s="216">
        <f>5+7</f>
        <v>12</v>
      </c>
      <c r="V392" s="2"/>
      <c r="W392" s="218">
        <f>(L392*15%)+L392+271806</f>
        <v>471665.28200000001</v>
      </c>
    </row>
    <row r="393" spans="1:23" ht="24" x14ac:dyDescent="0.2">
      <c r="A393" s="219" t="s">
        <v>452</v>
      </c>
      <c r="B393" s="2"/>
      <c r="C393" s="2"/>
      <c r="D393" s="2"/>
      <c r="E393" s="2"/>
      <c r="F393" s="2"/>
      <c r="G393" s="2"/>
      <c r="H393" s="2"/>
      <c r="I393" s="2"/>
      <c r="J393" s="2"/>
      <c r="K393" s="2"/>
      <c r="L393" s="175"/>
      <c r="M393" s="2"/>
      <c r="N393" s="2"/>
      <c r="O393" s="2"/>
      <c r="P393" s="2"/>
      <c r="Q393" s="2"/>
      <c r="R393" s="2"/>
      <c r="S393" s="2"/>
      <c r="T393" s="2"/>
      <c r="U393" s="2"/>
      <c r="V393" s="2"/>
      <c r="W393" s="175"/>
    </row>
    <row r="394" spans="1:23" x14ac:dyDescent="0.2">
      <c r="A394" s="669" t="s">
        <v>453</v>
      </c>
      <c r="B394" s="216"/>
      <c r="C394" s="216"/>
      <c r="D394" s="216"/>
      <c r="E394" s="216"/>
      <c r="F394" s="216"/>
      <c r="G394" s="216"/>
      <c r="H394" s="216"/>
      <c r="I394" s="216"/>
      <c r="J394" s="216">
        <f>SUM(J395:J399)</f>
        <v>25</v>
      </c>
      <c r="K394" s="216"/>
      <c r="L394" s="217">
        <f>SUM(L395:L399)</f>
        <v>2503206.5200000005</v>
      </c>
      <c r="M394" s="216"/>
      <c r="N394" s="216"/>
      <c r="O394" s="216"/>
      <c r="P394" s="216"/>
      <c r="Q394" s="216"/>
      <c r="R394" s="216"/>
      <c r="S394" s="216"/>
      <c r="T394" s="216"/>
      <c r="U394" s="216">
        <f>SUM(U395:U399)</f>
        <v>26</v>
      </c>
      <c r="V394" s="216"/>
      <c r="W394" s="217">
        <f>SUM(W395:W399)</f>
        <v>2971345.4980000006</v>
      </c>
    </row>
    <row r="395" spans="1:23" x14ac:dyDescent="0.2">
      <c r="A395" s="668" t="s">
        <v>454</v>
      </c>
      <c r="B395" s="2"/>
      <c r="C395" s="2"/>
      <c r="D395" s="2"/>
      <c r="E395" s="2"/>
      <c r="F395" s="2"/>
      <c r="G395" s="2"/>
      <c r="H395" s="2"/>
      <c r="I395" s="2"/>
      <c r="J395" s="7">
        <v>3</v>
      </c>
      <c r="K395" s="2"/>
      <c r="L395" s="175">
        <v>354572.75999999995</v>
      </c>
      <c r="M395" s="2"/>
      <c r="N395" s="2"/>
      <c r="O395" s="2"/>
      <c r="P395" s="2"/>
      <c r="Q395" s="2"/>
      <c r="R395" s="2"/>
      <c r="S395" s="2"/>
      <c r="T395" s="2"/>
      <c r="U395" s="7">
        <v>3</v>
      </c>
      <c r="V395" s="2"/>
      <c r="W395" s="175">
        <f t="shared" ref="W395:W423" si="49">(L395*15%)+L395</f>
        <v>407758.67399999994</v>
      </c>
    </row>
    <row r="396" spans="1:23" x14ac:dyDescent="0.2">
      <c r="A396" s="668" t="s">
        <v>455</v>
      </c>
      <c r="B396" s="2"/>
      <c r="C396" s="2"/>
      <c r="D396" s="2"/>
      <c r="E396" s="2"/>
      <c r="F396" s="2"/>
      <c r="G396" s="2"/>
      <c r="H396" s="2"/>
      <c r="I396" s="2"/>
      <c r="J396" s="7">
        <v>1</v>
      </c>
      <c r="K396" s="2"/>
      <c r="L396" s="175">
        <v>111103.84</v>
      </c>
      <c r="M396" s="2"/>
      <c r="N396" s="2"/>
      <c r="O396" s="2"/>
      <c r="P396" s="2"/>
      <c r="Q396" s="2"/>
      <c r="R396" s="2"/>
      <c r="S396" s="2"/>
      <c r="T396" s="2"/>
      <c r="U396" s="7">
        <v>1</v>
      </c>
      <c r="V396" s="2"/>
      <c r="W396" s="175">
        <f t="shared" si="49"/>
        <v>127769.416</v>
      </c>
    </row>
    <row r="397" spans="1:23" x14ac:dyDescent="0.2">
      <c r="A397" s="668" t="s">
        <v>456</v>
      </c>
      <c r="B397" s="2"/>
      <c r="C397" s="2"/>
      <c r="D397" s="2"/>
      <c r="E397" s="2"/>
      <c r="F397" s="2"/>
      <c r="G397" s="2"/>
      <c r="H397" s="2"/>
      <c r="I397" s="2"/>
      <c r="J397" s="7">
        <v>2</v>
      </c>
      <c r="K397" s="2"/>
      <c r="L397" s="175">
        <v>213075.68</v>
      </c>
      <c r="M397" s="2"/>
      <c r="N397" s="2"/>
      <c r="O397" s="2"/>
      <c r="P397" s="2"/>
      <c r="Q397" s="2"/>
      <c r="R397" s="2"/>
      <c r="S397" s="2"/>
      <c r="T397" s="2"/>
      <c r="U397" s="7">
        <v>2</v>
      </c>
      <c r="V397" s="2"/>
      <c r="W397" s="175">
        <f t="shared" si="49"/>
        <v>245037.03200000001</v>
      </c>
    </row>
    <row r="398" spans="1:23" x14ac:dyDescent="0.2">
      <c r="A398" s="668" t="s">
        <v>457</v>
      </c>
      <c r="B398" s="2"/>
      <c r="C398" s="2"/>
      <c r="D398" s="2"/>
      <c r="E398" s="2"/>
      <c r="F398" s="2"/>
      <c r="G398" s="2"/>
      <c r="H398" s="2"/>
      <c r="I398" s="2"/>
      <c r="J398" s="7">
        <v>5</v>
      </c>
      <c r="K398" s="2"/>
      <c r="L398" s="175">
        <v>503476.52</v>
      </c>
      <c r="M398" s="2"/>
      <c r="N398" s="2"/>
      <c r="O398" s="2"/>
      <c r="P398" s="2"/>
      <c r="Q398" s="2"/>
      <c r="R398" s="2"/>
      <c r="S398" s="2"/>
      <c r="T398" s="2"/>
      <c r="U398" s="7">
        <v>5</v>
      </c>
      <c r="V398" s="2"/>
      <c r="W398" s="175">
        <f t="shared" si="49"/>
        <v>578997.99800000002</v>
      </c>
    </row>
    <row r="399" spans="1:23" x14ac:dyDescent="0.2">
      <c r="A399" s="668" t="s">
        <v>458</v>
      </c>
      <c r="B399" s="2"/>
      <c r="C399" s="2"/>
      <c r="D399" s="2"/>
      <c r="E399" s="2"/>
      <c r="F399" s="2"/>
      <c r="G399" s="2"/>
      <c r="H399" s="2"/>
      <c r="I399" s="2"/>
      <c r="J399" s="7">
        <v>14</v>
      </c>
      <c r="K399" s="2"/>
      <c r="L399" s="175">
        <v>1320977.7200000002</v>
      </c>
      <c r="M399" s="2"/>
      <c r="N399" s="2"/>
      <c r="O399" s="2"/>
      <c r="P399" s="2"/>
      <c r="Q399" s="2"/>
      <c r="R399" s="2"/>
      <c r="S399" s="2"/>
      <c r="T399" s="2"/>
      <c r="U399" s="216">
        <f>14+1</f>
        <v>15</v>
      </c>
      <c r="V399" s="2"/>
      <c r="W399" s="218">
        <f>(L399*15%)+L399+92658</f>
        <v>1611782.3780000003</v>
      </c>
    </row>
    <row r="400" spans="1:23" x14ac:dyDescent="0.2">
      <c r="A400" s="220" t="s">
        <v>459</v>
      </c>
      <c r="B400" s="216"/>
      <c r="C400" s="216"/>
      <c r="D400" s="216"/>
      <c r="E400" s="216"/>
      <c r="F400" s="216"/>
      <c r="G400" s="216"/>
      <c r="H400" s="216"/>
      <c r="I400" s="216"/>
      <c r="J400" s="216">
        <f>SUM(J401:J405)</f>
        <v>56</v>
      </c>
      <c r="K400" s="216"/>
      <c r="L400" s="217">
        <f>SUM(L401:L405)</f>
        <v>3640468.1600000006</v>
      </c>
      <c r="M400" s="216"/>
      <c r="N400" s="216"/>
      <c r="O400" s="216"/>
      <c r="P400" s="216"/>
      <c r="Q400" s="216"/>
      <c r="R400" s="216"/>
      <c r="S400" s="216"/>
      <c r="T400" s="216"/>
      <c r="U400" s="216">
        <f>SUM(U401:U405)</f>
        <v>60</v>
      </c>
      <c r="V400" s="216"/>
      <c r="W400" s="217">
        <f>SUM(W401:W405)</f>
        <v>4451180.3840000005</v>
      </c>
    </row>
    <row r="401" spans="1:23" x14ac:dyDescent="0.2">
      <c r="A401" s="668" t="s">
        <v>460</v>
      </c>
      <c r="B401" s="2"/>
      <c r="C401" s="2"/>
      <c r="D401" s="2"/>
      <c r="E401" s="2"/>
      <c r="F401" s="2"/>
      <c r="G401" s="2"/>
      <c r="H401" s="2"/>
      <c r="I401" s="2"/>
      <c r="J401" s="7">
        <v>8</v>
      </c>
      <c r="K401" s="2"/>
      <c r="L401" s="175">
        <v>599572.88000000012</v>
      </c>
      <c r="M401" s="2"/>
      <c r="N401" s="2"/>
      <c r="O401" s="2"/>
      <c r="P401" s="2"/>
      <c r="Q401" s="2"/>
      <c r="R401" s="2"/>
      <c r="S401" s="2"/>
      <c r="T401" s="2"/>
      <c r="U401" s="7">
        <v>8</v>
      </c>
      <c r="V401" s="2"/>
      <c r="W401" s="175">
        <f t="shared" si="49"/>
        <v>689508.81200000015</v>
      </c>
    </row>
    <row r="402" spans="1:23" x14ac:dyDescent="0.2">
      <c r="A402" s="668" t="s">
        <v>461</v>
      </c>
      <c r="B402" s="2"/>
      <c r="C402" s="2"/>
      <c r="D402" s="2"/>
      <c r="E402" s="2"/>
      <c r="F402" s="2"/>
      <c r="G402" s="2"/>
      <c r="H402" s="2"/>
      <c r="I402" s="2"/>
      <c r="K402" s="2"/>
      <c r="L402" s="175"/>
      <c r="M402" s="2"/>
      <c r="N402" s="2"/>
      <c r="O402" s="2"/>
      <c r="P402" s="2"/>
      <c r="Q402" s="2"/>
      <c r="R402" s="2"/>
      <c r="S402" s="2"/>
      <c r="T402" s="2"/>
      <c r="V402" s="2"/>
      <c r="W402" s="175"/>
    </row>
    <row r="403" spans="1:23" x14ac:dyDescent="0.2">
      <c r="A403" s="668" t="s">
        <v>462</v>
      </c>
      <c r="B403" s="2"/>
      <c r="C403" s="2"/>
      <c r="D403" s="2"/>
      <c r="E403" s="2"/>
      <c r="F403" s="2"/>
      <c r="G403" s="2"/>
      <c r="H403" s="2"/>
      <c r="I403" s="2"/>
      <c r="J403" s="7">
        <v>3</v>
      </c>
      <c r="K403" s="2"/>
      <c r="L403" s="175">
        <v>221405.40000000002</v>
      </c>
      <c r="M403" s="2"/>
      <c r="N403" s="2"/>
      <c r="O403" s="2"/>
      <c r="P403" s="2"/>
      <c r="Q403" s="2"/>
      <c r="R403" s="2"/>
      <c r="S403" s="2"/>
      <c r="T403" s="2"/>
      <c r="U403" s="7">
        <v>3</v>
      </c>
      <c r="V403" s="2"/>
      <c r="W403" s="175">
        <f t="shared" si="49"/>
        <v>254616.21000000002</v>
      </c>
    </row>
    <row r="404" spans="1:23" x14ac:dyDescent="0.2">
      <c r="A404" s="668" t="s">
        <v>463</v>
      </c>
      <c r="B404" s="2"/>
      <c r="C404" s="2"/>
      <c r="D404" s="2"/>
      <c r="E404" s="2"/>
      <c r="F404" s="2"/>
      <c r="G404" s="2"/>
      <c r="H404" s="2"/>
      <c r="I404" s="2"/>
      <c r="J404" s="7">
        <v>5</v>
      </c>
      <c r="K404" s="2"/>
      <c r="L404" s="175">
        <v>359701.4</v>
      </c>
      <c r="M404" s="2"/>
      <c r="N404" s="2"/>
      <c r="O404" s="2"/>
      <c r="P404" s="2"/>
      <c r="Q404" s="2"/>
      <c r="R404" s="2"/>
      <c r="S404" s="2"/>
      <c r="T404" s="2"/>
      <c r="U404" s="7">
        <v>5</v>
      </c>
      <c r="V404" s="2"/>
      <c r="W404" s="175">
        <f t="shared" si="49"/>
        <v>413656.61000000004</v>
      </c>
    </row>
    <row r="405" spans="1:23" x14ac:dyDescent="0.2">
      <c r="A405" s="668" t="s">
        <v>464</v>
      </c>
      <c r="B405" s="2"/>
      <c r="C405" s="2"/>
      <c r="D405" s="2"/>
      <c r="E405" s="2"/>
      <c r="F405" s="2"/>
      <c r="G405" s="2"/>
      <c r="H405" s="2"/>
      <c r="I405" s="2"/>
      <c r="J405" s="7">
        <v>40</v>
      </c>
      <c r="K405" s="2"/>
      <c r="L405" s="175">
        <v>2459788.4800000004</v>
      </c>
      <c r="M405" s="2"/>
      <c r="N405" s="2"/>
      <c r="O405" s="2"/>
      <c r="P405" s="2"/>
      <c r="Q405" s="2"/>
      <c r="R405" s="2"/>
      <c r="S405" s="2"/>
      <c r="T405" s="2"/>
      <c r="U405" s="216">
        <f>40+3+1</f>
        <v>44</v>
      </c>
      <c r="V405" s="2"/>
      <c r="W405" s="218">
        <f>(L405*15%)+L405+202869+61773</f>
        <v>3093398.7520000003</v>
      </c>
    </row>
    <row r="406" spans="1:23" x14ac:dyDescent="0.2">
      <c r="A406" s="220" t="s">
        <v>465</v>
      </c>
      <c r="B406" s="216"/>
      <c r="C406" s="216"/>
      <c r="D406" s="216"/>
      <c r="E406" s="216"/>
      <c r="F406" s="216"/>
      <c r="G406" s="216"/>
      <c r="H406" s="216"/>
      <c r="I406" s="216"/>
      <c r="J406" s="216">
        <f>SUM(J407:J411)</f>
        <v>54</v>
      </c>
      <c r="K406" s="216"/>
      <c r="L406" s="217">
        <f>SUM(L407:L411)</f>
        <v>3404326.8000000007</v>
      </c>
      <c r="M406" s="216"/>
      <c r="N406" s="216"/>
      <c r="O406" s="216"/>
      <c r="P406" s="216"/>
      <c r="Q406" s="216"/>
      <c r="R406" s="216"/>
      <c r="S406" s="216"/>
      <c r="T406" s="216"/>
      <c r="U406" s="216">
        <f>SUM(U407:U411)</f>
        <v>56</v>
      </c>
      <c r="V406" s="216"/>
      <c r="W406" s="217">
        <f>SUM(W407:W411)</f>
        <v>4038521.8200000008</v>
      </c>
    </row>
    <row r="407" spans="1:23" x14ac:dyDescent="0.2">
      <c r="A407" s="668" t="s">
        <v>466</v>
      </c>
      <c r="B407" s="2"/>
      <c r="C407" s="2"/>
      <c r="D407" s="2"/>
      <c r="E407" s="2"/>
      <c r="F407" s="2"/>
      <c r="G407" s="2"/>
      <c r="H407" s="2"/>
      <c r="I407" s="2"/>
      <c r="J407" s="7">
        <v>4</v>
      </c>
      <c r="K407" s="2"/>
      <c r="L407" s="175">
        <v>291474.16000000003</v>
      </c>
      <c r="M407" s="2"/>
      <c r="N407" s="2"/>
      <c r="O407" s="2"/>
      <c r="P407" s="2"/>
      <c r="Q407" s="2"/>
      <c r="R407" s="2"/>
      <c r="S407" s="2"/>
      <c r="T407" s="2"/>
      <c r="U407" s="7">
        <v>4</v>
      </c>
      <c r="V407" s="2"/>
      <c r="W407" s="175">
        <f t="shared" si="49"/>
        <v>335195.28400000004</v>
      </c>
    </row>
    <row r="408" spans="1:23" x14ac:dyDescent="0.2">
      <c r="A408" s="668" t="s">
        <v>467</v>
      </c>
      <c r="B408" s="2"/>
      <c r="C408" s="2"/>
      <c r="D408" s="2"/>
      <c r="E408" s="2"/>
      <c r="F408" s="2"/>
      <c r="G408" s="2"/>
      <c r="H408" s="2"/>
      <c r="I408" s="2"/>
      <c r="K408" s="2"/>
      <c r="L408" s="175"/>
      <c r="M408" s="2"/>
      <c r="N408" s="2"/>
      <c r="O408" s="2"/>
      <c r="P408" s="2"/>
      <c r="Q408" s="2"/>
      <c r="R408" s="2"/>
      <c r="S408" s="2"/>
      <c r="T408" s="2"/>
      <c r="V408" s="2"/>
      <c r="W408" s="175"/>
    </row>
    <row r="409" spans="1:23" x14ac:dyDescent="0.2">
      <c r="A409" s="668" t="s">
        <v>468</v>
      </c>
      <c r="B409" s="2"/>
      <c r="C409" s="2"/>
      <c r="D409" s="2"/>
      <c r="E409" s="2"/>
      <c r="F409" s="2"/>
      <c r="G409" s="2"/>
      <c r="H409" s="2"/>
      <c r="I409" s="2"/>
      <c r="J409" s="7">
        <v>2</v>
      </c>
      <c r="K409" s="2"/>
      <c r="L409" s="175">
        <v>141647.59999999998</v>
      </c>
      <c r="M409" s="2"/>
      <c r="N409" s="2"/>
      <c r="O409" s="2"/>
      <c r="P409" s="2"/>
      <c r="Q409" s="2"/>
      <c r="R409" s="2"/>
      <c r="S409" s="2"/>
      <c r="T409" s="2"/>
      <c r="U409" s="7">
        <v>2</v>
      </c>
      <c r="V409" s="2"/>
      <c r="W409" s="175">
        <f t="shared" si="49"/>
        <v>162894.73999999996</v>
      </c>
    </row>
    <row r="410" spans="1:23" x14ac:dyDescent="0.2">
      <c r="A410" s="668" t="s">
        <v>469</v>
      </c>
      <c r="B410" s="2"/>
      <c r="C410" s="2"/>
      <c r="D410" s="2"/>
      <c r="E410" s="2"/>
      <c r="F410" s="2"/>
      <c r="G410" s="2"/>
      <c r="H410" s="2"/>
      <c r="I410" s="2"/>
      <c r="J410" s="7">
        <v>7</v>
      </c>
      <c r="K410" s="2"/>
      <c r="L410" s="175">
        <v>469335.27999999991</v>
      </c>
      <c r="M410" s="2"/>
      <c r="N410" s="2"/>
      <c r="O410" s="2"/>
      <c r="P410" s="2"/>
      <c r="Q410" s="2"/>
      <c r="R410" s="2"/>
      <c r="S410" s="2"/>
      <c r="T410" s="2"/>
      <c r="U410" s="7">
        <v>7</v>
      </c>
      <c r="V410" s="2"/>
      <c r="W410" s="175">
        <f t="shared" si="49"/>
        <v>539735.57199999993</v>
      </c>
    </row>
    <row r="411" spans="1:23" x14ac:dyDescent="0.2">
      <c r="A411" s="668" t="s">
        <v>470</v>
      </c>
      <c r="B411" s="2"/>
      <c r="C411" s="2"/>
      <c r="D411" s="2"/>
      <c r="E411" s="2"/>
      <c r="F411" s="2"/>
      <c r="G411" s="2"/>
      <c r="H411" s="2"/>
      <c r="I411" s="2"/>
      <c r="J411" s="7">
        <v>41</v>
      </c>
      <c r="K411" s="2"/>
      <c r="L411" s="175">
        <v>2501869.7600000007</v>
      </c>
      <c r="M411" s="2"/>
      <c r="N411" s="2"/>
      <c r="O411" s="2"/>
      <c r="P411" s="2"/>
      <c r="Q411" s="2"/>
      <c r="R411" s="2"/>
      <c r="S411" s="2"/>
      <c r="T411" s="2"/>
      <c r="U411" s="216">
        <f>41+1+1</f>
        <v>43</v>
      </c>
      <c r="V411" s="2"/>
      <c r="W411" s="218">
        <f>(L411*15%)+L411+61773+61773</f>
        <v>3000696.2240000009</v>
      </c>
    </row>
    <row r="412" spans="1:23" x14ac:dyDescent="0.2">
      <c r="A412" s="220" t="s">
        <v>471</v>
      </c>
      <c r="B412" s="216"/>
      <c r="C412" s="216"/>
      <c r="D412" s="216"/>
      <c r="E412" s="216"/>
      <c r="F412" s="216"/>
      <c r="G412" s="216"/>
      <c r="H412" s="216"/>
      <c r="I412" s="216"/>
      <c r="J412" s="216">
        <f>SUM(J413:J417)</f>
        <v>8</v>
      </c>
      <c r="K412" s="216"/>
      <c r="L412" s="217">
        <f>SUM(L413:L417)</f>
        <v>553754.96</v>
      </c>
      <c r="M412" s="216"/>
      <c r="N412" s="216"/>
      <c r="O412" s="216"/>
      <c r="P412" s="216"/>
      <c r="Q412" s="216"/>
      <c r="R412" s="216"/>
      <c r="S412" s="216"/>
      <c r="T412" s="216"/>
      <c r="U412" s="216">
        <f>SUM(U413:U417)</f>
        <v>9</v>
      </c>
      <c r="V412" s="216"/>
      <c r="W412" s="217">
        <f>SUM(W413:W417)</f>
        <v>699283.20400000003</v>
      </c>
    </row>
    <row r="413" spans="1:23" x14ac:dyDescent="0.2">
      <c r="A413" s="668" t="s">
        <v>472</v>
      </c>
      <c r="B413" s="2"/>
      <c r="C413" s="2"/>
      <c r="D413" s="2"/>
      <c r="E413" s="2"/>
      <c r="F413" s="2"/>
      <c r="G413" s="2"/>
      <c r="H413" s="2"/>
      <c r="I413" s="2"/>
      <c r="J413" s="7">
        <v>2</v>
      </c>
      <c r="K413" s="2"/>
      <c r="L413" s="175">
        <v>162922.40000000002</v>
      </c>
      <c r="M413" s="2"/>
      <c r="N413" s="2"/>
      <c r="O413" s="2"/>
      <c r="P413" s="2"/>
      <c r="Q413" s="2"/>
      <c r="R413" s="2"/>
      <c r="S413" s="2"/>
      <c r="T413" s="2"/>
      <c r="U413" s="7">
        <v>2</v>
      </c>
      <c r="V413" s="2"/>
      <c r="W413" s="175">
        <f t="shared" si="49"/>
        <v>187360.76000000004</v>
      </c>
    </row>
    <row r="414" spans="1:23" x14ac:dyDescent="0.2">
      <c r="A414" s="668" t="s">
        <v>473</v>
      </c>
      <c r="B414" s="2"/>
      <c r="C414" s="2"/>
      <c r="D414" s="2"/>
      <c r="E414" s="2"/>
      <c r="F414" s="2"/>
      <c r="G414" s="2"/>
      <c r="H414" s="2"/>
      <c r="I414" s="2"/>
      <c r="J414" s="7">
        <v>1</v>
      </c>
      <c r="K414" s="2"/>
      <c r="L414" s="175">
        <v>73674.880000000005</v>
      </c>
      <c r="M414" s="2"/>
      <c r="N414" s="2"/>
      <c r="O414" s="2"/>
      <c r="P414" s="2"/>
      <c r="Q414" s="2"/>
      <c r="R414" s="2"/>
      <c r="S414" s="2"/>
      <c r="T414" s="2"/>
      <c r="U414" s="7">
        <v>1</v>
      </c>
      <c r="V414" s="2"/>
      <c r="W414" s="175">
        <f t="shared" si="49"/>
        <v>84726.112000000008</v>
      </c>
    </row>
    <row r="415" spans="1:23" x14ac:dyDescent="0.2">
      <c r="A415" s="668" t="s">
        <v>474</v>
      </c>
      <c r="B415" s="2"/>
      <c r="C415" s="2"/>
      <c r="D415" s="2"/>
      <c r="E415" s="2"/>
      <c r="F415" s="2"/>
      <c r="G415" s="2"/>
      <c r="H415" s="2"/>
      <c r="I415" s="2"/>
      <c r="J415" s="7">
        <v>2</v>
      </c>
      <c r="K415" s="2"/>
      <c r="L415" s="175">
        <v>140795.59999999998</v>
      </c>
      <c r="M415" s="2"/>
      <c r="N415" s="2"/>
      <c r="O415" s="2"/>
      <c r="P415" s="2"/>
      <c r="Q415" s="2"/>
      <c r="R415" s="2"/>
      <c r="S415" s="2"/>
      <c r="T415" s="2"/>
      <c r="U415" s="7">
        <v>2</v>
      </c>
      <c r="V415" s="2"/>
      <c r="W415" s="175">
        <f t="shared" si="49"/>
        <v>161914.93999999997</v>
      </c>
    </row>
    <row r="416" spans="1:23" x14ac:dyDescent="0.2">
      <c r="A416" s="668" t="s">
        <v>475</v>
      </c>
      <c r="B416" s="2"/>
      <c r="C416" s="2"/>
      <c r="D416" s="2"/>
      <c r="E416" s="2"/>
      <c r="F416" s="2"/>
      <c r="G416" s="2"/>
      <c r="H416" s="2"/>
      <c r="I416" s="2"/>
      <c r="K416" s="2"/>
      <c r="L416" s="175"/>
      <c r="M416" s="2"/>
      <c r="N416" s="2"/>
      <c r="O416" s="2"/>
      <c r="P416" s="2"/>
      <c r="Q416" s="2"/>
      <c r="R416" s="2"/>
      <c r="S416" s="2"/>
      <c r="T416" s="2"/>
      <c r="V416" s="2"/>
      <c r="W416" s="175"/>
    </row>
    <row r="417" spans="1:23" x14ac:dyDescent="0.2">
      <c r="A417" s="668" t="s">
        <v>476</v>
      </c>
      <c r="B417" s="2"/>
      <c r="C417" s="2"/>
      <c r="D417" s="2"/>
      <c r="E417" s="2"/>
      <c r="F417" s="2"/>
      <c r="G417" s="2"/>
      <c r="H417" s="2"/>
      <c r="I417" s="2"/>
      <c r="J417" s="7">
        <v>3</v>
      </c>
      <c r="K417" s="2"/>
      <c r="L417" s="175">
        <v>176362.08</v>
      </c>
      <c r="M417" s="2"/>
      <c r="N417" s="2"/>
      <c r="O417" s="2"/>
      <c r="P417" s="2"/>
      <c r="Q417" s="2"/>
      <c r="R417" s="2"/>
      <c r="S417" s="2"/>
      <c r="T417" s="2"/>
      <c r="U417" s="216">
        <f>3+1</f>
        <v>4</v>
      </c>
      <c r="V417" s="2"/>
      <c r="W417" s="218">
        <f>(L417*15%)+L417+62465</f>
        <v>265281.39199999999</v>
      </c>
    </row>
    <row r="418" spans="1:23" x14ac:dyDescent="0.2">
      <c r="A418" s="220" t="s">
        <v>477</v>
      </c>
      <c r="B418" s="216"/>
      <c r="C418" s="216"/>
      <c r="D418" s="216"/>
      <c r="E418" s="216"/>
      <c r="F418" s="216"/>
      <c r="G418" s="216"/>
      <c r="H418" s="216"/>
      <c r="I418" s="216"/>
      <c r="J418" s="216">
        <f>SUM(J419:J423)</f>
        <v>31</v>
      </c>
      <c r="K418" s="216"/>
      <c r="L418" s="217">
        <f>SUM(L419:L423)</f>
        <v>1960224.8799999997</v>
      </c>
      <c r="M418" s="216"/>
      <c r="N418" s="216"/>
      <c r="O418" s="216"/>
      <c r="P418" s="216"/>
      <c r="Q418" s="216"/>
      <c r="R418" s="216"/>
      <c r="S418" s="216"/>
      <c r="T418" s="216"/>
      <c r="U418" s="216">
        <f>SUM(U419:U423)</f>
        <v>31</v>
      </c>
      <c r="V418" s="216"/>
      <c r="W418" s="217">
        <f>SUM(W419:W423)</f>
        <v>2254258.6119999997</v>
      </c>
    </row>
    <row r="419" spans="1:23" x14ac:dyDescent="0.2">
      <c r="A419" s="221" t="s">
        <v>478</v>
      </c>
      <c r="B419" s="2"/>
      <c r="C419" s="2"/>
      <c r="D419" s="2"/>
      <c r="E419" s="2"/>
      <c r="F419" s="2"/>
      <c r="G419" s="2"/>
      <c r="H419" s="2"/>
      <c r="I419" s="2"/>
      <c r="J419" s="7">
        <v>4</v>
      </c>
      <c r="K419" s="2"/>
      <c r="L419" s="175">
        <v>307374.39999999997</v>
      </c>
      <c r="M419" s="2"/>
      <c r="N419" s="2"/>
      <c r="O419" s="2"/>
      <c r="P419" s="2"/>
      <c r="Q419" s="2"/>
      <c r="R419" s="2"/>
      <c r="S419" s="2"/>
      <c r="T419" s="2"/>
      <c r="U419" s="7">
        <v>4</v>
      </c>
      <c r="V419" s="2"/>
      <c r="W419" s="175">
        <f t="shared" si="49"/>
        <v>353480.55999999994</v>
      </c>
    </row>
    <row r="420" spans="1:23" x14ac:dyDescent="0.2">
      <c r="A420" s="221" t="s">
        <v>479</v>
      </c>
      <c r="B420" s="2"/>
      <c r="C420" s="2"/>
      <c r="D420" s="2"/>
      <c r="E420" s="2"/>
      <c r="F420" s="2"/>
      <c r="G420" s="2"/>
      <c r="H420" s="2"/>
      <c r="I420" s="2"/>
      <c r="K420" s="2"/>
      <c r="L420" s="175"/>
      <c r="M420" s="2"/>
      <c r="N420" s="2"/>
      <c r="O420" s="2"/>
      <c r="P420" s="2"/>
      <c r="Q420" s="2"/>
      <c r="R420" s="2"/>
      <c r="S420" s="2"/>
      <c r="T420" s="2"/>
      <c r="V420" s="2"/>
      <c r="W420" s="175"/>
    </row>
    <row r="421" spans="1:23" x14ac:dyDescent="0.2">
      <c r="A421" s="221" t="s">
        <v>480</v>
      </c>
      <c r="B421" s="2"/>
      <c r="C421" s="2"/>
      <c r="D421" s="2"/>
      <c r="E421" s="2"/>
      <c r="F421" s="2"/>
      <c r="G421" s="2"/>
      <c r="H421" s="2"/>
      <c r="I421" s="2"/>
      <c r="J421" s="7">
        <v>4</v>
      </c>
      <c r="K421" s="2"/>
      <c r="L421" s="175">
        <v>266474.19999999995</v>
      </c>
      <c r="M421" s="2"/>
      <c r="N421" s="2"/>
      <c r="O421" s="2"/>
      <c r="P421" s="2"/>
      <c r="Q421" s="2"/>
      <c r="R421" s="2"/>
      <c r="S421" s="2"/>
      <c r="T421" s="2"/>
      <c r="U421" s="7">
        <v>4</v>
      </c>
      <c r="V421" s="2"/>
      <c r="W421" s="175">
        <f t="shared" si="49"/>
        <v>306445.32999999996</v>
      </c>
    </row>
    <row r="422" spans="1:23" x14ac:dyDescent="0.2">
      <c r="A422" s="221" t="s">
        <v>481</v>
      </c>
      <c r="B422" s="2"/>
      <c r="C422" s="2"/>
      <c r="D422" s="2"/>
      <c r="E422" s="2"/>
      <c r="F422" s="2"/>
      <c r="G422" s="2"/>
      <c r="H422" s="2"/>
      <c r="I422" s="2"/>
      <c r="J422" s="7">
        <v>3</v>
      </c>
      <c r="K422" s="2"/>
      <c r="L422" s="175">
        <v>189333.96</v>
      </c>
      <c r="M422" s="2"/>
      <c r="N422" s="2"/>
      <c r="O422" s="2"/>
      <c r="P422" s="2"/>
      <c r="Q422" s="2"/>
      <c r="R422" s="2"/>
      <c r="S422" s="2"/>
      <c r="T422" s="2"/>
      <c r="U422" s="7">
        <v>3</v>
      </c>
      <c r="V422" s="2"/>
      <c r="W422" s="175">
        <f t="shared" si="49"/>
        <v>217734.054</v>
      </c>
    </row>
    <row r="423" spans="1:23" x14ac:dyDescent="0.2">
      <c r="A423" s="221" t="s">
        <v>482</v>
      </c>
      <c r="B423" s="2"/>
      <c r="C423" s="2"/>
      <c r="D423" s="2"/>
      <c r="E423" s="2"/>
      <c r="F423" s="2"/>
      <c r="G423" s="2"/>
      <c r="H423" s="2"/>
      <c r="I423" s="2"/>
      <c r="J423" s="7">
        <v>20</v>
      </c>
      <c r="K423" s="2"/>
      <c r="L423" s="175">
        <v>1197042.3199999998</v>
      </c>
      <c r="M423" s="2"/>
      <c r="N423" s="2"/>
      <c r="O423" s="2"/>
      <c r="P423" s="2"/>
      <c r="Q423" s="2"/>
      <c r="R423" s="2"/>
      <c r="S423" s="2"/>
      <c r="T423" s="2"/>
      <c r="U423" s="7">
        <v>20</v>
      </c>
      <c r="V423" s="2"/>
      <c r="W423" s="175">
        <f t="shared" si="49"/>
        <v>1376598.6679999998</v>
      </c>
    </row>
    <row r="424" spans="1:23" x14ac:dyDescent="0.2">
      <c r="A424" s="220" t="s">
        <v>483</v>
      </c>
      <c r="B424" s="216"/>
      <c r="C424" s="216"/>
      <c r="D424" s="216"/>
      <c r="E424" s="216"/>
      <c r="F424" s="216"/>
      <c r="G424" s="216"/>
      <c r="H424" s="216"/>
      <c r="I424" s="216"/>
      <c r="J424" s="216">
        <f>SUM(J425:J431)</f>
        <v>50</v>
      </c>
      <c r="K424" s="216"/>
      <c r="L424" s="217">
        <f>SUM(L425:L431)</f>
        <v>3836292.08</v>
      </c>
      <c r="M424" s="216"/>
      <c r="N424" s="216"/>
      <c r="O424" s="216"/>
      <c r="P424" s="216"/>
      <c r="Q424" s="216"/>
      <c r="R424" s="216"/>
      <c r="S424" s="216"/>
      <c r="T424" s="216"/>
      <c r="U424" s="216">
        <f>SUM(U425:U431)</f>
        <v>52</v>
      </c>
      <c r="V424" s="216"/>
      <c r="W424" s="217">
        <f>SUM(W425:W431)</f>
        <v>4602971.2520000003</v>
      </c>
    </row>
    <row r="425" spans="1:23" x14ac:dyDescent="0.2">
      <c r="A425" s="670" t="s">
        <v>484</v>
      </c>
      <c r="B425" s="2"/>
      <c r="C425" s="2"/>
      <c r="D425" s="2"/>
      <c r="E425" s="2"/>
      <c r="F425" s="2"/>
      <c r="G425" s="2"/>
      <c r="H425" s="2"/>
      <c r="I425" s="2"/>
      <c r="J425" s="7">
        <v>20</v>
      </c>
      <c r="K425" s="2"/>
      <c r="L425" s="175">
        <v>1923197.6</v>
      </c>
      <c r="M425" s="2"/>
      <c r="N425" s="2"/>
      <c r="O425" s="2"/>
      <c r="P425" s="2"/>
      <c r="Q425" s="2"/>
      <c r="R425" s="2"/>
      <c r="S425" s="2"/>
      <c r="T425" s="2"/>
      <c r="U425" s="7">
        <v>21</v>
      </c>
      <c r="V425" s="2"/>
      <c r="W425" s="175">
        <f t="shared" ref="W425:W428" si="50">(L425*15%)+L425</f>
        <v>2211677.2400000002</v>
      </c>
    </row>
    <row r="426" spans="1:23" x14ac:dyDescent="0.2">
      <c r="A426" s="670" t="s">
        <v>485</v>
      </c>
      <c r="B426" s="2"/>
      <c r="C426" s="2"/>
      <c r="D426" s="2"/>
      <c r="E426" s="2"/>
      <c r="F426" s="2"/>
      <c r="G426" s="2"/>
      <c r="H426" s="2"/>
      <c r="I426" s="2"/>
      <c r="J426" s="7">
        <v>19</v>
      </c>
      <c r="K426" s="2"/>
      <c r="L426" s="175">
        <v>1213797.52</v>
      </c>
      <c r="M426" s="2"/>
      <c r="N426" s="2"/>
      <c r="O426" s="2"/>
      <c r="P426" s="2"/>
      <c r="Q426" s="2"/>
      <c r="R426" s="2"/>
      <c r="S426" s="2"/>
      <c r="T426" s="2"/>
      <c r="U426" s="7">
        <v>15</v>
      </c>
      <c r="V426" s="2"/>
      <c r="W426" s="175">
        <f t="shared" si="50"/>
        <v>1395867.148</v>
      </c>
    </row>
    <row r="427" spans="1:23" x14ac:dyDescent="0.2">
      <c r="A427" s="670" t="s">
        <v>465</v>
      </c>
      <c r="B427" s="2"/>
      <c r="C427" s="2"/>
      <c r="D427" s="2"/>
      <c r="E427" s="2"/>
      <c r="F427" s="2"/>
      <c r="G427" s="2"/>
      <c r="H427" s="2"/>
      <c r="I427" s="2"/>
      <c r="J427" s="7">
        <v>5</v>
      </c>
      <c r="K427" s="2"/>
      <c r="L427" s="175">
        <v>319420.40000000002</v>
      </c>
      <c r="M427" s="2"/>
      <c r="N427" s="2"/>
      <c r="O427" s="2"/>
      <c r="P427" s="2"/>
      <c r="Q427" s="2"/>
      <c r="R427" s="2"/>
      <c r="S427" s="2"/>
      <c r="T427" s="2"/>
      <c r="U427" s="7">
        <v>9</v>
      </c>
      <c r="V427" s="2"/>
      <c r="W427" s="175">
        <f t="shared" si="50"/>
        <v>367333.46</v>
      </c>
    </row>
    <row r="428" spans="1:23" x14ac:dyDescent="0.2">
      <c r="A428" s="670" t="s">
        <v>486</v>
      </c>
      <c r="B428" s="2"/>
      <c r="C428" s="2"/>
      <c r="D428" s="2"/>
      <c r="E428" s="2"/>
      <c r="F428" s="2"/>
      <c r="G428" s="2"/>
      <c r="H428" s="2"/>
      <c r="I428" s="2"/>
      <c r="J428" s="7">
        <v>2</v>
      </c>
      <c r="K428" s="2"/>
      <c r="L428" s="175">
        <v>128354.95999999999</v>
      </c>
      <c r="M428" s="2"/>
      <c r="N428" s="2"/>
      <c r="O428" s="2"/>
      <c r="P428" s="2"/>
      <c r="Q428" s="2"/>
      <c r="R428" s="2"/>
      <c r="S428" s="2"/>
      <c r="T428" s="2"/>
      <c r="U428" s="7">
        <v>2</v>
      </c>
      <c r="V428" s="2"/>
      <c r="W428" s="175">
        <f t="shared" si="50"/>
        <v>147608.204</v>
      </c>
    </row>
    <row r="429" spans="1:23" x14ac:dyDescent="0.2">
      <c r="A429" s="670" t="s">
        <v>487</v>
      </c>
      <c r="B429" s="2"/>
      <c r="C429" s="2"/>
      <c r="D429" s="2"/>
      <c r="E429" s="2"/>
      <c r="F429" s="2"/>
      <c r="G429" s="2"/>
      <c r="H429" s="2"/>
      <c r="I429" s="2"/>
      <c r="K429" s="2"/>
      <c r="L429" s="175">
        <v>0</v>
      </c>
      <c r="M429" s="2"/>
      <c r="N429" s="2"/>
      <c r="O429" s="2"/>
      <c r="P429" s="2"/>
      <c r="Q429" s="2"/>
      <c r="R429" s="2"/>
      <c r="S429" s="2"/>
      <c r="T429" s="2"/>
      <c r="U429" s="7">
        <v>1</v>
      </c>
      <c r="V429" s="2"/>
      <c r="W429" s="175">
        <v>62880.399999999994</v>
      </c>
    </row>
    <row r="430" spans="1:23" x14ac:dyDescent="0.2">
      <c r="A430" s="670" t="s">
        <v>488</v>
      </c>
      <c r="B430" s="2"/>
      <c r="C430" s="2"/>
      <c r="D430" s="2"/>
      <c r="E430" s="2"/>
      <c r="F430" s="2"/>
      <c r="G430" s="2"/>
      <c r="H430" s="2"/>
      <c r="I430" s="2"/>
      <c r="K430" s="2"/>
      <c r="L430" s="175">
        <v>0</v>
      </c>
      <c r="M430" s="2"/>
      <c r="N430" s="2"/>
      <c r="O430" s="2"/>
      <c r="P430" s="2"/>
      <c r="Q430" s="2"/>
      <c r="R430" s="2"/>
      <c r="S430" s="2"/>
      <c r="T430" s="2"/>
      <c r="U430" s="7">
        <v>2</v>
      </c>
      <c r="V430" s="2"/>
      <c r="W430" s="175">
        <v>128354.95999999999</v>
      </c>
    </row>
    <row r="431" spans="1:23" ht="12.75" thickBot="1" x14ac:dyDescent="0.25">
      <c r="A431" s="671" t="s">
        <v>471</v>
      </c>
      <c r="B431" s="2"/>
      <c r="C431" s="2"/>
      <c r="D431" s="2"/>
      <c r="E431" s="2"/>
      <c r="F431" s="2"/>
      <c r="G431" s="2"/>
      <c r="H431" s="2"/>
      <c r="I431" s="2"/>
      <c r="J431" s="7">
        <v>4</v>
      </c>
      <c r="K431" s="2"/>
      <c r="L431" s="175">
        <v>251521.59999999998</v>
      </c>
      <c r="M431" s="2"/>
      <c r="N431" s="2"/>
      <c r="O431" s="2"/>
      <c r="P431" s="2"/>
      <c r="Q431" s="2"/>
      <c r="R431" s="2"/>
      <c r="S431" s="2"/>
      <c r="T431" s="2"/>
      <c r="U431" s="7">
        <v>2</v>
      </c>
      <c r="V431" s="2"/>
      <c r="W431" s="175">
        <f t="shared" ref="W431" si="51">(L431*15%)+L431</f>
        <v>289249.83999999997</v>
      </c>
    </row>
    <row r="432" spans="1:23" ht="12.75" thickBot="1" x14ac:dyDescent="0.25">
      <c r="A432" s="222" t="s">
        <v>489</v>
      </c>
      <c r="B432" s="223"/>
      <c r="C432" s="223"/>
      <c r="D432" s="223"/>
      <c r="E432" s="223"/>
      <c r="F432" s="223"/>
      <c r="G432" s="223"/>
      <c r="H432" s="223"/>
      <c r="I432" s="223"/>
      <c r="J432" s="223">
        <f>+J376+J380+J387+J394+J400+J406+J412+J418+J424</f>
        <v>461</v>
      </c>
      <c r="K432" s="223"/>
      <c r="L432" s="224">
        <f>+L376+L380+L387+L394+L400+L406+L412+L418+L424</f>
        <v>24831953.840000004</v>
      </c>
      <c r="M432" s="223"/>
      <c r="N432" s="223"/>
      <c r="O432" s="223"/>
      <c r="P432" s="223"/>
      <c r="Q432" s="223"/>
      <c r="R432" s="223"/>
      <c r="S432" s="223"/>
      <c r="T432" s="223"/>
      <c r="U432" s="223">
        <f>+U376+U380+U387+U394+U400+U406+U412+U418+U424</f>
        <v>488</v>
      </c>
      <c r="V432" s="223"/>
      <c r="W432" s="224">
        <f>+W376+W380+W387+W394+W400+W406+W412+W418+W424</f>
        <v>30165245.276000001</v>
      </c>
    </row>
    <row r="433" spans="1:23" x14ac:dyDescent="0.2">
      <c r="A433" s="225" t="s">
        <v>490</v>
      </c>
      <c r="B433" s="216"/>
      <c r="C433" s="216"/>
      <c r="D433" s="226"/>
      <c r="E433" s="216"/>
      <c r="F433" s="216"/>
      <c r="G433" s="216"/>
      <c r="H433" s="216"/>
      <c r="I433" s="216"/>
      <c r="J433" s="216"/>
      <c r="K433" s="216"/>
      <c r="L433" s="217"/>
      <c r="M433" s="216"/>
      <c r="N433" s="216"/>
      <c r="O433" s="226"/>
      <c r="P433" s="216"/>
      <c r="Q433" s="216"/>
      <c r="R433" s="216"/>
      <c r="S433" s="216"/>
      <c r="T433" s="216"/>
      <c r="U433" s="216"/>
      <c r="V433" s="216"/>
      <c r="W433" s="217"/>
    </row>
    <row r="434" spans="1:23" x14ac:dyDescent="0.2">
      <c r="A434" s="669" t="s">
        <v>491</v>
      </c>
      <c r="B434" s="216"/>
      <c r="C434" s="216"/>
      <c r="D434" s="216">
        <f>SUM(D435:D437)</f>
        <v>247</v>
      </c>
      <c r="E434" s="216"/>
      <c r="F434" s="216"/>
      <c r="G434" s="216"/>
      <c r="H434" s="216"/>
      <c r="I434" s="216"/>
      <c r="J434" s="226"/>
      <c r="K434" s="216"/>
      <c r="L434" s="217">
        <f>SUM(L435:L437)</f>
        <v>893139.08000000007</v>
      </c>
      <c r="M434" s="216"/>
      <c r="N434" s="216"/>
      <c r="O434" s="216">
        <f>SUM(O435:O437)</f>
        <v>247</v>
      </c>
      <c r="P434" s="216"/>
      <c r="Q434" s="216"/>
      <c r="R434" s="216"/>
      <c r="S434" s="216"/>
      <c r="T434" s="216"/>
      <c r="U434" s="226"/>
      <c r="V434" s="216"/>
      <c r="W434" s="217">
        <f>SUM(W435:W437)</f>
        <v>1027109.942</v>
      </c>
    </row>
    <row r="435" spans="1:23" x14ac:dyDescent="0.2">
      <c r="A435" s="668" t="s">
        <v>385</v>
      </c>
      <c r="B435" s="2"/>
      <c r="C435" s="2"/>
      <c r="D435" s="7">
        <v>32</v>
      </c>
      <c r="E435" s="2"/>
      <c r="F435" s="2"/>
      <c r="G435" s="2"/>
      <c r="H435" s="2"/>
      <c r="I435" s="2"/>
      <c r="K435" s="2"/>
      <c r="L435" s="175">
        <v>171374.32</v>
      </c>
      <c r="M435" s="2"/>
      <c r="N435" s="2"/>
      <c r="O435" s="7">
        <v>32</v>
      </c>
      <c r="P435" s="2"/>
      <c r="Q435" s="2"/>
      <c r="R435" s="2"/>
      <c r="S435" s="2"/>
      <c r="T435" s="2"/>
      <c r="V435" s="2"/>
      <c r="W435" s="175">
        <f t="shared" ref="W435:W441" si="52">(L435*15%)+L435</f>
        <v>197080.46799999999</v>
      </c>
    </row>
    <row r="436" spans="1:23" x14ac:dyDescent="0.2">
      <c r="A436" s="668" t="s">
        <v>389</v>
      </c>
      <c r="B436" s="2"/>
      <c r="C436" s="2"/>
      <c r="D436" s="7">
        <f>97+45+13</f>
        <v>155</v>
      </c>
      <c r="E436" s="2"/>
      <c r="F436" s="2"/>
      <c r="G436" s="2"/>
      <c r="H436" s="2"/>
      <c r="I436" s="2"/>
      <c r="K436" s="2"/>
      <c r="L436" s="175">
        <f>339666.68+155008+51061.6</f>
        <v>545736.28</v>
      </c>
      <c r="M436" s="2"/>
      <c r="N436" s="2"/>
      <c r="O436" s="7">
        <f>97+45+13</f>
        <v>155</v>
      </c>
      <c r="P436" s="2"/>
      <c r="Q436" s="2"/>
      <c r="R436" s="2"/>
      <c r="S436" s="2"/>
      <c r="T436" s="2"/>
      <c r="V436" s="2"/>
      <c r="W436" s="175">
        <f t="shared" si="52"/>
        <v>627596.72200000007</v>
      </c>
    </row>
    <row r="437" spans="1:23" x14ac:dyDescent="0.2">
      <c r="A437" s="668" t="s">
        <v>393</v>
      </c>
      <c r="B437" s="2"/>
      <c r="C437" s="2"/>
      <c r="D437" s="7">
        <v>60</v>
      </c>
      <c r="E437" s="2"/>
      <c r="F437" s="2"/>
      <c r="G437" s="2"/>
      <c r="H437" s="2"/>
      <c r="I437" s="2"/>
      <c r="K437" s="2"/>
      <c r="L437" s="175">
        <v>176028.47999999998</v>
      </c>
      <c r="M437" s="2"/>
      <c r="N437" s="2"/>
      <c r="O437" s="7">
        <v>60</v>
      </c>
      <c r="P437" s="2"/>
      <c r="Q437" s="2"/>
      <c r="R437" s="2"/>
      <c r="S437" s="2"/>
      <c r="T437" s="2"/>
      <c r="V437" s="2"/>
      <c r="W437" s="175">
        <f t="shared" si="52"/>
        <v>202432.75199999998</v>
      </c>
    </row>
    <row r="438" spans="1:23" x14ac:dyDescent="0.2">
      <c r="A438" s="669" t="s">
        <v>492</v>
      </c>
      <c r="B438" s="216"/>
      <c r="C438" s="216"/>
      <c r="D438" s="216">
        <f>SUM(D439:D441)</f>
        <v>476</v>
      </c>
      <c r="E438" s="216"/>
      <c r="F438" s="216"/>
      <c r="G438" s="216"/>
      <c r="H438" s="216"/>
      <c r="I438" s="216"/>
      <c r="J438" s="226"/>
      <c r="K438" s="216"/>
      <c r="L438" s="217">
        <f>SUM(L439:L441)</f>
        <v>2614647.2199999997</v>
      </c>
      <c r="M438" s="216"/>
      <c r="N438" s="216"/>
      <c r="O438" s="216">
        <f>SUM(O439:O441)</f>
        <v>476</v>
      </c>
      <c r="P438" s="216"/>
      <c r="Q438" s="216"/>
      <c r="R438" s="216"/>
      <c r="S438" s="216"/>
      <c r="T438" s="216"/>
      <c r="U438" s="226"/>
      <c r="V438" s="216"/>
      <c r="W438" s="217">
        <f>SUM(W439:W441)</f>
        <v>3006844.3029999998</v>
      </c>
    </row>
    <row r="439" spans="1:23" x14ac:dyDescent="0.2">
      <c r="A439" s="668" t="s">
        <v>385</v>
      </c>
      <c r="B439" s="2"/>
      <c r="C439" s="2"/>
      <c r="D439" s="7">
        <f>198+1</f>
        <v>199</v>
      </c>
      <c r="E439" s="2"/>
      <c r="F439" s="2"/>
      <c r="G439" s="2"/>
      <c r="H439" s="2"/>
      <c r="I439" s="2"/>
      <c r="K439" s="2"/>
      <c r="L439" s="175">
        <f>1393026.62+14513.6</f>
        <v>1407540.2200000002</v>
      </c>
      <c r="M439" s="2"/>
      <c r="N439" s="2"/>
      <c r="O439" s="7">
        <f>198+1</f>
        <v>199</v>
      </c>
      <c r="P439" s="2"/>
      <c r="Q439" s="2"/>
      <c r="R439" s="2"/>
      <c r="S439" s="2"/>
      <c r="T439" s="2"/>
      <c r="V439" s="2"/>
      <c r="W439" s="175">
        <f t="shared" si="52"/>
        <v>1618671.2530000003</v>
      </c>
    </row>
    <row r="440" spans="1:23" x14ac:dyDescent="0.2">
      <c r="A440" s="668" t="s">
        <v>389</v>
      </c>
      <c r="B440" s="2"/>
      <c r="C440" s="2"/>
      <c r="D440" s="7">
        <v>203</v>
      </c>
      <c r="E440" s="2"/>
      <c r="F440" s="2"/>
      <c r="G440" s="2"/>
      <c r="H440" s="2"/>
      <c r="I440" s="2"/>
      <c r="K440" s="2"/>
      <c r="L440" s="175">
        <v>977863.19999999949</v>
      </c>
      <c r="M440" s="2"/>
      <c r="N440" s="2"/>
      <c r="O440" s="7">
        <v>203</v>
      </c>
      <c r="P440" s="2"/>
      <c r="Q440" s="2"/>
      <c r="R440" s="2"/>
      <c r="S440" s="2"/>
      <c r="T440" s="2"/>
      <c r="V440" s="2"/>
      <c r="W440" s="175">
        <f t="shared" si="52"/>
        <v>1124542.6799999995</v>
      </c>
    </row>
    <row r="441" spans="1:23" ht="12.75" thickBot="1" x14ac:dyDescent="0.25">
      <c r="A441" s="672" t="s">
        <v>393</v>
      </c>
      <c r="B441" s="2"/>
      <c r="C441" s="2"/>
      <c r="D441" s="7">
        <v>74</v>
      </c>
      <c r="E441" s="2"/>
      <c r="F441" s="2"/>
      <c r="G441" s="2"/>
      <c r="H441" s="2"/>
      <c r="I441" s="2"/>
      <c r="K441" s="2"/>
      <c r="L441" s="175">
        <f>131612.36+97631.44</f>
        <v>229243.8</v>
      </c>
      <c r="M441" s="2"/>
      <c r="N441" s="2"/>
      <c r="O441" s="7">
        <v>74</v>
      </c>
      <c r="P441" s="2"/>
      <c r="Q441" s="2"/>
      <c r="R441" s="2"/>
      <c r="S441" s="2"/>
      <c r="T441" s="2"/>
      <c r="V441" s="2"/>
      <c r="W441" s="175">
        <f t="shared" si="52"/>
        <v>263630.37</v>
      </c>
    </row>
    <row r="442" spans="1:23" ht="12.75" thickBot="1" x14ac:dyDescent="0.25">
      <c r="A442" s="263" t="s">
        <v>493</v>
      </c>
      <c r="B442" s="270"/>
      <c r="C442" s="270"/>
      <c r="D442" s="270">
        <f>+D434+D438</f>
        <v>723</v>
      </c>
      <c r="E442" s="270"/>
      <c r="F442" s="270"/>
      <c r="G442" s="270"/>
      <c r="H442" s="270"/>
      <c r="I442" s="270"/>
      <c r="J442" s="270"/>
      <c r="K442" s="270"/>
      <c r="L442" s="271">
        <f>+L434+L438</f>
        <v>3507786.3</v>
      </c>
      <c r="M442" s="270"/>
      <c r="N442" s="270"/>
      <c r="O442" s="270">
        <f>+O434+O438</f>
        <v>723</v>
      </c>
      <c r="P442" s="270"/>
      <c r="Q442" s="270"/>
      <c r="R442" s="270"/>
      <c r="S442" s="270"/>
      <c r="T442" s="270"/>
      <c r="U442" s="270"/>
      <c r="V442" s="270"/>
      <c r="W442" s="271">
        <f>+W434+W438</f>
        <v>4033954.2450000001</v>
      </c>
    </row>
    <row r="443" spans="1:23" ht="12.75" thickBot="1" x14ac:dyDescent="0.25">
      <c r="A443" s="263" t="s">
        <v>494</v>
      </c>
      <c r="B443" s="270"/>
      <c r="C443" s="270"/>
      <c r="D443" s="270"/>
      <c r="E443" s="270"/>
      <c r="F443" s="270"/>
      <c r="G443" s="270"/>
      <c r="H443" s="270"/>
      <c r="I443" s="270"/>
      <c r="J443" s="270">
        <f>+B374+J432+D442</f>
        <v>1306</v>
      </c>
      <c r="K443" s="270"/>
      <c r="L443" s="271">
        <f>+L374+L432+L442</f>
        <v>31806900.820000004</v>
      </c>
      <c r="M443" s="270"/>
      <c r="N443" s="270"/>
      <c r="O443" s="270"/>
      <c r="P443" s="270"/>
      <c r="Q443" s="270"/>
      <c r="R443" s="270"/>
      <c r="S443" s="270"/>
      <c r="T443" s="270"/>
      <c r="U443" s="270">
        <f>+M374+U432+O442</f>
        <v>1333</v>
      </c>
      <c r="V443" s="270"/>
      <c r="W443" s="271">
        <f>+W374+W432+W442</f>
        <v>38186434.302999996</v>
      </c>
    </row>
    <row r="445" spans="1:23" ht="12.75" thickBot="1" x14ac:dyDescent="0.25">
      <c r="A445" s="257" t="s">
        <v>495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x14ac:dyDescent="0.2">
      <c r="A446" s="646" t="s">
        <v>362</v>
      </c>
      <c r="B446" s="1470" t="s">
        <v>363</v>
      </c>
      <c r="C446" s="1471"/>
      <c r="D446" s="1471"/>
      <c r="E446" s="1471"/>
      <c r="F446" s="1471"/>
      <c r="G446" s="1471"/>
      <c r="H446" s="1471"/>
      <c r="I446" s="1471"/>
      <c r="J446" s="1471"/>
      <c r="K446" s="1471"/>
      <c r="L446" s="1471"/>
      <c r="M446" s="1470" t="s">
        <v>364</v>
      </c>
      <c r="N446" s="1471"/>
      <c r="O446" s="1471"/>
      <c r="P446" s="1471"/>
      <c r="Q446" s="1471"/>
      <c r="R446" s="1471"/>
      <c r="S446" s="1471"/>
      <c r="T446" s="1471"/>
      <c r="U446" s="1471"/>
      <c r="V446" s="1471"/>
      <c r="W446" s="1472"/>
    </row>
    <row r="447" spans="1:23" ht="118.5" x14ac:dyDescent="0.2">
      <c r="A447" s="647" t="s">
        <v>365</v>
      </c>
      <c r="B447" s="648" t="s">
        <v>366</v>
      </c>
      <c r="C447" s="648" t="s">
        <v>367</v>
      </c>
      <c r="D447" s="649" t="s">
        <v>368</v>
      </c>
      <c r="E447" s="649" t="s">
        <v>369</v>
      </c>
      <c r="F447" s="649" t="s">
        <v>370</v>
      </c>
      <c r="G447" s="649" t="s">
        <v>371</v>
      </c>
      <c r="H447" s="649" t="s">
        <v>372</v>
      </c>
      <c r="I447" s="649" t="s">
        <v>373</v>
      </c>
      <c r="J447" s="650" t="s">
        <v>374</v>
      </c>
      <c r="K447" s="651" t="s">
        <v>375</v>
      </c>
      <c r="L447" s="651" t="s">
        <v>376</v>
      </c>
      <c r="M447" s="655" t="s">
        <v>366</v>
      </c>
      <c r="N447" s="648" t="s">
        <v>367</v>
      </c>
      <c r="O447" s="649" t="s">
        <v>368</v>
      </c>
      <c r="P447" s="649" t="s">
        <v>369</v>
      </c>
      <c r="Q447" s="649" t="s">
        <v>370</v>
      </c>
      <c r="R447" s="649" t="s">
        <v>371</v>
      </c>
      <c r="S447" s="649" t="s">
        <v>372</v>
      </c>
      <c r="T447" s="649" t="s">
        <v>373</v>
      </c>
      <c r="U447" s="650" t="s">
        <v>374</v>
      </c>
      <c r="V447" s="651" t="s">
        <v>375</v>
      </c>
      <c r="W447" s="652" t="s">
        <v>377</v>
      </c>
    </row>
    <row r="448" spans="1:23" x14ac:dyDescent="0.2">
      <c r="A448" s="8"/>
      <c r="B448" s="191"/>
      <c r="C448" s="191"/>
      <c r="D448" s="191"/>
      <c r="M448" s="14"/>
      <c r="N448" s="191"/>
      <c r="O448" s="191"/>
      <c r="W448" s="11"/>
    </row>
    <row r="449" spans="1:23" x14ac:dyDescent="0.2">
      <c r="A449" s="9" t="s">
        <v>496</v>
      </c>
      <c r="B449" s="186">
        <f>+B451+B459+B467+B472</f>
        <v>54</v>
      </c>
      <c r="C449" s="195">
        <f>+C451+C459+C467+C472</f>
        <v>0</v>
      </c>
      <c r="D449" s="195">
        <f>+D451+D459+D467+D472</f>
        <v>54</v>
      </c>
      <c r="E449" s="161"/>
      <c r="F449" s="161"/>
      <c r="G449" s="161"/>
      <c r="H449" s="161"/>
      <c r="I449" s="161"/>
      <c r="J449" s="161"/>
      <c r="K449" s="173">
        <f>+K451+K459+K467+K472</f>
        <v>2956079.16</v>
      </c>
      <c r="L449" s="173">
        <f>+L451+L459+L467+L472</f>
        <v>2956079.16</v>
      </c>
      <c r="M449" s="186">
        <f>+M451+M459+M467+M472</f>
        <v>54</v>
      </c>
      <c r="N449" s="195">
        <f>+N451+N459+N467+N472</f>
        <v>0</v>
      </c>
      <c r="O449" s="195">
        <f>+O451+O459+O467+O472</f>
        <v>54</v>
      </c>
      <c r="P449" s="161"/>
      <c r="Q449" s="161"/>
      <c r="R449" s="161"/>
      <c r="S449" s="161"/>
      <c r="T449" s="161"/>
      <c r="U449" s="161"/>
      <c r="V449" s="173">
        <f>+V451+V459+V467+V472</f>
        <v>2956079.16</v>
      </c>
      <c r="W449" s="174">
        <f>+W451+W459+W467+W472</f>
        <v>2956079.16</v>
      </c>
    </row>
    <row r="450" spans="1:23" x14ac:dyDescent="0.2">
      <c r="A450" s="8"/>
      <c r="B450" s="14"/>
      <c r="C450" s="191"/>
      <c r="D450" s="191"/>
      <c r="M450" s="14"/>
      <c r="N450" s="191"/>
      <c r="O450" s="191"/>
      <c r="W450" s="11"/>
    </row>
    <row r="451" spans="1:23" x14ac:dyDescent="0.2">
      <c r="A451" s="9" t="s">
        <v>378</v>
      </c>
      <c r="B451" s="186">
        <f>+SUM(B452:B457)</f>
        <v>7</v>
      </c>
      <c r="C451" s="195">
        <f>+SUM(C452:C457)</f>
        <v>0</v>
      </c>
      <c r="D451" s="195">
        <f>+SUM(D452:D457)</f>
        <v>0</v>
      </c>
      <c r="E451" s="161"/>
      <c r="F451" s="161"/>
      <c r="G451" s="161"/>
      <c r="H451" s="161"/>
      <c r="I451" s="161"/>
      <c r="J451" s="161"/>
      <c r="K451" s="173">
        <f>+SUM(K452:K457)</f>
        <v>415757.07999999996</v>
      </c>
      <c r="L451" s="173">
        <f>+SUM(L452:L457)</f>
        <v>415757.07999999996</v>
      </c>
      <c r="M451" s="186">
        <f>+SUM(M452:M457)</f>
        <v>7</v>
      </c>
      <c r="N451" s="195">
        <f>+SUM(N452:N457)</f>
        <v>0</v>
      </c>
      <c r="O451" s="195">
        <f>+SUM(O452:O457)</f>
        <v>0</v>
      </c>
      <c r="P451" s="161"/>
      <c r="Q451" s="161"/>
      <c r="R451" s="161"/>
      <c r="S451" s="161"/>
      <c r="T451" s="161"/>
      <c r="U451" s="161"/>
      <c r="V451" s="173">
        <f>+SUM(V452:V457)</f>
        <v>415757.07999999996</v>
      </c>
      <c r="W451" s="174">
        <f>+SUM(W452:W457)</f>
        <v>415757.07999999996</v>
      </c>
    </row>
    <row r="452" spans="1:23" x14ac:dyDescent="0.2">
      <c r="A452" s="8" t="s">
        <v>402</v>
      </c>
      <c r="B452" s="14"/>
      <c r="C452" s="191"/>
      <c r="D452" s="191"/>
      <c r="M452" s="14"/>
      <c r="N452" s="191"/>
      <c r="O452" s="191"/>
      <c r="W452" s="11"/>
    </row>
    <row r="453" spans="1:23" x14ac:dyDescent="0.2">
      <c r="A453" s="8" t="s">
        <v>403</v>
      </c>
      <c r="B453" s="14"/>
      <c r="C453" s="191"/>
      <c r="D453" s="191"/>
      <c r="K453" s="66"/>
      <c r="L453" s="66"/>
      <c r="M453" s="14"/>
      <c r="N453" s="191"/>
      <c r="O453" s="191"/>
      <c r="V453" s="66"/>
      <c r="W453" s="175"/>
    </row>
    <row r="454" spans="1:23" x14ac:dyDescent="0.2">
      <c r="A454" s="8" t="s">
        <v>382</v>
      </c>
      <c r="B454" s="14">
        <v>1</v>
      </c>
      <c r="C454" s="191"/>
      <c r="D454" s="191"/>
      <c r="K454" s="66">
        <f>(10030.25*B454)*12+(1000*B454)</f>
        <v>121363</v>
      </c>
      <c r="L454" s="66">
        <f>+K454</f>
        <v>121363</v>
      </c>
      <c r="M454" s="14">
        <v>1</v>
      </c>
      <c r="N454" s="191"/>
      <c r="O454" s="191"/>
      <c r="V454" s="66">
        <f>(10030.25*M454)*12+(1000*M454)</f>
        <v>121363</v>
      </c>
      <c r="W454" s="175">
        <f>+V454</f>
        <v>121363</v>
      </c>
    </row>
    <row r="455" spans="1:23" x14ac:dyDescent="0.2">
      <c r="A455" s="8" t="s">
        <v>383</v>
      </c>
      <c r="B455" s="14">
        <v>2</v>
      </c>
      <c r="C455" s="191"/>
      <c r="D455" s="191"/>
      <c r="K455" s="66">
        <f>+((1444.97+3000)*B455)*12+(1000*B455)</f>
        <v>108679.28</v>
      </c>
      <c r="L455" s="66">
        <f t="shared" ref="L455:L457" si="53">+K455</f>
        <v>108679.28</v>
      </c>
      <c r="M455" s="14">
        <v>2</v>
      </c>
      <c r="N455" s="191"/>
      <c r="O455" s="191"/>
      <c r="V455" s="66">
        <f>+((1444.97+3000)*M455)*12+(1000*M455)</f>
        <v>108679.28</v>
      </c>
      <c r="W455" s="175">
        <f t="shared" ref="W455:W457" si="54">+V455</f>
        <v>108679.28</v>
      </c>
    </row>
    <row r="456" spans="1:23" x14ac:dyDescent="0.2">
      <c r="A456" s="8" t="s">
        <v>384</v>
      </c>
      <c r="B456" s="14">
        <v>3</v>
      </c>
      <c r="C456" s="191"/>
      <c r="D456" s="191"/>
      <c r="K456" s="66">
        <f>+((1239.96+2570)*B456)*12+(1000*B456)</f>
        <v>140158.56</v>
      </c>
      <c r="L456" s="66">
        <f t="shared" si="53"/>
        <v>140158.56</v>
      </c>
      <c r="M456" s="14">
        <v>3</v>
      </c>
      <c r="N456" s="191"/>
      <c r="O456" s="191"/>
      <c r="V456" s="66">
        <f>+((1239.96+2570)*M456)*12+(1000*M456)</f>
        <v>140158.56</v>
      </c>
      <c r="W456" s="175">
        <f t="shared" si="54"/>
        <v>140158.56</v>
      </c>
    </row>
    <row r="457" spans="1:23" x14ac:dyDescent="0.2">
      <c r="A457" s="8" t="s">
        <v>406</v>
      </c>
      <c r="B457" s="14">
        <v>1</v>
      </c>
      <c r="C457" s="191"/>
      <c r="D457" s="191"/>
      <c r="K457" s="66">
        <f>(1183.02+2530)*B457*12+(1000*B457)</f>
        <v>45556.24</v>
      </c>
      <c r="L457" s="66">
        <f t="shared" si="53"/>
        <v>45556.24</v>
      </c>
      <c r="M457" s="14">
        <v>1</v>
      </c>
      <c r="N457" s="191"/>
      <c r="O457" s="191"/>
      <c r="V457" s="66">
        <f>(1183.02+2530)*M457*12+(1000*M457)</f>
        <v>45556.24</v>
      </c>
      <c r="W457" s="175">
        <f t="shared" si="54"/>
        <v>45556.24</v>
      </c>
    </row>
    <row r="458" spans="1:23" x14ac:dyDescent="0.2">
      <c r="A458" s="302"/>
      <c r="B458" s="14"/>
      <c r="C458" s="191"/>
      <c r="D458" s="191"/>
      <c r="M458" s="14"/>
      <c r="N458" s="191"/>
      <c r="O458" s="191"/>
      <c r="W458" s="11"/>
    </row>
    <row r="459" spans="1:23" x14ac:dyDescent="0.2">
      <c r="A459" s="9" t="s">
        <v>385</v>
      </c>
      <c r="B459" s="186">
        <f>+SUM(B460:B465)</f>
        <v>14</v>
      </c>
      <c r="C459" s="195">
        <f>+SUM(C460:C465)</f>
        <v>0</v>
      </c>
      <c r="D459" s="195">
        <v>9</v>
      </c>
      <c r="E459" s="161"/>
      <c r="F459" s="161"/>
      <c r="G459" s="161"/>
      <c r="H459" s="161"/>
      <c r="I459" s="161"/>
      <c r="J459" s="161"/>
      <c r="K459" s="173">
        <f>+SUM(K460:K465)+323522.4</f>
        <v>912795.44000000006</v>
      </c>
      <c r="L459" s="173">
        <f>+SUM(L460:L465)+323522.4</f>
        <v>912795.44000000006</v>
      </c>
      <c r="M459" s="186">
        <f>+SUM(M460:M465)</f>
        <v>14</v>
      </c>
      <c r="N459" s="195">
        <f>+SUM(N460:N465)</f>
        <v>0</v>
      </c>
      <c r="O459" s="195">
        <v>9</v>
      </c>
      <c r="P459" s="161"/>
      <c r="Q459" s="161"/>
      <c r="R459" s="161"/>
      <c r="S459" s="161"/>
      <c r="T459" s="161"/>
      <c r="U459" s="161"/>
      <c r="V459" s="173">
        <f>+SUM(V460:V465)+323522.4</f>
        <v>912795.44000000006</v>
      </c>
      <c r="W459" s="174">
        <f>+SUM(W460:W465)+323522.4</f>
        <v>912795.44000000006</v>
      </c>
    </row>
    <row r="460" spans="1:23" x14ac:dyDescent="0.2">
      <c r="A460" s="8" t="s">
        <v>437</v>
      </c>
      <c r="B460" s="14">
        <v>3</v>
      </c>
      <c r="C460" s="191"/>
      <c r="D460" s="191"/>
      <c r="K460" s="66">
        <f>(877.06+2592)*B460*12+(1000*B460)</f>
        <v>127886.16</v>
      </c>
      <c r="L460" s="66">
        <f t="shared" ref="L460:L465" si="55">+K460</f>
        <v>127886.16</v>
      </c>
      <c r="M460" s="14">
        <v>3</v>
      </c>
      <c r="N460" s="191"/>
      <c r="O460" s="191"/>
      <c r="V460" s="66">
        <f>(877.06+2592)*M460*12+(1000*M460)</f>
        <v>127886.16</v>
      </c>
      <c r="W460" s="175">
        <f t="shared" ref="W460:W465" si="56">+V460</f>
        <v>127886.16</v>
      </c>
    </row>
    <row r="461" spans="1:23" x14ac:dyDescent="0.2">
      <c r="A461" s="8" t="s">
        <v>437</v>
      </c>
      <c r="B461" s="14">
        <v>3</v>
      </c>
      <c r="C461" s="191"/>
      <c r="D461" s="191"/>
      <c r="K461" s="66">
        <f>(1085.01+2590)*B461*12+(1000*B461)</f>
        <v>135300.36000000002</v>
      </c>
      <c r="L461" s="66">
        <f t="shared" si="55"/>
        <v>135300.36000000002</v>
      </c>
      <c r="M461" s="14">
        <v>3</v>
      </c>
      <c r="N461" s="191"/>
      <c r="O461" s="191"/>
      <c r="V461" s="66">
        <f>(1085.01+2590)*M461*12+(1000*M461)</f>
        <v>135300.36000000002</v>
      </c>
      <c r="W461" s="175">
        <f t="shared" si="56"/>
        <v>135300.36000000002</v>
      </c>
    </row>
    <row r="462" spans="1:23" x14ac:dyDescent="0.2">
      <c r="A462" s="8" t="s">
        <v>437</v>
      </c>
      <c r="B462" s="14">
        <v>4</v>
      </c>
      <c r="C462" s="191"/>
      <c r="D462" s="191"/>
      <c r="K462" s="66">
        <f>(876.06+2400)*B462*12+(1000*B462)</f>
        <v>161250.88</v>
      </c>
      <c r="L462" s="66">
        <f t="shared" si="55"/>
        <v>161250.88</v>
      </c>
      <c r="M462" s="14">
        <v>4</v>
      </c>
      <c r="N462" s="191"/>
      <c r="O462" s="191"/>
      <c r="V462" s="66">
        <f>(876.06+2400)*M462*12+(1000*M462)</f>
        <v>161250.88</v>
      </c>
      <c r="W462" s="175">
        <f t="shared" si="56"/>
        <v>161250.88</v>
      </c>
    </row>
    <row r="463" spans="1:23" x14ac:dyDescent="0.2">
      <c r="A463" s="8" t="s">
        <v>408</v>
      </c>
      <c r="B463" s="14">
        <v>1</v>
      </c>
      <c r="C463" s="191"/>
      <c r="D463" s="191"/>
      <c r="K463" s="66">
        <f>(843.93+2400)*B463*12+(1000*B463)</f>
        <v>39927.159999999996</v>
      </c>
      <c r="L463" s="66">
        <f t="shared" si="55"/>
        <v>39927.159999999996</v>
      </c>
      <c r="M463" s="14">
        <v>1</v>
      </c>
      <c r="N463" s="191"/>
      <c r="O463" s="191"/>
      <c r="V463" s="66">
        <f>(843.93+2400)*M463*12+(1000*M463)</f>
        <v>39927.159999999996</v>
      </c>
      <c r="W463" s="175">
        <f t="shared" si="56"/>
        <v>39927.159999999996</v>
      </c>
    </row>
    <row r="464" spans="1:23" x14ac:dyDescent="0.2">
      <c r="A464" s="8" t="s">
        <v>408</v>
      </c>
      <c r="B464" s="14">
        <v>2</v>
      </c>
      <c r="C464" s="191"/>
      <c r="D464" s="191"/>
      <c r="K464" s="66">
        <f>(1174.41+2300)*B464*12+(1000*B464)</f>
        <v>85385.84</v>
      </c>
      <c r="L464" s="66">
        <f t="shared" si="55"/>
        <v>85385.84</v>
      </c>
      <c r="M464" s="14">
        <v>2</v>
      </c>
      <c r="N464" s="191"/>
      <c r="O464" s="191"/>
      <c r="V464" s="66">
        <f>(1174.41+2300)*M464*12+(1000*M464)</f>
        <v>85385.84</v>
      </c>
      <c r="W464" s="175">
        <f t="shared" si="56"/>
        <v>85385.84</v>
      </c>
    </row>
    <row r="465" spans="1:23" x14ac:dyDescent="0.2">
      <c r="A465" s="8" t="s">
        <v>450</v>
      </c>
      <c r="B465" s="14">
        <v>1</v>
      </c>
      <c r="C465" s="191"/>
      <c r="D465" s="191"/>
      <c r="K465" s="66">
        <f>(810.22+2400)*B465*12+(1000*B465)</f>
        <v>39522.639999999999</v>
      </c>
      <c r="L465" s="66">
        <f t="shared" si="55"/>
        <v>39522.639999999999</v>
      </c>
      <c r="M465" s="14">
        <v>1</v>
      </c>
      <c r="N465" s="191"/>
      <c r="O465" s="191"/>
      <c r="V465" s="66">
        <f>(810.22+2400)*M465*12+(1000*M465)</f>
        <v>39522.639999999999</v>
      </c>
      <c r="W465" s="175">
        <f t="shared" si="56"/>
        <v>39522.639999999999</v>
      </c>
    </row>
    <row r="466" spans="1:23" x14ac:dyDescent="0.2">
      <c r="A466" s="8"/>
      <c r="B466" s="14"/>
      <c r="C466" s="191"/>
      <c r="D466" s="191"/>
      <c r="M466" s="14"/>
      <c r="N466" s="191"/>
      <c r="O466" s="191"/>
      <c r="W466" s="11"/>
    </row>
    <row r="467" spans="1:23" x14ac:dyDescent="0.2">
      <c r="A467" s="9" t="s">
        <v>389</v>
      </c>
      <c r="B467" s="186">
        <f>+SUM(B468:B471)</f>
        <v>30</v>
      </c>
      <c r="C467" s="195">
        <f>+SUM(C468:C471)</f>
        <v>0</v>
      </c>
      <c r="D467" s="195">
        <v>45</v>
      </c>
      <c r="E467" s="161"/>
      <c r="F467" s="161"/>
      <c r="G467" s="161"/>
      <c r="H467" s="161"/>
      <c r="I467" s="161"/>
      <c r="J467" s="161"/>
      <c r="K467" s="173">
        <f>+SUM(K468:K471)+651384</f>
        <v>1555918.56</v>
      </c>
      <c r="L467" s="173">
        <f>+SUM(L468:L471)+651384</f>
        <v>1555918.56</v>
      </c>
      <c r="M467" s="186">
        <f>+SUM(M468:M471)</f>
        <v>30</v>
      </c>
      <c r="N467" s="195">
        <f>+SUM(N468:N471)</f>
        <v>0</v>
      </c>
      <c r="O467" s="195">
        <v>45</v>
      </c>
      <c r="P467" s="161"/>
      <c r="Q467" s="161"/>
      <c r="R467" s="161"/>
      <c r="S467" s="161"/>
      <c r="T467" s="161"/>
      <c r="U467" s="161"/>
      <c r="V467" s="173">
        <f>+SUM(V468:V471)+651384</f>
        <v>1555918.56</v>
      </c>
      <c r="W467" s="174">
        <f>+SUM(W468:W471)+651384</f>
        <v>1555918.56</v>
      </c>
    </row>
    <row r="468" spans="1:23" x14ac:dyDescent="0.2">
      <c r="A468" s="8" t="s">
        <v>390</v>
      </c>
      <c r="B468" s="14">
        <v>1</v>
      </c>
      <c r="C468" s="191"/>
      <c r="D468" s="191"/>
      <c r="K468" s="66">
        <f>(1083.27+1653)*B468*12+(1000*B468)</f>
        <v>33835.24</v>
      </c>
      <c r="L468" s="66">
        <f t="shared" ref="L468:L471" si="57">+K468</f>
        <v>33835.24</v>
      </c>
      <c r="M468" s="14">
        <v>1</v>
      </c>
      <c r="N468" s="191"/>
      <c r="O468" s="191"/>
      <c r="V468" s="66">
        <f>(1083.27+1653)*M468*12+(1000*M468)</f>
        <v>33835.24</v>
      </c>
      <c r="W468" s="175">
        <f t="shared" ref="W468:W471" si="58">+V468</f>
        <v>33835.24</v>
      </c>
    </row>
    <row r="469" spans="1:23" x14ac:dyDescent="0.2">
      <c r="A469" s="8" t="s">
        <v>391</v>
      </c>
      <c r="B469" s="14">
        <v>1</v>
      </c>
      <c r="C469" s="191"/>
      <c r="D469" s="191"/>
      <c r="K469" s="66">
        <f>(1062.2+1653)*B469*12+(1000*B469)</f>
        <v>33582.399999999994</v>
      </c>
      <c r="L469" s="66">
        <f t="shared" si="57"/>
        <v>33582.399999999994</v>
      </c>
      <c r="M469" s="14">
        <v>1</v>
      </c>
      <c r="N469" s="191"/>
      <c r="O469" s="191"/>
      <c r="V469" s="66">
        <f>(1062.2+1653)*M469*12+(1000*M469)</f>
        <v>33582.399999999994</v>
      </c>
      <c r="W469" s="175">
        <f t="shared" si="58"/>
        <v>33582.399999999994</v>
      </c>
    </row>
    <row r="470" spans="1:23" x14ac:dyDescent="0.2">
      <c r="A470" s="8" t="s">
        <v>392</v>
      </c>
      <c r="B470" s="14">
        <v>1</v>
      </c>
      <c r="C470" s="191"/>
      <c r="D470" s="191"/>
      <c r="K470" s="66">
        <f>(742.83+1653)*B470*12+(1000*B470)</f>
        <v>29749.96</v>
      </c>
      <c r="L470" s="66">
        <f t="shared" si="57"/>
        <v>29749.96</v>
      </c>
      <c r="M470" s="14">
        <v>1</v>
      </c>
      <c r="N470" s="191"/>
      <c r="O470" s="191"/>
      <c r="V470" s="66">
        <f>(742.83+1653)*M470*12+(1000*M470)</f>
        <v>29749.96</v>
      </c>
      <c r="W470" s="175">
        <f t="shared" si="58"/>
        <v>29749.96</v>
      </c>
    </row>
    <row r="471" spans="1:23" x14ac:dyDescent="0.2">
      <c r="A471" s="8" t="s">
        <v>439</v>
      </c>
      <c r="B471" s="14">
        <v>27</v>
      </c>
      <c r="C471" s="191"/>
      <c r="D471" s="191"/>
      <c r="K471" s="66">
        <f>(755.54+1653)*B471*12+(1000*B471)</f>
        <v>807366.96</v>
      </c>
      <c r="L471" s="66">
        <f t="shared" si="57"/>
        <v>807366.96</v>
      </c>
      <c r="M471" s="14">
        <v>27</v>
      </c>
      <c r="N471" s="191"/>
      <c r="O471" s="191"/>
      <c r="V471" s="66">
        <f>(755.54+1653)*M471*12+(1000*M471)</f>
        <v>807366.96</v>
      </c>
      <c r="W471" s="175">
        <f t="shared" si="58"/>
        <v>807366.96</v>
      </c>
    </row>
    <row r="472" spans="1:23" x14ac:dyDescent="0.2">
      <c r="A472" s="9" t="s">
        <v>393</v>
      </c>
      <c r="B472" s="186">
        <f>+SUM(B473)</f>
        <v>3</v>
      </c>
      <c r="C472" s="195">
        <f>+SUM(C473)</f>
        <v>0</v>
      </c>
      <c r="D472" s="195"/>
      <c r="E472" s="161"/>
      <c r="F472" s="161"/>
      <c r="G472" s="161"/>
      <c r="H472" s="161"/>
      <c r="I472" s="161"/>
      <c r="J472" s="161"/>
      <c r="K472" s="173">
        <f>+SUM(K473:K474)</f>
        <v>71608.08</v>
      </c>
      <c r="L472" s="173">
        <f>+SUM(L473:L474)</f>
        <v>71608.08</v>
      </c>
      <c r="M472" s="186">
        <f>+SUM(M473)</f>
        <v>3</v>
      </c>
      <c r="N472" s="195">
        <f>+SUM(N473)</f>
        <v>0</v>
      </c>
      <c r="O472" s="195"/>
      <c r="P472" s="161"/>
      <c r="Q472" s="161"/>
      <c r="R472" s="161"/>
      <c r="S472" s="161"/>
      <c r="T472" s="161"/>
      <c r="U472" s="161"/>
      <c r="V472" s="173">
        <f>+SUM(V473:V474)</f>
        <v>71608.08</v>
      </c>
      <c r="W472" s="174">
        <f>+SUM(W473:W474)</f>
        <v>71608.08</v>
      </c>
    </row>
    <row r="473" spans="1:23" x14ac:dyDescent="0.2">
      <c r="A473" s="8" t="s">
        <v>442</v>
      </c>
      <c r="B473" s="14">
        <v>3</v>
      </c>
      <c r="C473" s="191"/>
      <c r="D473" s="191"/>
      <c r="K473" s="66">
        <f>(705.78+1200)*B473*12+(1000*B473)</f>
        <v>71608.08</v>
      </c>
      <c r="L473" s="66">
        <f t="shared" ref="L473" si="59">+K473</f>
        <v>71608.08</v>
      </c>
      <c r="M473" s="14">
        <v>3</v>
      </c>
      <c r="N473" s="191"/>
      <c r="O473" s="191"/>
      <c r="V473" s="66">
        <f>(705.78+1200)*M473*12+(1000*M473)</f>
        <v>71608.08</v>
      </c>
      <c r="W473" s="175">
        <f t="shared" ref="W473" si="60">+V473</f>
        <v>71608.08</v>
      </c>
    </row>
    <row r="474" spans="1:23" x14ac:dyDescent="0.2">
      <c r="A474" s="8"/>
      <c r="B474" s="14"/>
      <c r="C474" s="191"/>
      <c r="D474" s="191"/>
      <c r="M474" s="14"/>
      <c r="N474" s="191"/>
      <c r="O474" s="191"/>
      <c r="W474" s="11"/>
    </row>
    <row r="475" spans="1:23" x14ac:dyDescent="0.2">
      <c r="A475" s="9" t="s">
        <v>497</v>
      </c>
      <c r="B475" s="195">
        <f>+B476+B482+B488+B494+B500</f>
        <v>290</v>
      </c>
      <c r="C475" s="195"/>
      <c r="D475" s="195">
        <f>+D476+D482+D488+D494+D500</f>
        <v>58</v>
      </c>
      <c r="E475" s="161"/>
      <c r="F475" s="161"/>
      <c r="G475" s="161"/>
      <c r="H475" s="161"/>
      <c r="I475" s="161"/>
      <c r="J475" s="161"/>
      <c r="K475" s="173">
        <f>+K476+K482+K488+K494+K500</f>
        <v>23217888.800000001</v>
      </c>
      <c r="L475" s="173">
        <f>+L476+L482+L488+L494+L500</f>
        <v>23217888.800000001</v>
      </c>
      <c r="M475" s="186">
        <f>+M476+M482+M488+M494+M500</f>
        <v>291</v>
      </c>
      <c r="N475" s="195"/>
      <c r="O475" s="195">
        <f>+O476+O482+O488+O494+O500</f>
        <v>58</v>
      </c>
      <c r="P475" s="161"/>
      <c r="Q475" s="161"/>
      <c r="R475" s="161"/>
      <c r="S475" s="161"/>
      <c r="T475" s="161"/>
      <c r="U475" s="161"/>
      <c r="V475" s="173">
        <f>+V476+V482+V488+V494+V500</f>
        <v>23265544.800000001</v>
      </c>
      <c r="W475" s="174">
        <f>+W476+W482+W488+W494+W500</f>
        <v>23265544.800000001</v>
      </c>
    </row>
    <row r="476" spans="1:23" x14ac:dyDescent="0.2">
      <c r="A476" s="9" t="s">
        <v>484</v>
      </c>
      <c r="B476" s="195">
        <f>+SUM(B477:B481)</f>
        <v>82</v>
      </c>
      <c r="C476" s="195"/>
      <c r="D476" s="195">
        <v>14</v>
      </c>
      <c r="E476" s="161"/>
      <c r="F476" s="161"/>
      <c r="G476" s="161"/>
      <c r="H476" s="161"/>
      <c r="I476" s="161"/>
      <c r="J476" s="161"/>
      <c r="K476" s="173">
        <f>+SUM(K477:K481)+750830.4</f>
        <v>8761926.4000000004</v>
      </c>
      <c r="L476" s="173">
        <f>+SUM(L477:L481)+750830.4</f>
        <v>8761926.4000000004</v>
      </c>
      <c r="M476" s="186">
        <f>+SUM(M477:M481)</f>
        <v>82</v>
      </c>
      <c r="N476" s="195"/>
      <c r="O476" s="195">
        <v>14</v>
      </c>
      <c r="P476" s="161"/>
      <c r="Q476" s="161"/>
      <c r="R476" s="161"/>
      <c r="S476" s="161"/>
      <c r="T476" s="161"/>
      <c r="U476" s="161"/>
      <c r="V476" s="173">
        <f>+SUM(V477:V481)+750830.4</f>
        <v>8761926.4000000004</v>
      </c>
      <c r="W476" s="174">
        <f>+SUM(W477:W481)+750830.4</f>
        <v>8761926.4000000004</v>
      </c>
    </row>
    <row r="477" spans="1:23" x14ac:dyDescent="0.2">
      <c r="A477" s="8" t="s">
        <v>498</v>
      </c>
      <c r="B477" s="191">
        <v>28</v>
      </c>
      <c r="C477" s="191"/>
      <c r="D477" s="191"/>
      <c r="K477" s="66">
        <f>+((7266+1200)*12)*B477+(29200*12)+1000*B477</f>
        <v>3222976</v>
      </c>
      <c r="L477" s="66">
        <f t="shared" ref="L477:L481" si="61">+K477</f>
        <v>3222976</v>
      </c>
      <c r="M477" s="14">
        <v>28</v>
      </c>
      <c r="N477" s="191"/>
      <c r="O477" s="191"/>
      <c r="V477" s="66">
        <f>+((7266+1200)*12)*M477+(29200*12)+1000*M477</f>
        <v>3222976</v>
      </c>
      <c r="W477" s="175">
        <f t="shared" ref="W477:W481" si="62">+V477</f>
        <v>3222976</v>
      </c>
    </row>
    <row r="478" spans="1:23" x14ac:dyDescent="0.2">
      <c r="A478" s="8" t="s">
        <v>499</v>
      </c>
      <c r="B478" s="191">
        <v>1</v>
      </c>
      <c r="C478" s="191"/>
      <c r="D478" s="191"/>
      <c r="K478" s="66">
        <f>+((6826+980)*12)*B478+(450*12)+1000*B478</f>
        <v>100072</v>
      </c>
      <c r="L478" s="66">
        <f t="shared" si="61"/>
        <v>100072</v>
      </c>
      <c r="M478" s="14">
        <v>1</v>
      </c>
      <c r="N478" s="191"/>
      <c r="O478" s="191"/>
      <c r="V478" s="66">
        <f>+((6826+980)*12)*M478+(450*12)+1000*M478</f>
        <v>100072</v>
      </c>
      <c r="W478" s="175">
        <f t="shared" si="62"/>
        <v>100072</v>
      </c>
    </row>
    <row r="479" spans="1:23" x14ac:dyDescent="0.2">
      <c r="A479" s="8" t="s">
        <v>500</v>
      </c>
      <c r="B479" s="191">
        <v>17</v>
      </c>
      <c r="C479" s="191"/>
      <c r="D479" s="191"/>
      <c r="K479" s="66">
        <f>+((6336+920)*12)*B479+(15100*12)+1000*B479</f>
        <v>1678424</v>
      </c>
      <c r="L479" s="66">
        <f t="shared" si="61"/>
        <v>1678424</v>
      </c>
      <c r="M479" s="14">
        <v>17</v>
      </c>
      <c r="N479" s="191"/>
      <c r="O479" s="191"/>
      <c r="V479" s="66">
        <f>+((6336+920)*12)*M479+(15100*12)+1000*M479</f>
        <v>1678424</v>
      </c>
      <c r="W479" s="175">
        <f t="shared" si="62"/>
        <v>1678424</v>
      </c>
    </row>
    <row r="480" spans="1:23" x14ac:dyDescent="0.2">
      <c r="A480" s="8" t="s">
        <v>501</v>
      </c>
      <c r="B480" s="191">
        <v>6</v>
      </c>
      <c r="C480" s="191"/>
      <c r="D480" s="191"/>
      <c r="K480" s="66">
        <f>+((5932+900)*12)*B480+(4950*12)+1000*B480</f>
        <v>557304</v>
      </c>
      <c r="L480" s="66">
        <f t="shared" si="61"/>
        <v>557304</v>
      </c>
      <c r="M480" s="14">
        <v>6</v>
      </c>
      <c r="N480" s="191"/>
      <c r="O480" s="191"/>
      <c r="V480" s="66">
        <f>+((5932+900)*12)*M480+(4950*12)+1000*M480</f>
        <v>557304</v>
      </c>
      <c r="W480" s="175">
        <f t="shared" si="62"/>
        <v>557304</v>
      </c>
    </row>
    <row r="481" spans="1:23" x14ac:dyDescent="0.2">
      <c r="A481" s="8" t="s">
        <v>502</v>
      </c>
      <c r="B481" s="191">
        <f>27+3</f>
        <v>30</v>
      </c>
      <c r="C481" s="191"/>
      <c r="D481" s="191"/>
      <c r="K481" s="66">
        <f>+((5532+840)*12)*B481+(10700*12)+(1000*B481)</f>
        <v>2452320</v>
      </c>
      <c r="L481" s="66">
        <f t="shared" si="61"/>
        <v>2452320</v>
      </c>
      <c r="M481" s="14">
        <f>27+3</f>
        <v>30</v>
      </c>
      <c r="N481" s="191"/>
      <c r="O481" s="191"/>
      <c r="V481" s="66">
        <f>+((5532+840)*12)*M481+(10700*12)+(1000*M481)</f>
        <v>2452320</v>
      </c>
      <c r="W481" s="175">
        <f t="shared" si="62"/>
        <v>2452320</v>
      </c>
    </row>
    <row r="482" spans="1:23" x14ac:dyDescent="0.2">
      <c r="A482" s="9" t="s">
        <v>503</v>
      </c>
      <c r="B482" s="195">
        <f>+SUM(B483:B487)</f>
        <v>31</v>
      </c>
      <c r="C482" s="195"/>
      <c r="D482" s="195">
        <v>13</v>
      </c>
      <c r="E482" s="161"/>
      <c r="F482" s="161"/>
      <c r="G482" s="161"/>
      <c r="H482" s="161"/>
      <c r="I482" s="161"/>
      <c r="J482" s="161"/>
      <c r="K482" s="173">
        <f>+SUM(K483:K487)+340533.6</f>
        <v>2191441.6</v>
      </c>
      <c r="L482" s="173">
        <f>+SUM(L483:L487)+340533.6</f>
        <v>2191441.6</v>
      </c>
      <c r="M482" s="186">
        <f>+SUM(M483:M487)</f>
        <v>31</v>
      </c>
      <c r="N482" s="195"/>
      <c r="O482" s="195">
        <v>13</v>
      </c>
      <c r="P482" s="161"/>
      <c r="Q482" s="161"/>
      <c r="R482" s="161"/>
      <c r="S482" s="161"/>
      <c r="T482" s="161"/>
      <c r="U482" s="161"/>
      <c r="V482" s="173">
        <f>+SUM(V483:V487)+340533.6</f>
        <v>2191441.6</v>
      </c>
      <c r="W482" s="174">
        <f>+SUM(W483:W487)+340533.6</f>
        <v>2191441.6</v>
      </c>
    </row>
    <row r="483" spans="1:23" x14ac:dyDescent="0.2">
      <c r="A483" s="8" t="s">
        <v>498</v>
      </c>
      <c r="B483" s="191">
        <v>7</v>
      </c>
      <c r="C483" s="191"/>
      <c r="D483" s="191"/>
      <c r="K483" s="66">
        <f>+(4471+1250)*12*B483+(1500*12)+1000*B483</f>
        <v>505564</v>
      </c>
      <c r="L483" s="66">
        <f t="shared" ref="L483:L487" si="63">+K483</f>
        <v>505564</v>
      </c>
      <c r="M483" s="14">
        <v>7</v>
      </c>
      <c r="N483" s="191"/>
      <c r="O483" s="191"/>
      <c r="V483" s="66">
        <f>+(4471+1250)*12*M483+(1500*12)+1000*M483</f>
        <v>505564</v>
      </c>
      <c r="W483" s="175">
        <f t="shared" ref="W483:W487" si="64">+V483</f>
        <v>505564</v>
      </c>
    </row>
    <row r="484" spans="1:23" x14ac:dyDescent="0.2">
      <c r="A484" s="8" t="s">
        <v>499</v>
      </c>
      <c r="B484" s="191">
        <v>1</v>
      </c>
      <c r="C484" s="191"/>
      <c r="D484" s="191"/>
      <c r="K484" s="66">
        <f>+(4158+1100)*12*B484+(750*12)+1000*B484</f>
        <v>73096</v>
      </c>
      <c r="L484" s="66">
        <f t="shared" si="63"/>
        <v>73096</v>
      </c>
      <c r="M484" s="14">
        <v>1</v>
      </c>
      <c r="N484" s="191"/>
      <c r="O484" s="191"/>
      <c r="V484" s="66">
        <f>+(4158+1100)*12*M484+(750*12)+1000*M484</f>
        <v>73096</v>
      </c>
      <c r="W484" s="175">
        <f t="shared" si="64"/>
        <v>73096</v>
      </c>
    </row>
    <row r="485" spans="1:23" x14ac:dyDescent="0.2">
      <c r="A485" s="8" t="s">
        <v>500</v>
      </c>
      <c r="B485" s="191">
        <v>1</v>
      </c>
      <c r="C485" s="191"/>
      <c r="D485" s="191"/>
      <c r="K485" s="66">
        <f>+(3900+1050)*12*B485+(750*12)+1000*B485</f>
        <v>69400</v>
      </c>
      <c r="L485" s="66">
        <f t="shared" si="63"/>
        <v>69400</v>
      </c>
      <c r="M485" s="14">
        <v>1</v>
      </c>
      <c r="N485" s="191"/>
      <c r="O485" s="191"/>
      <c r="V485" s="66">
        <f>+(3900+1050)*12*M485+(750*12)+1000*M485</f>
        <v>69400</v>
      </c>
      <c r="W485" s="175">
        <f t="shared" si="64"/>
        <v>69400</v>
      </c>
    </row>
    <row r="486" spans="1:23" x14ac:dyDescent="0.2">
      <c r="A486" s="8" t="s">
        <v>501</v>
      </c>
      <c r="B486" s="191">
        <v>5</v>
      </c>
      <c r="C486" s="191"/>
      <c r="D486" s="191"/>
      <c r="K486" s="66">
        <f>+(3660+1000)*12*B486+(1800*12)+1000*B486</f>
        <v>306200</v>
      </c>
      <c r="L486" s="66">
        <f t="shared" si="63"/>
        <v>306200</v>
      </c>
      <c r="M486" s="14">
        <v>5</v>
      </c>
      <c r="N486" s="191"/>
      <c r="O486" s="191"/>
      <c r="V486" s="66">
        <f>+(3660+1000)*12*M486+(1800*12)+1000*M486</f>
        <v>306200</v>
      </c>
      <c r="W486" s="175">
        <f t="shared" si="64"/>
        <v>306200</v>
      </c>
    </row>
    <row r="487" spans="1:23" x14ac:dyDescent="0.2">
      <c r="A487" s="8" t="s">
        <v>502</v>
      </c>
      <c r="B487" s="191">
        <f>14+3</f>
        <v>17</v>
      </c>
      <c r="C487" s="191"/>
      <c r="D487" s="191"/>
      <c r="K487" s="66">
        <f>+((3344+818)*12)*B487+(2550*12)+(1000*B487)</f>
        <v>896648</v>
      </c>
      <c r="L487" s="66">
        <f t="shared" si="63"/>
        <v>896648</v>
      </c>
      <c r="M487" s="14">
        <f>14+3</f>
        <v>17</v>
      </c>
      <c r="N487" s="191"/>
      <c r="O487" s="191"/>
      <c r="V487" s="66">
        <f>+((3344+818)*12)*M487+(2550*12)+(1000*M487)</f>
        <v>896648</v>
      </c>
      <c r="W487" s="175">
        <f t="shared" si="64"/>
        <v>896648</v>
      </c>
    </row>
    <row r="488" spans="1:23" x14ac:dyDescent="0.2">
      <c r="A488" s="9" t="s">
        <v>504</v>
      </c>
      <c r="B488" s="195">
        <f>+SUM(B489:B493)</f>
        <v>151</v>
      </c>
      <c r="C488" s="195"/>
      <c r="D488" s="195">
        <v>27</v>
      </c>
      <c r="E488" s="161"/>
      <c r="F488" s="161"/>
      <c r="G488" s="161"/>
      <c r="H488" s="161"/>
      <c r="I488" s="161"/>
      <c r="J488" s="161"/>
      <c r="K488" s="173">
        <f>+SUM(K489:K493)+695856</f>
        <v>10564252</v>
      </c>
      <c r="L488" s="173">
        <f>+SUM(L489:L493)+695856</f>
        <v>10564252</v>
      </c>
      <c r="M488" s="186">
        <f>+SUM(M489:M493)</f>
        <v>151</v>
      </c>
      <c r="N488" s="195"/>
      <c r="O488" s="195">
        <v>27</v>
      </c>
      <c r="P488" s="161"/>
      <c r="Q488" s="161"/>
      <c r="R488" s="161"/>
      <c r="S488" s="161"/>
      <c r="T488" s="161"/>
      <c r="U488" s="161"/>
      <c r="V488" s="173">
        <f>+SUM(V489:V493)+695856</f>
        <v>10564252</v>
      </c>
      <c r="W488" s="174">
        <f>+SUM(W489:W493)+695856</f>
        <v>10564252</v>
      </c>
    </row>
    <row r="489" spans="1:23" x14ac:dyDescent="0.2">
      <c r="A489" s="8">
        <v>14</v>
      </c>
      <c r="B489" s="191">
        <v>43</v>
      </c>
      <c r="C489" s="191"/>
      <c r="D489" s="191"/>
      <c r="K489" s="66">
        <f>+(4471+1250)*12*B489+(19400*12)+1000*B489</f>
        <v>3227836</v>
      </c>
      <c r="L489" s="66">
        <f t="shared" ref="L489:L493" si="65">+K489</f>
        <v>3227836</v>
      </c>
      <c r="M489" s="14">
        <v>43</v>
      </c>
      <c r="N489" s="191"/>
      <c r="O489" s="191"/>
      <c r="V489" s="66">
        <f>+(4471+1250)*12*M489+(19400*12)+1000*M489</f>
        <v>3227836</v>
      </c>
      <c r="W489" s="175">
        <f t="shared" ref="W489:W493" si="66">+V489</f>
        <v>3227836</v>
      </c>
    </row>
    <row r="490" spans="1:23" x14ac:dyDescent="0.2">
      <c r="A490" s="8">
        <v>13</v>
      </c>
      <c r="B490" s="191">
        <v>22</v>
      </c>
      <c r="C490" s="191"/>
      <c r="D490" s="191"/>
      <c r="K490" s="66">
        <f>+(4158+1100)*12*B490+(10800*12)+1000*B490</f>
        <v>1539712</v>
      </c>
      <c r="L490" s="66">
        <f t="shared" si="65"/>
        <v>1539712</v>
      </c>
      <c r="M490" s="14">
        <v>22</v>
      </c>
      <c r="N490" s="191"/>
      <c r="O490" s="191"/>
      <c r="V490" s="66">
        <f>+(4158+1100)*12*M490+(10800*12)+1000*M490</f>
        <v>1539712</v>
      </c>
      <c r="W490" s="175">
        <f t="shared" si="66"/>
        <v>1539712</v>
      </c>
    </row>
    <row r="491" spans="1:23" x14ac:dyDescent="0.2">
      <c r="A491" s="8">
        <v>12</v>
      </c>
      <c r="B491" s="191">
        <v>31</v>
      </c>
      <c r="C491" s="191"/>
      <c r="D491" s="191"/>
      <c r="K491" s="66">
        <f>+(3900+1050)*12*B491+(13050*12)+1000*B491</f>
        <v>2029000</v>
      </c>
      <c r="L491" s="66">
        <f t="shared" si="65"/>
        <v>2029000</v>
      </c>
      <c r="M491" s="14">
        <v>31</v>
      </c>
      <c r="N491" s="191"/>
      <c r="O491" s="191"/>
      <c r="V491" s="66">
        <f>+(3900+1050)*12*M491+(13050*12)+1000*M491</f>
        <v>2029000</v>
      </c>
      <c r="W491" s="175">
        <f t="shared" si="66"/>
        <v>2029000</v>
      </c>
    </row>
    <row r="492" spans="1:23" x14ac:dyDescent="0.2">
      <c r="A492" s="8">
        <v>11</v>
      </c>
      <c r="B492" s="191">
        <v>3</v>
      </c>
      <c r="C492" s="191"/>
      <c r="D492" s="191"/>
      <c r="K492" s="66">
        <f>+(3660+1000)*12*B492+(2250*12)+1000*B492</f>
        <v>197760</v>
      </c>
      <c r="L492" s="66">
        <f t="shared" si="65"/>
        <v>197760</v>
      </c>
      <c r="M492" s="14">
        <v>3</v>
      </c>
      <c r="N492" s="191"/>
      <c r="O492" s="191"/>
      <c r="V492" s="66">
        <f>+(3660+1000)*12*M492+(2250*12)+1000*M492</f>
        <v>197760</v>
      </c>
      <c r="W492" s="175">
        <f t="shared" si="66"/>
        <v>197760</v>
      </c>
    </row>
    <row r="493" spans="1:23" x14ac:dyDescent="0.2">
      <c r="A493" s="8">
        <v>10</v>
      </c>
      <c r="B493" s="191">
        <f>44+8</f>
        <v>52</v>
      </c>
      <c r="C493" s="191"/>
      <c r="D493" s="191"/>
      <c r="K493" s="66">
        <f>+((3344+818)*12)*B493+(18750*12)+(1000*B493)</f>
        <v>2874088</v>
      </c>
      <c r="L493" s="66">
        <f t="shared" si="65"/>
        <v>2874088</v>
      </c>
      <c r="M493" s="14">
        <f>44+8</f>
        <v>52</v>
      </c>
      <c r="N493" s="191"/>
      <c r="O493" s="191"/>
      <c r="V493" s="66">
        <f>+((3344+818)*12)*M493+(18750*12)+(1000*M493)</f>
        <v>2874088</v>
      </c>
      <c r="W493" s="175">
        <f t="shared" si="66"/>
        <v>2874088</v>
      </c>
    </row>
    <row r="494" spans="1:23" x14ac:dyDescent="0.2">
      <c r="A494" s="9" t="s">
        <v>477</v>
      </c>
      <c r="B494" s="195">
        <f>+SUM(B495:B499)</f>
        <v>23</v>
      </c>
      <c r="C494" s="195"/>
      <c r="D494" s="195">
        <v>4</v>
      </c>
      <c r="E494" s="161"/>
      <c r="F494" s="161"/>
      <c r="G494" s="161"/>
      <c r="H494" s="161"/>
      <c r="I494" s="161"/>
      <c r="J494" s="161"/>
      <c r="K494" s="173">
        <f>+SUM(K495:K499)+139600.8</f>
        <v>1581288.8</v>
      </c>
      <c r="L494" s="173">
        <f>+SUM(L495:L499)+139600.8</f>
        <v>1581288.8</v>
      </c>
      <c r="M494" s="186">
        <f>+SUM(M495:M499)</f>
        <v>24</v>
      </c>
      <c r="N494" s="195"/>
      <c r="O494" s="195">
        <v>4</v>
      </c>
      <c r="P494" s="161"/>
      <c r="Q494" s="161"/>
      <c r="R494" s="161"/>
      <c r="S494" s="161"/>
      <c r="T494" s="161"/>
      <c r="U494" s="161"/>
      <c r="V494" s="173">
        <f>+SUM(V495:V499)+139600.8</f>
        <v>1632232.8</v>
      </c>
      <c r="W494" s="174">
        <f>+SUM(W495:W499)+139600.8</f>
        <v>1632232.8</v>
      </c>
    </row>
    <row r="495" spans="1:23" x14ac:dyDescent="0.2">
      <c r="A495" s="8" t="s">
        <v>498</v>
      </c>
      <c r="B495" s="191">
        <v>10</v>
      </c>
      <c r="C495" s="191"/>
      <c r="D495" s="191"/>
      <c r="K495" s="66">
        <f>+(4471+1250)*12*B495+1000*B495</f>
        <v>696520</v>
      </c>
      <c r="L495" s="66">
        <f t="shared" ref="L495:L499" si="67">+K495</f>
        <v>696520</v>
      </c>
      <c r="M495" s="14">
        <v>10</v>
      </c>
      <c r="N495" s="191"/>
      <c r="O495" s="191"/>
      <c r="V495" s="66">
        <f>+(4471+1250)*12*M495+1000*M495</f>
        <v>696520</v>
      </c>
      <c r="W495" s="175">
        <f t="shared" ref="W495:W499" si="68">+V495</f>
        <v>696520</v>
      </c>
    </row>
    <row r="496" spans="1:23" x14ac:dyDescent="0.2">
      <c r="A496" s="8" t="s">
        <v>499</v>
      </c>
      <c r="B496" s="191">
        <v>1</v>
      </c>
      <c r="C496" s="191"/>
      <c r="D496" s="191"/>
      <c r="K496" s="66">
        <f>+(4158+1100)*12*B496+1000*B496</f>
        <v>64096</v>
      </c>
      <c r="L496" s="66">
        <f t="shared" si="67"/>
        <v>64096</v>
      </c>
      <c r="M496" s="14">
        <v>1</v>
      </c>
      <c r="N496" s="191"/>
      <c r="O496" s="191"/>
      <c r="V496" s="66">
        <f>+(4158+1100)*12*M496+1000*M496</f>
        <v>64096</v>
      </c>
      <c r="W496" s="175">
        <f t="shared" si="68"/>
        <v>64096</v>
      </c>
    </row>
    <row r="497" spans="1:23" x14ac:dyDescent="0.2">
      <c r="A497" s="8" t="s">
        <v>500</v>
      </c>
      <c r="B497" s="191">
        <v>3</v>
      </c>
      <c r="C497" s="191"/>
      <c r="D497" s="191"/>
      <c r="K497" s="66">
        <f>+(3900+1050)*12*B497+(1250*12)+1000*B497</f>
        <v>196200</v>
      </c>
      <c r="L497" s="66">
        <f t="shared" si="67"/>
        <v>196200</v>
      </c>
      <c r="M497" s="14">
        <v>3</v>
      </c>
      <c r="N497" s="191"/>
      <c r="O497" s="191"/>
      <c r="V497" s="66">
        <f>+(3900+1050)*12*M497+(1250*12)+1000*M497</f>
        <v>196200</v>
      </c>
      <c r="W497" s="175">
        <f t="shared" si="68"/>
        <v>196200</v>
      </c>
    </row>
    <row r="498" spans="1:23" x14ac:dyDescent="0.2">
      <c r="A498" s="8" t="s">
        <v>501</v>
      </c>
      <c r="B498" s="191">
        <v>1</v>
      </c>
      <c r="C498" s="191"/>
      <c r="D498" s="191"/>
      <c r="K498" s="66">
        <f>+(3660+1000)*12*B498+(1000*B498)</f>
        <v>56920</v>
      </c>
      <c r="L498" s="66">
        <f t="shared" si="67"/>
        <v>56920</v>
      </c>
      <c r="M498" s="14">
        <v>1</v>
      </c>
      <c r="N498" s="191"/>
      <c r="O498" s="191"/>
      <c r="V498" s="66">
        <f>+(3660+1000)*12*M498+(1000*M498)</f>
        <v>56920</v>
      </c>
      <c r="W498" s="175">
        <f t="shared" si="68"/>
        <v>56920</v>
      </c>
    </row>
    <row r="499" spans="1:23" x14ac:dyDescent="0.2">
      <c r="A499" s="8" t="s">
        <v>502</v>
      </c>
      <c r="B499" s="191">
        <f>7+1</f>
        <v>8</v>
      </c>
      <c r="C499" s="191"/>
      <c r="D499" s="191"/>
      <c r="K499" s="66">
        <f>+(3344+818)*12*B499+(1700*12)+1000*B499</f>
        <v>427952</v>
      </c>
      <c r="L499" s="66">
        <f t="shared" si="67"/>
        <v>427952</v>
      </c>
      <c r="M499" s="14">
        <f>7+1+1</f>
        <v>9</v>
      </c>
      <c r="N499" s="191"/>
      <c r="O499" s="191"/>
      <c r="V499" s="66">
        <f>+(3344+818)*12*M499+(1700*12)+1000*M499</f>
        <v>478896</v>
      </c>
      <c r="W499" s="175">
        <f t="shared" si="68"/>
        <v>478896</v>
      </c>
    </row>
    <row r="500" spans="1:23" x14ac:dyDescent="0.2">
      <c r="A500" s="9" t="s">
        <v>505</v>
      </c>
      <c r="B500" s="195">
        <f>+SUM(B501:B504)</f>
        <v>3</v>
      </c>
      <c r="C500" s="195"/>
      <c r="D500" s="195"/>
      <c r="E500" s="161"/>
      <c r="F500" s="161"/>
      <c r="G500" s="161"/>
      <c r="H500" s="161"/>
      <c r="I500" s="161"/>
      <c r="J500" s="161"/>
      <c r="K500" s="173">
        <f>+SUM(K501:K504)</f>
        <v>118980</v>
      </c>
      <c r="L500" s="173">
        <f>+K500</f>
        <v>118980</v>
      </c>
      <c r="M500" s="186">
        <f>+SUM(M501:M504)</f>
        <v>3</v>
      </c>
      <c r="N500" s="195"/>
      <c r="O500" s="195"/>
      <c r="P500" s="161"/>
      <c r="Q500" s="161"/>
      <c r="R500" s="161"/>
      <c r="S500" s="161"/>
      <c r="T500" s="161"/>
      <c r="U500" s="161"/>
      <c r="V500" s="173">
        <f>+SUM(V501:V504)</f>
        <v>115692</v>
      </c>
      <c r="W500" s="174">
        <f>+V500</f>
        <v>115692</v>
      </c>
    </row>
    <row r="501" spans="1:23" x14ac:dyDescent="0.2">
      <c r="A501" s="8" t="s">
        <v>498</v>
      </c>
      <c r="B501" s="191">
        <v>1</v>
      </c>
      <c r="C501" s="191"/>
      <c r="D501" s="191"/>
      <c r="K501" s="66">
        <f>+((2379+830)*12)*B501+1000*B501</f>
        <v>39508</v>
      </c>
      <c r="L501" s="66">
        <f t="shared" ref="L501" si="69">+K501</f>
        <v>39508</v>
      </c>
      <c r="M501" s="14">
        <v>1</v>
      </c>
      <c r="N501" s="191"/>
      <c r="O501" s="191"/>
      <c r="V501" s="66">
        <f>+((2294+830)*12)*M501+1000*M501</f>
        <v>38488</v>
      </c>
      <c r="W501" s="175">
        <f t="shared" ref="W501" si="70">+V501</f>
        <v>38488</v>
      </c>
    </row>
    <row r="502" spans="1:23" x14ac:dyDescent="0.2">
      <c r="A502" s="8" t="s">
        <v>500</v>
      </c>
      <c r="B502" s="191"/>
      <c r="C502" s="191"/>
      <c r="D502" s="191"/>
      <c r="K502" s="66"/>
      <c r="L502" s="66"/>
      <c r="M502" s="14"/>
      <c r="N502" s="191"/>
      <c r="O502" s="191"/>
      <c r="V502" s="66"/>
      <c r="W502" s="175"/>
    </row>
    <row r="503" spans="1:23" x14ac:dyDescent="0.2">
      <c r="A503" s="8" t="s">
        <v>501</v>
      </c>
      <c r="B503" s="191">
        <v>1</v>
      </c>
      <c r="C503" s="191"/>
      <c r="D503" s="191"/>
      <c r="K503" s="66">
        <f>+((2362+800)*12)*B503+(150*12)+1000*B503</f>
        <v>40744</v>
      </c>
      <c r="L503" s="66">
        <f t="shared" ref="L503:L504" si="71">+K503</f>
        <v>40744</v>
      </c>
      <c r="M503" s="14">
        <v>1</v>
      </c>
      <c r="N503" s="191"/>
      <c r="O503" s="191"/>
      <c r="V503" s="66">
        <f>+((2270+800)*12)*M503+(150*12)+1000*M503</f>
        <v>39640</v>
      </c>
      <c r="W503" s="175">
        <f t="shared" ref="W503:W504" si="72">+V503</f>
        <v>39640</v>
      </c>
    </row>
    <row r="504" spans="1:23" x14ac:dyDescent="0.2">
      <c r="A504" s="8" t="s">
        <v>502</v>
      </c>
      <c r="B504" s="191">
        <v>1</v>
      </c>
      <c r="C504" s="191"/>
      <c r="D504" s="191"/>
      <c r="K504" s="66">
        <f>+((2354+790)*12)*B504+1000*B504</f>
        <v>38728</v>
      </c>
      <c r="L504" s="66">
        <f t="shared" si="71"/>
        <v>38728</v>
      </c>
      <c r="M504" s="14">
        <v>1</v>
      </c>
      <c r="N504" s="191"/>
      <c r="O504" s="191"/>
      <c r="V504" s="66">
        <f>+((2257+790)*12)*M504+1000*M504</f>
        <v>37564</v>
      </c>
      <c r="W504" s="175">
        <f t="shared" si="72"/>
        <v>37564</v>
      </c>
    </row>
    <row r="505" spans="1:23" ht="24" x14ac:dyDescent="0.2">
      <c r="A505" s="227" t="s">
        <v>506</v>
      </c>
      <c r="B505" s="195">
        <f>+B506+B515</f>
        <v>288</v>
      </c>
      <c r="C505" s="195"/>
      <c r="D505" s="195">
        <f>+D506+D515</f>
        <v>89</v>
      </c>
      <c r="E505" s="161"/>
      <c r="F505" s="161"/>
      <c r="G505" s="161"/>
      <c r="H505" s="161"/>
      <c r="I505" s="161"/>
      <c r="J505" s="161"/>
      <c r="K505" s="173">
        <f>+K506+K515</f>
        <v>11197111.199999999</v>
      </c>
      <c r="L505" s="173">
        <f>+L506+L515</f>
        <v>11197111.199999999</v>
      </c>
      <c r="M505" s="186">
        <f>+M506+M515</f>
        <v>291</v>
      </c>
      <c r="N505" s="195"/>
      <c r="O505" s="195">
        <f>+O506+O515</f>
        <v>89</v>
      </c>
      <c r="P505" s="161"/>
      <c r="Q505" s="161"/>
      <c r="R505" s="161"/>
      <c r="S505" s="161"/>
      <c r="T505" s="161"/>
      <c r="U505" s="161"/>
      <c r="V505" s="173">
        <f>+V506+V515</f>
        <v>11291479.199999999</v>
      </c>
      <c r="W505" s="174">
        <f>+W506+W515</f>
        <v>11291479.199999999</v>
      </c>
    </row>
    <row r="506" spans="1:23" x14ac:dyDescent="0.2">
      <c r="A506" s="9" t="s">
        <v>389</v>
      </c>
      <c r="B506" s="195">
        <f>+SUM(B507:B514)</f>
        <v>223</v>
      </c>
      <c r="C506" s="195"/>
      <c r="D506" s="195">
        <v>79</v>
      </c>
      <c r="E506" s="161"/>
      <c r="F506" s="161"/>
      <c r="G506" s="161"/>
      <c r="H506" s="161"/>
      <c r="I506" s="161"/>
      <c r="J506" s="161"/>
      <c r="K506" s="173">
        <f>+SUM(K507:K514)+1315891.2</f>
        <v>8924663.1999999993</v>
      </c>
      <c r="L506" s="173">
        <f>+SUM(L507:L514)+1315891.2</f>
        <v>8924663.1999999993</v>
      </c>
      <c r="M506" s="186">
        <f>+SUM(M507:M514)</f>
        <v>224</v>
      </c>
      <c r="N506" s="195"/>
      <c r="O506" s="195">
        <v>79</v>
      </c>
      <c r="P506" s="161"/>
      <c r="Q506" s="161"/>
      <c r="R506" s="161"/>
      <c r="S506" s="161"/>
      <c r="T506" s="161"/>
      <c r="U506" s="161"/>
      <c r="V506" s="173">
        <f>+SUM(V507:V514)+1315891.2</f>
        <v>8956335.1999999993</v>
      </c>
      <c r="W506" s="174">
        <f>+SUM(W507:W514)+1315891.2</f>
        <v>8956335.1999999993</v>
      </c>
    </row>
    <row r="507" spans="1:23" x14ac:dyDescent="0.2">
      <c r="A507" s="8" t="s">
        <v>408</v>
      </c>
      <c r="B507" s="191">
        <v>2</v>
      </c>
      <c r="C507" s="191"/>
      <c r="D507" s="191"/>
      <c r="K507" s="66">
        <f>+((2380+670)*12)*B507+(616*12)+1000*B507</f>
        <v>82592</v>
      </c>
      <c r="L507" s="66">
        <f t="shared" ref="L507:L514" si="73">+K507</f>
        <v>82592</v>
      </c>
      <c r="M507" s="14">
        <v>2</v>
      </c>
      <c r="N507" s="191"/>
      <c r="O507" s="191"/>
      <c r="V507" s="66">
        <f>+((2380+670)*12)*M507+(616*12)+1000*M507</f>
        <v>82592</v>
      </c>
      <c r="W507" s="175">
        <f t="shared" ref="W507:W514" si="74">+V507</f>
        <v>82592</v>
      </c>
    </row>
    <row r="508" spans="1:23" x14ac:dyDescent="0.2">
      <c r="A508" s="8" t="s">
        <v>450</v>
      </c>
      <c r="B508" s="191">
        <v>1</v>
      </c>
      <c r="C508" s="191"/>
      <c r="D508" s="191"/>
      <c r="K508" s="66">
        <f>+((2324+650)*12)*B508+(308*12)+1000*B508</f>
        <v>40384</v>
      </c>
      <c r="L508" s="66">
        <f t="shared" si="73"/>
        <v>40384</v>
      </c>
      <c r="M508" s="14">
        <v>1</v>
      </c>
      <c r="N508" s="191"/>
      <c r="O508" s="191"/>
      <c r="V508" s="66">
        <f>+((2324+650)*12)*M508+(308*12)+1000*M508</f>
        <v>40384</v>
      </c>
      <c r="W508" s="175">
        <f t="shared" si="74"/>
        <v>40384</v>
      </c>
    </row>
    <row r="509" spans="1:23" x14ac:dyDescent="0.2">
      <c r="A509" s="8" t="s">
        <v>390</v>
      </c>
      <c r="B509" s="191">
        <v>14</v>
      </c>
      <c r="C509" s="191"/>
      <c r="D509" s="191"/>
      <c r="K509" s="66">
        <f>+((2145+620)*12)*B509+(2962*12)+1000*B509</f>
        <v>514064</v>
      </c>
      <c r="L509" s="66">
        <f t="shared" si="73"/>
        <v>514064</v>
      </c>
      <c r="M509" s="14">
        <v>14</v>
      </c>
      <c r="N509" s="191"/>
      <c r="O509" s="191"/>
      <c r="V509" s="66">
        <f>+((2145+620)*12)*M509+(2962*12)+1000*M509</f>
        <v>514064</v>
      </c>
      <c r="W509" s="175">
        <f t="shared" si="74"/>
        <v>514064</v>
      </c>
    </row>
    <row r="510" spans="1:23" x14ac:dyDescent="0.2">
      <c r="A510" s="8" t="s">
        <v>391</v>
      </c>
      <c r="B510" s="191">
        <v>24</v>
      </c>
      <c r="C510" s="191"/>
      <c r="D510" s="191"/>
      <c r="K510" s="66">
        <f>+((2127+550)*12)*B510+(5142*12)+1000*B510</f>
        <v>856680</v>
      </c>
      <c r="L510" s="66">
        <f t="shared" si="73"/>
        <v>856680</v>
      </c>
      <c r="M510" s="14">
        <v>24</v>
      </c>
      <c r="N510" s="191"/>
      <c r="O510" s="191"/>
      <c r="V510" s="66">
        <f>+((2127+550)*12)*M510+(5142*12)+1000*M510</f>
        <v>856680</v>
      </c>
      <c r="W510" s="175">
        <f t="shared" si="74"/>
        <v>856680</v>
      </c>
    </row>
    <row r="511" spans="1:23" x14ac:dyDescent="0.2">
      <c r="A511" s="8" t="s">
        <v>392</v>
      </c>
      <c r="B511" s="191">
        <v>64</v>
      </c>
      <c r="C511" s="191"/>
      <c r="D511" s="191"/>
      <c r="K511" s="66">
        <f>+((2109+525)*12)*B511+(14012*12)+1000*B511</f>
        <v>2255056</v>
      </c>
      <c r="L511" s="66">
        <f t="shared" si="73"/>
        <v>2255056</v>
      </c>
      <c r="M511" s="14">
        <v>64</v>
      </c>
      <c r="N511" s="191"/>
      <c r="O511" s="191"/>
      <c r="V511" s="66">
        <f>+((2109+525)*12)*M511+(14012*12)+1000*M511</f>
        <v>2255056</v>
      </c>
      <c r="W511" s="175">
        <f t="shared" si="74"/>
        <v>2255056</v>
      </c>
    </row>
    <row r="512" spans="1:23" x14ac:dyDescent="0.2">
      <c r="A512" s="8" t="s">
        <v>439</v>
      </c>
      <c r="B512" s="191">
        <v>25</v>
      </c>
      <c r="C512" s="191"/>
      <c r="D512" s="191"/>
      <c r="K512" s="66">
        <f>+((2091+450)*12)*B512+(3950*12)+1000*B512</f>
        <v>834700</v>
      </c>
      <c r="L512" s="66">
        <f t="shared" si="73"/>
        <v>834700</v>
      </c>
      <c r="M512" s="14">
        <v>25</v>
      </c>
      <c r="N512" s="191"/>
      <c r="O512" s="191"/>
      <c r="V512" s="66">
        <f>+((2091+450)*12)*M512+(3950*12)+1000*M512</f>
        <v>834700</v>
      </c>
      <c r="W512" s="175">
        <f t="shared" si="74"/>
        <v>834700</v>
      </c>
    </row>
    <row r="513" spans="1:23" x14ac:dyDescent="0.2">
      <c r="A513" s="8" t="s">
        <v>409</v>
      </c>
      <c r="B513" s="191">
        <v>23</v>
      </c>
      <c r="C513" s="191"/>
      <c r="D513" s="191"/>
      <c r="K513" s="66">
        <f>+((2078+420)*12)*B513+(3634*12)+1000*B513</f>
        <v>756056</v>
      </c>
      <c r="L513" s="66">
        <f t="shared" si="73"/>
        <v>756056</v>
      </c>
      <c r="M513" s="14">
        <v>23</v>
      </c>
      <c r="N513" s="191"/>
      <c r="O513" s="191"/>
      <c r="V513" s="66">
        <f>+((2078+420)*12)*M513+(3634*12)+1000*M513</f>
        <v>756056</v>
      </c>
      <c r="W513" s="175">
        <f t="shared" si="74"/>
        <v>756056</v>
      </c>
    </row>
    <row r="514" spans="1:23" x14ac:dyDescent="0.2">
      <c r="A514" s="8" t="s">
        <v>440</v>
      </c>
      <c r="B514" s="191">
        <f>54+16</f>
        <v>70</v>
      </c>
      <c r="C514" s="191"/>
      <c r="D514" s="191"/>
      <c r="K514" s="66">
        <f>+((2068+330)*12)*B514+(15410*12)+1000*B514</f>
        <v>2269240</v>
      </c>
      <c r="L514" s="66">
        <f t="shared" si="73"/>
        <v>2269240</v>
      </c>
      <c r="M514" s="14">
        <f>54+16+1</f>
        <v>71</v>
      </c>
      <c r="N514" s="191"/>
      <c r="O514" s="191"/>
      <c r="V514" s="66">
        <f>+((2068+330)*12)*M514+(15568*12)+1000*M514</f>
        <v>2300912</v>
      </c>
      <c r="W514" s="175">
        <f t="shared" si="74"/>
        <v>2300912</v>
      </c>
    </row>
    <row r="515" spans="1:23" x14ac:dyDescent="0.2">
      <c r="A515" s="9" t="s">
        <v>507</v>
      </c>
      <c r="B515" s="195">
        <f>+SUM(B516:B520)</f>
        <v>65</v>
      </c>
      <c r="C515" s="195"/>
      <c r="D515" s="195">
        <v>10</v>
      </c>
      <c r="E515" s="161"/>
      <c r="F515" s="161"/>
      <c r="G515" s="161"/>
      <c r="H515" s="161"/>
      <c r="I515" s="161"/>
      <c r="J515" s="161"/>
      <c r="K515" s="173">
        <f>+SUM(K516:K520)+170040</f>
        <v>2272448</v>
      </c>
      <c r="L515" s="173">
        <f>+SUM(L516:L520)+170040</f>
        <v>2272448</v>
      </c>
      <c r="M515" s="186">
        <f>+SUM(M516:M520)</f>
        <v>67</v>
      </c>
      <c r="N515" s="195"/>
      <c r="O515" s="195">
        <v>10</v>
      </c>
      <c r="P515" s="161"/>
      <c r="Q515" s="161"/>
      <c r="R515" s="161"/>
      <c r="S515" s="161"/>
      <c r="T515" s="161"/>
      <c r="U515" s="161"/>
      <c r="V515" s="173">
        <f>+SUM(V516:V520)+170040</f>
        <v>2335144</v>
      </c>
      <c r="W515" s="174">
        <f>+SUM(W516:W520)+170040</f>
        <v>2335144</v>
      </c>
    </row>
    <row r="516" spans="1:23" x14ac:dyDescent="0.2">
      <c r="A516" s="8" t="s">
        <v>394</v>
      </c>
      <c r="B516" s="191">
        <v>1</v>
      </c>
      <c r="C516" s="191"/>
      <c r="D516" s="191"/>
      <c r="K516" s="66">
        <f>+(2086+435)*12+(158*12)+1000*B516</f>
        <v>33148</v>
      </c>
      <c r="L516" s="66">
        <f t="shared" ref="L516:L520" si="75">+K516</f>
        <v>33148</v>
      </c>
      <c r="M516" s="14">
        <v>1</v>
      </c>
      <c r="N516" s="191"/>
      <c r="O516" s="191"/>
      <c r="V516" s="66">
        <f>+(2086+435)*12+(158*12)+1000*M516</f>
        <v>33148</v>
      </c>
      <c r="W516" s="175">
        <f t="shared" ref="W516:W520" si="76">+V516</f>
        <v>33148</v>
      </c>
    </row>
    <row r="517" spans="1:23" x14ac:dyDescent="0.2">
      <c r="A517" s="8" t="s">
        <v>441</v>
      </c>
      <c r="B517" s="191">
        <v>16</v>
      </c>
      <c r="C517" s="191"/>
      <c r="D517" s="191"/>
      <c r="K517" s="66">
        <f>+(2077+415)*12*B517+(2978*12)+1000*B517</f>
        <v>530200</v>
      </c>
      <c r="L517" s="66">
        <f t="shared" si="75"/>
        <v>530200</v>
      </c>
      <c r="M517" s="14">
        <v>16</v>
      </c>
      <c r="N517" s="191"/>
      <c r="O517" s="191"/>
      <c r="V517" s="66">
        <f>+(2077+415)*12*M517+(2978*12)+1000*M517</f>
        <v>530200</v>
      </c>
      <c r="W517" s="175">
        <f t="shared" si="76"/>
        <v>530200</v>
      </c>
    </row>
    <row r="518" spans="1:23" x14ac:dyDescent="0.2">
      <c r="A518" s="8" t="s">
        <v>442</v>
      </c>
      <c r="B518" s="191">
        <v>11</v>
      </c>
      <c r="C518" s="191"/>
      <c r="D518" s="191"/>
      <c r="K518" s="66">
        <f>+(2068+384)*12*B518+(2038*12)+1000*B518</f>
        <v>359120</v>
      </c>
      <c r="L518" s="66">
        <f t="shared" si="75"/>
        <v>359120</v>
      </c>
      <c r="M518" s="14">
        <v>11</v>
      </c>
      <c r="N518" s="191"/>
      <c r="O518" s="191"/>
      <c r="V518" s="66">
        <f>+(2068+384)*12*M518+(2038*12)+1000*M518</f>
        <v>359120</v>
      </c>
      <c r="W518" s="175">
        <f t="shared" si="76"/>
        <v>359120</v>
      </c>
    </row>
    <row r="519" spans="1:23" x14ac:dyDescent="0.2">
      <c r="A519" s="8" t="s">
        <v>443</v>
      </c>
      <c r="B519" s="191">
        <v>24</v>
      </c>
      <c r="C519" s="191"/>
      <c r="D519" s="191"/>
      <c r="K519" s="66">
        <f>+((2059+365)*12)*B519+(4092*12)+1000*B519</f>
        <v>771216</v>
      </c>
      <c r="L519" s="66">
        <f t="shared" si="75"/>
        <v>771216</v>
      </c>
      <c r="M519" s="14">
        <v>24</v>
      </c>
      <c r="N519" s="191"/>
      <c r="O519" s="191"/>
      <c r="V519" s="66">
        <f>+((2059+365)*12)*M519+(4092*12)+1000*M519</f>
        <v>771216</v>
      </c>
      <c r="W519" s="175">
        <f t="shared" si="76"/>
        <v>771216</v>
      </c>
    </row>
    <row r="520" spans="1:23" ht="12.75" thickBot="1" x14ac:dyDescent="0.25">
      <c r="A520" s="8" t="s">
        <v>451</v>
      </c>
      <c r="B520" s="191">
        <f>9+4</f>
        <v>13</v>
      </c>
      <c r="C520" s="191"/>
      <c r="D520" s="191"/>
      <c r="K520" s="66">
        <f>+((2041+330)*12)*B520+(2154*12)+1000*B520</f>
        <v>408724</v>
      </c>
      <c r="L520" s="66">
        <f t="shared" si="75"/>
        <v>408724</v>
      </c>
      <c r="M520" s="228">
        <f>9+4+2</f>
        <v>15</v>
      </c>
      <c r="N520" s="229"/>
      <c r="O520" s="229"/>
      <c r="P520" s="230"/>
      <c r="Q520" s="230"/>
      <c r="R520" s="230"/>
      <c r="S520" s="230"/>
      <c r="T520" s="230"/>
      <c r="U520" s="230"/>
      <c r="V520" s="231">
        <f>+((2041+330)*12)*M520+(2470*12)+1000*M520</f>
        <v>471420</v>
      </c>
      <c r="W520" s="232">
        <f t="shared" si="76"/>
        <v>471420</v>
      </c>
    </row>
    <row r="521" spans="1:23" ht="12.75" thickBot="1" x14ac:dyDescent="0.25">
      <c r="A521" s="269" t="s">
        <v>508</v>
      </c>
      <c r="B521" s="269">
        <f>+B505+B475+B449</f>
        <v>632</v>
      </c>
      <c r="C521" s="273">
        <f>+C505+C475+C449</f>
        <v>0</v>
      </c>
      <c r="D521" s="273">
        <f>+D505+D475+D449</f>
        <v>201</v>
      </c>
      <c r="E521" s="270"/>
      <c r="F521" s="270"/>
      <c r="G521" s="270"/>
      <c r="H521" s="270"/>
      <c r="I521" s="270"/>
      <c r="J521" s="270"/>
      <c r="K521" s="265">
        <f>+K449+K475+K505</f>
        <v>37371079.159999996</v>
      </c>
      <c r="L521" s="271">
        <f>+L449+L475+L505</f>
        <v>37371079.159999996</v>
      </c>
      <c r="M521" s="273">
        <f>+M505+M475+M449</f>
        <v>636</v>
      </c>
      <c r="N521" s="273">
        <f>+N505+N475+N449</f>
        <v>0</v>
      </c>
      <c r="O521" s="273">
        <f>+O505+O475+O449</f>
        <v>201</v>
      </c>
      <c r="P521" s="270"/>
      <c r="Q521" s="270"/>
      <c r="R521" s="270"/>
      <c r="S521" s="270"/>
      <c r="T521" s="270"/>
      <c r="U521" s="270"/>
      <c r="V521" s="265">
        <f>+V449+V475+V505</f>
        <v>37513103.159999996</v>
      </c>
      <c r="W521" s="271">
        <f>+W449+W475+W505</f>
        <v>37513103.159999996</v>
      </c>
    </row>
    <row r="522" spans="1:23" ht="19.5" customHeight="1" x14ac:dyDescent="0.2"/>
    <row r="523" spans="1:23" ht="12.75" thickBot="1" x14ac:dyDescent="0.25">
      <c r="A523" s="257" t="s">
        <v>509</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x14ac:dyDescent="0.2">
      <c r="A524" s="646" t="s">
        <v>362</v>
      </c>
      <c r="B524" s="1470" t="s">
        <v>510</v>
      </c>
      <c r="C524" s="1471"/>
      <c r="D524" s="1471"/>
      <c r="E524" s="1471"/>
      <c r="F524" s="1471"/>
      <c r="G524" s="1471"/>
      <c r="H524" s="1471"/>
      <c r="I524" s="1471"/>
      <c r="J524" s="1471"/>
      <c r="K524" s="1471"/>
      <c r="L524" s="1472"/>
      <c r="M524" s="1470" t="s">
        <v>363</v>
      </c>
      <c r="N524" s="1471"/>
      <c r="O524" s="1471"/>
      <c r="P524" s="1471"/>
      <c r="Q524" s="1471"/>
      <c r="R524" s="1471"/>
      <c r="S524" s="1471"/>
      <c r="T524" s="1471"/>
      <c r="U524" s="1471"/>
      <c r="V524" s="1471"/>
      <c r="W524" s="1472"/>
    </row>
    <row r="525" spans="1:23" ht="111" x14ac:dyDescent="0.2">
      <c r="A525" s="647" t="s">
        <v>365</v>
      </c>
      <c r="B525" s="648" t="s">
        <v>366</v>
      </c>
      <c r="C525" s="648" t="s">
        <v>367</v>
      </c>
      <c r="D525" s="649" t="s">
        <v>368</v>
      </c>
      <c r="E525" s="649" t="s">
        <v>369</v>
      </c>
      <c r="F525" s="649" t="s">
        <v>370</v>
      </c>
      <c r="G525" s="649" t="s">
        <v>371</v>
      </c>
      <c r="H525" s="649" t="s">
        <v>372</v>
      </c>
      <c r="I525" s="649" t="s">
        <v>373</v>
      </c>
      <c r="J525" s="650" t="s">
        <v>374</v>
      </c>
      <c r="K525" s="673" t="s">
        <v>375</v>
      </c>
      <c r="L525" s="674" t="s">
        <v>376</v>
      </c>
      <c r="M525" s="648" t="s">
        <v>366</v>
      </c>
      <c r="N525" s="648" t="s">
        <v>367</v>
      </c>
      <c r="O525" s="675" t="s">
        <v>368</v>
      </c>
      <c r="P525" s="649" t="s">
        <v>369</v>
      </c>
      <c r="Q525" s="649" t="s">
        <v>370</v>
      </c>
      <c r="R525" s="649" t="s">
        <v>371</v>
      </c>
      <c r="S525" s="649" t="s">
        <v>372</v>
      </c>
      <c r="T525" s="649" t="s">
        <v>373</v>
      </c>
      <c r="U525" s="650" t="s">
        <v>374</v>
      </c>
      <c r="V525" s="673" t="s">
        <v>375</v>
      </c>
      <c r="W525" s="674" t="s">
        <v>376</v>
      </c>
    </row>
    <row r="526" spans="1:23" x14ac:dyDescent="0.2">
      <c r="A526" s="8"/>
      <c r="K526" s="192"/>
      <c r="L526" s="193"/>
      <c r="M526" s="192"/>
      <c r="N526" s="192"/>
      <c r="O526" s="194"/>
      <c r="P526" s="192"/>
      <c r="Q526" s="192"/>
      <c r="R526" s="192"/>
      <c r="S526" s="192"/>
      <c r="T526" s="192"/>
      <c r="U526" s="192"/>
      <c r="V526" s="192"/>
      <c r="W526" s="233"/>
    </row>
    <row r="527" spans="1:23" x14ac:dyDescent="0.2">
      <c r="A527" s="9" t="s">
        <v>378</v>
      </c>
      <c r="B527" s="161"/>
      <c r="C527" s="161"/>
      <c r="D527" s="161"/>
      <c r="E527" s="161"/>
      <c r="F527" s="161"/>
      <c r="G527" s="161"/>
      <c r="H527" s="161"/>
      <c r="I527" s="161"/>
      <c r="J527" s="161"/>
      <c r="K527" s="234"/>
      <c r="L527" s="197"/>
      <c r="M527" s="234"/>
      <c r="N527" s="234"/>
      <c r="O527" s="235"/>
      <c r="P527" s="234"/>
      <c r="Q527" s="234"/>
      <c r="R527" s="234"/>
      <c r="S527" s="234"/>
      <c r="T527" s="234"/>
      <c r="U527" s="234"/>
      <c r="V527" s="234"/>
      <c r="W527" s="197"/>
    </row>
    <row r="528" spans="1:23" x14ac:dyDescent="0.2">
      <c r="A528" s="8" t="s">
        <v>382</v>
      </c>
      <c r="B528" s="7">
        <v>1</v>
      </c>
      <c r="K528" s="192">
        <v>5750.3</v>
      </c>
      <c r="L528" s="193">
        <f>K528*12+1000</f>
        <v>70003.600000000006</v>
      </c>
      <c r="M528" s="7">
        <v>1</v>
      </c>
      <c r="N528" s="192"/>
      <c r="P528" s="192"/>
      <c r="Q528" s="192"/>
      <c r="R528" s="192"/>
      <c r="S528" s="192"/>
      <c r="T528" s="192"/>
      <c r="U528" s="192"/>
      <c r="V528" s="192">
        <v>5750.3</v>
      </c>
      <c r="W528" s="193">
        <f>V528*12+1000</f>
        <v>70003.600000000006</v>
      </c>
    </row>
    <row r="529" spans="1:23" x14ac:dyDescent="0.2">
      <c r="A529" s="8" t="s">
        <v>383</v>
      </c>
      <c r="B529" s="7">
        <v>2</v>
      </c>
      <c r="K529" s="192">
        <v>8847.9599999999991</v>
      </c>
      <c r="L529" s="193">
        <f>K529*12+2000</f>
        <v>108175.51999999999</v>
      </c>
      <c r="M529" s="7">
        <v>2</v>
      </c>
      <c r="N529" s="192"/>
      <c r="P529" s="192"/>
      <c r="Q529" s="192"/>
      <c r="R529" s="192"/>
      <c r="S529" s="192"/>
      <c r="T529" s="192"/>
      <c r="U529" s="192"/>
      <c r="V529" s="236">
        <v>8847.9599999999991</v>
      </c>
      <c r="W529" s="193">
        <f>V529*12+2000</f>
        <v>108175.51999999999</v>
      </c>
    </row>
    <row r="530" spans="1:23" x14ac:dyDescent="0.2">
      <c r="A530" s="8" t="s">
        <v>406</v>
      </c>
      <c r="B530" s="7">
        <v>1</v>
      </c>
      <c r="K530" s="192">
        <v>2351.0300000000002</v>
      </c>
      <c r="L530" s="193">
        <f>K530*12+1000</f>
        <v>29212.36</v>
      </c>
      <c r="M530" s="7">
        <v>1</v>
      </c>
      <c r="N530" s="192"/>
      <c r="P530" s="192"/>
      <c r="Q530" s="192"/>
      <c r="R530" s="192"/>
      <c r="S530" s="192"/>
      <c r="T530" s="192"/>
      <c r="U530" s="192"/>
      <c r="V530" s="192">
        <v>2351.0300000000002</v>
      </c>
      <c r="W530" s="193">
        <f>V530*12+1000</f>
        <v>29212.36</v>
      </c>
    </row>
    <row r="531" spans="1:23" x14ac:dyDescent="0.2">
      <c r="A531" s="9" t="s">
        <v>385</v>
      </c>
      <c r="B531" s="161"/>
      <c r="C531" s="161"/>
      <c r="D531" s="161"/>
      <c r="E531" s="161"/>
      <c r="F531" s="161"/>
      <c r="G531" s="161"/>
      <c r="H531" s="161"/>
      <c r="I531" s="161"/>
      <c r="J531" s="161"/>
      <c r="K531" s="234"/>
      <c r="L531" s="197"/>
      <c r="M531" s="161"/>
      <c r="N531" s="234"/>
      <c r="O531" s="161"/>
      <c r="P531" s="234"/>
      <c r="Q531" s="234"/>
      <c r="R531" s="234"/>
      <c r="S531" s="234"/>
      <c r="T531" s="234"/>
      <c r="U531" s="234"/>
      <c r="V531" s="234"/>
      <c r="W531" s="197"/>
    </row>
    <row r="532" spans="1:23" x14ac:dyDescent="0.2">
      <c r="A532" s="8" t="s">
        <v>408</v>
      </c>
      <c r="B532" s="7">
        <v>2</v>
      </c>
      <c r="K532" s="192">
        <v>4248.42</v>
      </c>
      <c r="L532" s="193">
        <f>K532*12+2000</f>
        <v>52981.04</v>
      </c>
      <c r="M532" s="7">
        <v>2</v>
      </c>
      <c r="N532" s="192"/>
      <c r="P532" s="192"/>
      <c r="Q532" s="192"/>
      <c r="R532" s="192"/>
      <c r="S532" s="192"/>
      <c r="T532" s="192"/>
      <c r="U532" s="192"/>
      <c r="V532" s="192">
        <v>4248.42</v>
      </c>
      <c r="W532" s="193">
        <f>V532*12+2000</f>
        <v>52981.04</v>
      </c>
    </row>
    <row r="533" spans="1:23" x14ac:dyDescent="0.2">
      <c r="A533" s="8" t="s">
        <v>437</v>
      </c>
      <c r="B533" s="7">
        <v>1</v>
      </c>
      <c r="D533" s="7">
        <v>9</v>
      </c>
      <c r="K533" s="192">
        <f>2149.11+22300</f>
        <v>24449.11</v>
      </c>
      <c r="L533" s="193">
        <f>K533*12+1000+5400</f>
        <v>299789.32</v>
      </c>
      <c r="M533" s="7">
        <v>1</v>
      </c>
      <c r="N533" s="192"/>
      <c r="O533" s="7">
        <v>18</v>
      </c>
      <c r="P533" s="192"/>
      <c r="Q533" s="192"/>
      <c r="R533" s="192"/>
      <c r="S533" s="192"/>
      <c r="T533" s="192"/>
      <c r="U533" s="192"/>
      <c r="V533" s="192">
        <f>2149.11+63344.8</f>
        <v>65493.91</v>
      </c>
      <c r="W533" s="193">
        <f>V533*12+1000+10800</f>
        <v>797726.92</v>
      </c>
    </row>
    <row r="534" spans="1:23" x14ac:dyDescent="0.2">
      <c r="A534" s="9" t="s">
        <v>389</v>
      </c>
      <c r="B534" s="161"/>
      <c r="C534" s="161"/>
      <c r="D534" s="161"/>
      <c r="E534" s="161"/>
      <c r="F534" s="161"/>
      <c r="G534" s="161"/>
      <c r="H534" s="161"/>
      <c r="I534" s="161"/>
      <c r="J534" s="161"/>
      <c r="K534" s="234"/>
      <c r="L534" s="197"/>
      <c r="M534" s="161"/>
      <c r="N534" s="234"/>
      <c r="O534" s="161"/>
      <c r="P534" s="234"/>
      <c r="Q534" s="234"/>
      <c r="R534" s="234"/>
      <c r="S534" s="234"/>
      <c r="T534" s="234"/>
      <c r="U534" s="234"/>
      <c r="V534" s="234"/>
      <c r="W534" s="197"/>
    </row>
    <row r="535" spans="1:23" x14ac:dyDescent="0.2">
      <c r="A535" s="8" t="s">
        <v>391</v>
      </c>
      <c r="B535" s="7">
        <v>10</v>
      </c>
      <c r="C535" s="2"/>
      <c r="D535" s="2"/>
      <c r="E535" s="2"/>
      <c r="F535" s="2"/>
      <c r="G535" s="2"/>
      <c r="H535" s="2"/>
      <c r="I535" s="2"/>
      <c r="J535" s="2"/>
      <c r="K535" s="236">
        <v>20211.900000000001</v>
      </c>
      <c r="L535" s="193">
        <f>K535*12+10000</f>
        <v>252542.80000000002</v>
      </c>
      <c r="M535" s="7">
        <v>10</v>
      </c>
      <c r="N535" s="192"/>
      <c r="P535" s="192"/>
      <c r="Q535" s="192"/>
      <c r="R535" s="192"/>
      <c r="S535" s="192"/>
      <c r="T535" s="192"/>
      <c r="U535" s="192"/>
      <c r="V535" s="192">
        <v>20211.900000000001</v>
      </c>
      <c r="W535" s="193">
        <f>V535*12+10000</f>
        <v>252542.80000000002</v>
      </c>
    </row>
    <row r="536" spans="1:23" x14ac:dyDescent="0.2">
      <c r="A536" s="8" t="s">
        <v>392</v>
      </c>
      <c r="B536" s="7">
        <v>14</v>
      </c>
      <c r="K536" s="192">
        <v>28187.74</v>
      </c>
      <c r="L536" s="193">
        <f>K536*12+14000</f>
        <v>352252.88</v>
      </c>
      <c r="M536" s="7">
        <v>14</v>
      </c>
      <c r="N536" s="192"/>
      <c r="P536" s="192"/>
      <c r="Q536" s="192"/>
      <c r="R536" s="192"/>
      <c r="S536" s="192"/>
      <c r="T536" s="192"/>
      <c r="U536" s="192"/>
      <c r="V536" s="192">
        <v>28187.74</v>
      </c>
      <c r="W536" s="193">
        <f>V536*12+14000</f>
        <v>352252.88</v>
      </c>
    </row>
    <row r="537" spans="1:23" x14ac:dyDescent="0.2">
      <c r="A537" s="8" t="s">
        <v>439</v>
      </c>
      <c r="B537" s="7">
        <v>7</v>
      </c>
      <c r="K537" s="192">
        <v>14060.9</v>
      </c>
      <c r="L537" s="193">
        <f>K537*12+7000</f>
        <v>175730.8</v>
      </c>
      <c r="M537" s="7">
        <v>7</v>
      </c>
      <c r="N537" s="192"/>
      <c r="P537" s="192"/>
      <c r="Q537" s="192"/>
      <c r="R537" s="192"/>
      <c r="S537" s="192"/>
      <c r="T537" s="192"/>
      <c r="U537" s="192"/>
      <c r="V537" s="192">
        <v>14060.9</v>
      </c>
      <c r="W537" s="193">
        <f>V537*12+7000</f>
        <v>175730.8</v>
      </c>
    </row>
    <row r="538" spans="1:23" x14ac:dyDescent="0.2">
      <c r="A538" s="8" t="s">
        <v>440</v>
      </c>
      <c r="B538" s="7">
        <v>3</v>
      </c>
      <c r="D538" s="7">
        <v>31</v>
      </c>
      <c r="K538" s="192">
        <f>6020.1+37719.05</f>
        <v>43739.15</v>
      </c>
      <c r="L538" s="193">
        <f>K538*12+3000+18600</f>
        <v>546469.80000000005</v>
      </c>
      <c r="M538" s="7">
        <v>3</v>
      </c>
      <c r="N538" s="192"/>
      <c r="O538" s="7">
        <v>57</v>
      </c>
      <c r="P538" s="192"/>
      <c r="Q538" s="192"/>
      <c r="R538" s="192"/>
      <c r="S538" s="192"/>
      <c r="T538" s="192"/>
      <c r="U538" s="192"/>
      <c r="V538" s="192">
        <f>6020.1+84896.6</f>
        <v>90916.700000000012</v>
      </c>
      <c r="W538" s="193">
        <f>V538*12+3000+34200</f>
        <v>1128200.4000000001</v>
      </c>
    </row>
    <row r="539" spans="1:23" x14ac:dyDescent="0.2">
      <c r="A539" s="9" t="s">
        <v>393</v>
      </c>
      <c r="B539" s="161"/>
      <c r="C539" s="161"/>
      <c r="D539" s="161"/>
      <c r="E539" s="161"/>
      <c r="F539" s="161"/>
      <c r="G539" s="161"/>
      <c r="H539" s="161"/>
      <c r="I539" s="161"/>
      <c r="J539" s="161"/>
      <c r="K539" s="234"/>
      <c r="L539" s="197"/>
      <c r="M539" s="161"/>
      <c r="N539" s="234"/>
      <c r="O539" s="161"/>
      <c r="P539" s="234"/>
      <c r="Q539" s="234"/>
      <c r="R539" s="234"/>
      <c r="S539" s="234"/>
      <c r="T539" s="234"/>
      <c r="U539" s="234"/>
      <c r="V539" s="234"/>
      <c r="W539" s="197"/>
    </row>
    <row r="540" spans="1:23" x14ac:dyDescent="0.2">
      <c r="A540" s="8" t="s">
        <v>441</v>
      </c>
      <c r="B540" s="7">
        <v>4</v>
      </c>
      <c r="K540" s="192">
        <v>7929.24</v>
      </c>
      <c r="L540" s="193">
        <f>K540*12+4000</f>
        <v>99150.88</v>
      </c>
      <c r="M540" s="7">
        <v>4</v>
      </c>
      <c r="N540" s="192"/>
      <c r="P540" s="192"/>
      <c r="Q540" s="192"/>
      <c r="R540" s="192"/>
      <c r="S540" s="192"/>
      <c r="T540" s="192"/>
      <c r="U540" s="192"/>
      <c r="V540" s="192">
        <v>7929.24</v>
      </c>
      <c r="W540" s="193">
        <f>V540*12+4000</f>
        <v>99150.88</v>
      </c>
    </row>
    <row r="541" spans="1:23" x14ac:dyDescent="0.2">
      <c r="A541" s="8" t="s">
        <v>442</v>
      </c>
      <c r="B541" s="7">
        <v>1</v>
      </c>
      <c r="K541" s="192">
        <v>1974.53</v>
      </c>
      <c r="L541" s="193">
        <f>K541*12+1000</f>
        <v>24694.36</v>
      </c>
      <c r="M541" s="7">
        <v>1</v>
      </c>
      <c r="N541" s="192"/>
      <c r="P541" s="192"/>
      <c r="Q541" s="192"/>
      <c r="R541" s="192"/>
      <c r="S541" s="192"/>
      <c r="T541" s="192"/>
      <c r="U541" s="192"/>
      <c r="V541" s="192">
        <v>1974.53</v>
      </c>
      <c r="W541" s="193">
        <f>V541*12+1000</f>
        <v>24694.36</v>
      </c>
    </row>
    <row r="542" spans="1:23" x14ac:dyDescent="0.2">
      <c r="A542" s="8" t="s">
        <v>443</v>
      </c>
      <c r="B542" s="7">
        <v>1</v>
      </c>
      <c r="D542" s="7">
        <v>11</v>
      </c>
      <c r="K542" s="192">
        <f>1966.75+12109.9</f>
        <v>14076.65</v>
      </c>
      <c r="L542" s="193">
        <f>K542*12+1000+6600</f>
        <v>176519.8</v>
      </c>
      <c r="M542" s="7">
        <v>1</v>
      </c>
      <c r="N542" s="192"/>
      <c r="O542" s="7">
        <v>20</v>
      </c>
      <c r="P542" s="192"/>
      <c r="Q542" s="192"/>
      <c r="R542" s="192"/>
      <c r="S542" s="192"/>
      <c r="T542" s="192"/>
      <c r="U542" s="192"/>
      <c r="V542" s="192">
        <f>1966.75+24677.6</f>
        <v>26644.35</v>
      </c>
      <c r="W542" s="193">
        <f>V542*12+1000+12000</f>
        <v>332732.19999999995</v>
      </c>
    </row>
    <row r="543" spans="1:23" ht="24" x14ac:dyDescent="0.2">
      <c r="A543" s="676" t="s">
        <v>511</v>
      </c>
      <c r="K543" s="192"/>
      <c r="L543" s="193"/>
      <c r="N543" s="192"/>
      <c r="P543" s="192"/>
      <c r="Q543" s="192"/>
      <c r="R543" s="192"/>
      <c r="S543" s="192"/>
      <c r="T543" s="192"/>
      <c r="U543" s="192"/>
      <c r="V543" s="192"/>
      <c r="W543" s="193"/>
    </row>
    <row r="544" spans="1:23" x14ac:dyDescent="0.2">
      <c r="A544" s="209" t="s">
        <v>484</v>
      </c>
      <c r="B544" s="226"/>
      <c r="C544" s="226"/>
      <c r="D544" s="226"/>
      <c r="E544" s="226"/>
      <c r="F544" s="226"/>
      <c r="G544" s="226"/>
      <c r="H544" s="226"/>
      <c r="I544" s="226"/>
      <c r="J544" s="226"/>
      <c r="K544" s="237"/>
      <c r="L544" s="211"/>
      <c r="M544" s="226"/>
      <c r="N544" s="237"/>
      <c r="O544" s="226"/>
      <c r="P544" s="237"/>
      <c r="Q544" s="237"/>
      <c r="R544" s="237"/>
      <c r="S544" s="237"/>
      <c r="T544" s="237"/>
      <c r="U544" s="237"/>
      <c r="V544" s="237"/>
      <c r="W544" s="211"/>
    </row>
    <row r="545" spans="1:23" x14ac:dyDescent="0.2">
      <c r="A545" s="8" t="s">
        <v>512</v>
      </c>
      <c r="B545" s="7">
        <v>9</v>
      </c>
      <c r="K545" s="192">
        <v>85841.49</v>
      </c>
      <c r="L545" s="193">
        <f>K545*12+9000</f>
        <v>1039097.8800000001</v>
      </c>
      <c r="M545" s="7">
        <v>9</v>
      </c>
      <c r="N545" s="192"/>
      <c r="P545" s="192"/>
      <c r="Q545" s="192"/>
      <c r="R545" s="192"/>
      <c r="S545" s="192"/>
      <c r="T545" s="192"/>
      <c r="U545" s="192"/>
      <c r="V545" s="192">
        <v>85841.49</v>
      </c>
      <c r="W545" s="193">
        <f>V545*12+9000</f>
        <v>1039097.8800000001</v>
      </c>
    </row>
    <row r="546" spans="1:23" x14ac:dyDescent="0.2">
      <c r="A546" s="8" t="s">
        <v>513</v>
      </c>
      <c r="B546" s="7">
        <v>7</v>
      </c>
      <c r="K546" s="192">
        <v>64095.32</v>
      </c>
      <c r="L546" s="193">
        <f>K546*12+7000</f>
        <v>776143.84</v>
      </c>
      <c r="M546" s="7">
        <v>7</v>
      </c>
      <c r="N546" s="192"/>
      <c r="P546" s="192"/>
      <c r="Q546" s="192"/>
      <c r="R546" s="192"/>
      <c r="S546" s="192"/>
      <c r="T546" s="192"/>
      <c r="U546" s="192"/>
      <c r="V546" s="192">
        <v>64095.32</v>
      </c>
      <c r="W546" s="193">
        <f>V546*12+7000</f>
        <v>776143.84</v>
      </c>
    </row>
    <row r="547" spans="1:23" x14ac:dyDescent="0.2">
      <c r="A547" s="8" t="s">
        <v>514</v>
      </c>
      <c r="B547" s="7">
        <v>6</v>
      </c>
      <c r="K547" s="192">
        <v>54451.07</v>
      </c>
      <c r="L547" s="193">
        <f>K547*12+6000</f>
        <v>659412.84</v>
      </c>
      <c r="M547" s="7">
        <v>6</v>
      </c>
      <c r="N547" s="192"/>
      <c r="P547" s="192"/>
      <c r="Q547" s="192"/>
      <c r="R547" s="192"/>
      <c r="S547" s="192"/>
      <c r="T547" s="192"/>
      <c r="U547" s="192"/>
      <c r="V547" s="192">
        <v>54451.07</v>
      </c>
      <c r="W547" s="193">
        <f>V547*12+6000</f>
        <v>659412.84</v>
      </c>
    </row>
    <row r="548" spans="1:23" x14ac:dyDescent="0.2">
      <c r="A548" s="8" t="s">
        <v>515</v>
      </c>
      <c r="B548" s="7">
        <v>29</v>
      </c>
      <c r="D548" s="7">
        <v>21</v>
      </c>
      <c r="K548" s="192">
        <f>206476.45+86389.3</f>
        <v>292865.75</v>
      </c>
      <c r="L548" s="193">
        <f>K548*12+29000+12600</f>
        <v>3555989</v>
      </c>
      <c r="M548" s="7">
        <v>29</v>
      </c>
      <c r="N548" s="192"/>
      <c r="O548" s="7">
        <v>3</v>
      </c>
      <c r="P548" s="192"/>
      <c r="Q548" s="192"/>
      <c r="R548" s="192"/>
      <c r="S548" s="192"/>
      <c r="T548" s="192"/>
      <c r="U548" s="192"/>
      <c r="V548" s="192">
        <f>206476.45+20153.4</f>
        <v>226629.85</v>
      </c>
      <c r="W548" s="193">
        <f>V548*12+29000+1800</f>
        <v>2750358.2</v>
      </c>
    </row>
    <row r="549" spans="1:23" x14ac:dyDescent="0.2">
      <c r="A549" s="182" t="s">
        <v>516</v>
      </c>
      <c r="K549" s="192"/>
      <c r="L549" s="193"/>
      <c r="N549" s="192"/>
      <c r="P549" s="192"/>
      <c r="Q549" s="192"/>
      <c r="R549" s="192"/>
      <c r="S549" s="192"/>
      <c r="T549" s="192"/>
      <c r="U549" s="192"/>
      <c r="V549" s="192"/>
      <c r="W549" s="193"/>
    </row>
    <row r="550" spans="1:23" x14ac:dyDescent="0.2">
      <c r="A550" s="8" t="s">
        <v>498</v>
      </c>
      <c r="B550" s="7">
        <v>3</v>
      </c>
      <c r="K550" s="192">
        <v>19603.650000000001</v>
      </c>
      <c r="L550" s="193">
        <f>K550*12+3000</f>
        <v>238243.80000000002</v>
      </c>
      <c r="M550" s="7">
        <v>3</v>
      </c>
      <c r="N550" s="192"/>
      <c r="P550" s="192"/>
      <c r="Q550" s="192"/>
      <c r="R550" s="192"/>
      <c r="S550" s="192"/>
      <c r="T550" s="192"/>
      <c r="U550" s="192"/>
      <c r="V550" s="192">
        <v>19603.650000000001</v>
      </c>
      <c r="W550" s="193">
        <f>V550*12+3000</f>
        <v>238243.80000000002</v>
      </c>
    </row>
    <row r="551" spans="1:23" x14ac:dyDescent="0.2">
      <c r="A551" s="8" t="s">
        <v>499</v>
      </c>
      <c r="B551" s="7">
        <v>3</v>
      </c>
      <c r="K551" s="192">
        <v>17475.72</v>
      </c>
      <c r="L551" s="193">
        <f>K551*12+3000</f>
        <v>212708.64</v>
      </c>
      <c r="M551" s="7">
        <v>3</v>
      </c>
      <c r="N551" s="192"/>
      <c r="P551" s="192"/>
      <c r="Q551" s="192"/>
      <c r="R551" s="192"/>
      <c r="S551" s="192"/>
      <c r="T551" s="192"/>
      <c r="U551" s="192"/>
      <c r="V551" s="192">
        <v>17475.72</v>
      </c>
      <c r="W551" s="193">
        <f>V551*12+3000</f>
        <v>212708.64</v>
      </c>
    </row>
    <row r="552" spans="1:23" x14ac:dyDescent="0.2">
      <c r="A552" s="8" t="s">
        <v>500</v>
      </c>
      <c r="B552" s="7">
        <v>4</v>
      </c>
      <c r="K552" s="192">
        <v>22954.6</v>
      </c>
      <c r="L552" s="193">
        <f>K552*12+4000</f>
        <v>279455.19999999995</v>
      </c>
      <c r="M552" s="7">
        <v>4</v>
      </c>
      <c r="N552" s="192"/>
      <c r="P552" s="192"/>
      <c r="Q552" s="192"/>
      <c r="R552" s="192"/>
      <c r="S552" s="192"/>
      <c r="T552" s="192"/>
      <c r="U552" s="192"/>
      <c r="V552" s="192">
        <v>22954.6</v>
      </c>
      <c r="W552" s="193">
        <f>V552*12+4000</f>
        <v>279455.19999999995</v>
      </c>
    </row>
    <row r="553" spans="1:23" x14ac:dyDescent="0.2">
      <c r="A553" s="8" t="s">
        <v>501</v>
      </c>
      <c r="B553" s="7">
        <v>2</v>
      </c>
      <c r="K553" s="192">
        <v>11075.62</v>
      </c>
      <c r="L553" s="193">
        <f>K553*12+2000</f>
        <v>134907.44</v>
      </c>
      <c r="M553" s="7">
        <v>2</v>
      </c>
      <c r="N553" s="192"/>
      <c r="P553" s="192"/>
      <c r="Q553" s="192"/>
      <c r="R553" s="192"/>
      <c r="S553" s="192"/>
      <c r="T553" s="192"/>
      <c r="U553" s="192"/>
      <c r="V553" s="192">
        <v>11075.62</v>
      </c>
      <c r="W553" s="193">
        <f>V553*12+2000</f>
        <v>134907.44</v>
      </c>
    </row>
    <row r="554" spans="1:23" x14ac:dyDescent="0.2">
      <c r="A554" s="8" t="s">
        <v>502</v>
      </c>
      <c r="B554" s="7">
        <v>24</v>
      </c>
      <c r="D554" s="7">
        <v>26</v>
      </c>
      <c r="K554" s="192">
        <f>109182.33+53832.15</f>
        <v>163014.48000000001</v>
      </c>
      <c r="L554" s="193">
        <f>K554*12+24000+15600</f>
        <v>1995773.7600000002</v>
      </c>
      <c r="M554" s="7">
        <v>24</v>
      </c>
      <c r="N554" s="192"/>
      <c r="O554" s="7">
        <v>10</v>
      </c>
      <c r="P554" s="192"/>
      <c r="Q554" s="192"/>
      <c r="R554" s="192"/>
      <c r="S554" s="192"/>
      <c r="T554" s="192"/>
      <c r="U554" s="192"/>
      <c r="V554" s="192">
        <f>109182.33+28178</f>
        <v>137360.33000000002</v>
      </c>
      <c r="W554" s="193">
        <f>V554*12+24000+6000</f>
        <v>1678323.9600000002</v>
      </c>
    </row>
    <row r="555" spans="1:23" x14ac:dyDescent="0.2">
      <c r="A555" s="182" t="s">
        <v>517</v>
      </c>
      <c r="K555" s="192"/>
      <c r="L555" s="193"/>
      <c r="N555" s="192"/>
      <c r="P555" s="192"/>
      <c r="Q555" s="192"/>
      <c r="R555" s="192"/>
      <c r="S555" s="192"/>
      <c r="T555" s="192"/>
      <c r="U555" s="192"/>
      <c r="V555" s="192"/>
      <c r="W555" s="193"/>
    </row>
    <row r="556" spans="1:23" x14ac:dyDescent="0.2">
      <c r="A556" s="8">
        <v>14</v>
      </c>
      <c r="B556" s="7">
        <v>9</v>
      </c>
      <c r="K556" s="192">
        <v>60673.95</v>
      </c>
      <c r="L556" s="193">
        <f>K556*12+9000</f>
        <v>737087.39999999991</v>
      </c>
      <c r="M556" s="7">
        <v>9</v>
      </c>
      <c r="N556" s="192"/>
      <c r="P556" s="192"/>
      <c r="Q556" s="192"/>
      <c r="R556" s="192"/>
      <c r="S556" s="192"/>
      <c r="T556" s="192"/>
      <c r="U556" s="192"/>
      <c r="V556" s="192">
        <v>60673.95</v>
      </c>
      <c r="W556" s="193">
        <f>V556*12+9000</f>
        <v>737087.39999999991</v>
      </c>
    </row>
    <row r="557" spans="1:23" x14ac:dyDescent="0.2">
      <c r="A557" s="8">
        <v>13</v>
      </c>
      <c r="B557" s="7">
        <v>3</v>
      </c>
      <c r="K557" s="192">
        <v>20171.52</v>
      </c>
      <c r="L557" s="193">
        <f>K557*12+3000</f>
        <v>245058.24</v>
      </c>
      <c r="M557" s="7">
        <v>3</v>
      </c>
      <c r="N557" s="192"/>
      <c r="P557" s="192"/>
      <c r="Q557" s="192"/>
      <c r="R557" s="192"/>
      <c r="S557" s="192"/>
      <c r="T557" s="192"/>
      <c r="U557" s="192"/>
      <c r="V557" s="192">
        <v>20171.52</v>
      </c>
      <c r="W557" s="193">
        <f>V557*12+3000</f>
        <v>245058.24</v>
      </c>
    </row>
    <row r="558" spans="1:23" x14ac:dyDescent="0.2">
      <c r="A558" s="8">
        <v>12</v>
      </c>
      <c r="B558" s="7">
        <v>9</v>
      </c>
      <c r="K558" s="192">
        <v>56092.95</v>
      </c>
      <c r="L558" s="193">
        <f>K558*12+9000</f>
        <v>682115.39999999991</v>
      </c>
      <c r="M558" s="7">
        <v>9</v>
      </c>
      <c r="N558" s="192"/>
      <c r="P558" s="192"/>
      <c r="Q558" s="192"/>
      <c r="R558" s="192"/>
      <c r="S558" s="192"/>
      <c r="T558" s="192"/>
      <c r="U558" s="192"/>
      <c r="V558" s="192">
        <v>56092.95</v>
      </c>
      <c r="W558" s="193">
        <f>V558*12+9000</f>
        <v>682115.39999999991</v>
      </c>
    </row>
    <row r="559" spans="1:23" x14ac:dyDescent="0.2">
      <c r="A559" s="8">
        <v>11</v>
      </c>
      <c r="B559" s="7">
        <v>7</v>
      </c>
      <c r="K559" s="192">
        <v>40385.57</v>
      </c>
      <c r="L559" s="193">
        <f>K559*12+7000</f>
        <v>491626.83999999997</v>
      </c>
      <c r="M559" s="7">
        <v>7</v>
      </c>
      <c r="N559" s="192"/>
      <c r="P559" s="192"/>
      <c r="Q559" s="192"/>
      <c r="R559" s="192"/>
      <c r="S559" s="192"/>
      <c r="T559" s="192"/>
      <c r="U559" s="192"/>
      <c r="V559" s="192">
        <v>40385.57</v>
      </c>
      <c r="W559" s="193">
        <f>V559*12+7000</f>
        <v>491626.83999999997</v>
      </c>
    </row>
    <row r="560" spans="1:23" x14ac:dyDescent="0.2">
      <c r="A560" s="8">
        <v>10</v>
      </c>
      <c r="B560" s="7">
        <v>63</v>
      </c>
      <c r="D560" s="7">
        <v>37</v>
      </c>
      <c r="K560" s="192">
        <f>295879.03+78826.1</f>
        <v>374705.13</v>
      </c>
      <c r="L560" s="193">
        <f>K560*12+63000+22200</f>
        <v>4581661.5600000005</v>
      </c>
      <c r="M560" s="7">
        <v>63</v>
      </c>
      <c r="N560" s="192"/>
      <c r="O560" s="7">
        <v>15</v>
      </c>
      <c r="P560" s="192"/>
      <c r="Q560" s="192"/>
      <c r="R560" s="192"/>
      <c r="S560" s="192"/>
      <c r="T560" s="192"/>
      <c r="U560" s="192"/>
      <c r="V560" s="192">
        <f>295879.03+43029.2</f>
        <v>338908.23000000004</v>
      </c>
      <c r="W560" s="193">
        <f>V560*12+63000+9000</f>
        <v>4138898.7600000007</v>
      </c>
    </row>
    <row r="561" spans="1:23" ht="24" x14ac:dyDescent="0.2">
      <c r="A561" s="676" t="s">
        <v>518</v>
      </c>
      <c r="K561" s="192"/>
      <c r="L561" s="193"/>
      <c r="N561" s="192"/>
      <c r="P561" s="192"/>
      <c r="Q561" s="192"/>
      <c r="R561" s="192"/>
      <c r="S561" s="192"/>
      <c r="T561" s="192"/>
      <c r="U561" s="192"/>
      <c r="V561" s="192"/>
      <c r="W561" s="193"/>
    </row>
    <row r="562" spans="1:23" x14ac:dyDescent="0.2">
      <c r="A562" s="8" t="s">
        <v>519</v>
      </c>
      <c r="B562" s="7">
        <v>4</v>
      </c>
      <c r="K562" s="192">
        <v>24926</v>
      </c>
      <c r="L562" s="193">
        <f>K562*12+4000</f>
        <v>303112</v>
      </c>
      <c r="M562" s="7">
        <v>4</v>
      </c>
      <c r="N562" s="192"/>
      <c r="P562" s="192"/>
      <c r="Q562" s="192"/>
      <c r="R562" s="192"/>
      <c r="S562" s="192"/>
      <c r="T562" s="192"/>
      <c r="U562" s="192"/>
      <c r="V562" s="192">
        <v>24926</v>
      </c>
      <c r="W562" s="193">
        <f>V562*12+4000</f>
        <v>303112</v>
      </c>
    </row>
    <row r="563" spans="1:23" x14ac:dyDescent="0.2">
      <c r="A563" s="8" t="s">
        <v>520</v>
      </c>
      <c r="B563" s="7">
        <v>3</v>
      </c>
      <c r="K563" s="192">
        <v>17290.25</v>
      </c>
      <c r="L563" s="193">
        <f>K563*12+3000</f>
        <v>210483</v>
      </c>
      <c r="M563" s="7">
        <v>3</v>
      </c>
      <c r="N563" s="192"/>
      <c r="P563" s="192"/>
      <c r="Q563" s="192"/>
      <c r="R563" s="192"/>
      <c r="S563" s="192"/>
      <c r="T563" s="192"/>
      <c r="U563" s="192"/>
      <c r="V563" s="192">
        <v>17290.25</v>
      </c>
      <c r="W563" s="193">
        <f>V563*12+3000</f>
        <v>210483</v>
      </c>
    </row>
    <row r="564" spans="1:23" x14ac:dyDescent="0.2">
      <c r="A564" s="8" t="s">
        <v>499</v>
      </c>
      <c r="B564" s="7">
        <v>3</v>
      </c>
      <c r="K564" s="192">
        <v>12751.65</v>
      </c>
      <c r="L564" s="193">
        <f>K564*12+3000</f>
        <v>156019.79999999999</v>
      </c>
      <c r="M564" s="7">
        <v>3</v>
      </c>
      <c r="N564" s="192"/>
      <c r="P564" s="192"/>
      <c r="Q564" s="192"/>
      <c r="R564" s="192"/>
      <c r="S564" s="192"/>
      <c r="T564" s="192"/>
      <c r="U564" s="192"/>
      <c r="V564" s="192">
        <v>12751.65</v>
      </c>
      <c r="W564" s="193">
        <f>V564*12+3000</f>
        <v>156019.79999999999</v>
      </c>
    </row>
    <row r="565" spans="1:23" x14ac:dyDescent="0.2">
      <c r="A565" s="8" t="s">
        <v>501</v>
      </c>
      <c r="B565" s="7">
        <v>1</v>
      </c>
      <c r="K565" s="192">
        <v>4998.91</v>
      </c>
      <c r="L565" s="193">
        <f>K565*12+1000</f>
        <v>60986.92</v>
      </c>
      <c r="M565" s="7">
        <v>1</v>
      </c>
      <c r="N565" s="192"/>
      <c r="P565" s="192"/>
      <c r="Q565" s="192"/>
      <c r="R565" s="192"/>
      <c r="S565" s="192"/>
      <c r="T565" s="192"/>
      <c r="U565" s="192"/>
      <c r="V565" s="192">
        <v>4998.91</v>
      </c>
      <c r="W565" s="193">
        <f>V565*12+1000</f>
        <v>60986.92</v>
      </c>
    </row>
    <row r="566" spans="1:23" x14ac:dyDescent="0.2">
      <c r="A566" s="8" t="s">
        <v>502</v>
      </c>
      <c r="B566" s="7">
        <v>1</v>
      </c>
      <c r="D566" s="7">
        <v>6</v>
      </c>
      <c r="K566" s="192">
        <f>4339.62+13222.75</f>
        <v>17562.37</v>
      </c>
      <c r="L566" s="193">
        <f>K566*12+1000+3600</f>
        <v>215348.44</v>
      </c>
      <c r="M566" s="7">
        <v>1</v>
      </c>
      <c r="N566" s="192"/>
      <c r="O566" s="7">
        <v>7</v>
      </c>
      <c r="P566" s="192"/>
      <c r="Q566" s="192"/>
      <c r="R566" s="192"/>
      <c r="S566" s="192"/>
      <c r="T566" s="192"/>
      <c r="U566" s="192"/>
      <c r="V566" s="192">
        <f>4339.62+18868.8</f>
        <v>23208.42</v>
      </c>
      <c r="W566" s="193">
        <f>V566*12+1000+4200</f>
        <v>283701.03999999998</v>
      </c>
    </row>
    <row r="567" spans="1:23" x14ac:dyDescent="0.2">
      <c r="A567" s="8" t="s">
        <v>521</v>
      </c>
      <c r="B567" s="7">
        <v>1</v>
      </c>
      <c r="K567" s="192">
        <v>5438.62</v>
      </c>
      <c r="L567" s="193">
        <f>K567*12+1000</f>
        <v>66263.44</v>
      </c>
      <c r="M567" s="7">
        <v>1</v>
      </c>
      <c r="N567" s="192"/>
      <c r="P567" s="192"/>
      <c r="Q567" s="192"/>
      <c r="R567" s="192"/>
      <c r="S567" s="192"/>
      <c r="T567" s="192"/>
      <c r="U567" s="192"/>
      <c r="V567" s="192">
        <v>5438.62</v>
      </c>
      <c r="W567" s="193">
        <f>V567*12+1000</f>
        <v>66263.44</v>
      </c>
    </row>
    <row r="568" spans="1:23" ht="24" x14ac:dyDescent="0.2">
      <c r="A568" s="676" t="s">
        <v>448</v>
      </c>
      <c r="K568" s="192"/>
      <c r="L568" s="193"/>
      <c r="N568" s="192"/>
      <c r="P568" s="192"/>
      <c r="Q568" s="192"/>
      <c r="R568" s="192"/>
      <c r="S568" s="192"/>
      <c r="T568" s="192"/>
      <c r="U568" s="192"/>
      <c r="V568" s="192"/>
      <c r="W568" s="193"/>
    </row>
    <row r="569" spans="1:23" x14ac:dyDescent="0.2">
      <c r="A569" s="182" t="s">
        <v>522</v>
      </c>
      <c r="K569" s="192"/>
      <c r="L569" s="193"/>
      <c r="N569" s="192"/>
      <c r="P569" s="192"/>
      <c r="Q569" s="192"/>
      <c r="R569" s="192"/>
      <c r="S569" s="192"/>
      <c r="T569" s="192"/>
      <c r="U569" s="192"/>
      <c r="V569" s="192"/>
      <c r="W569" s="193"/>
    </row>
    <row r="570" spans="1:23" x14ac:dyDescent="0.2">
      <c r="A570" s="8" t="s">
        <v>390</v>
      </c>
      <c r="B570" s="7">
        <v>14</v>
      </c>
      <c r="K570" s="192">
        <v>39488.720000000001</v>
      </c>
      <c r="L570" s="193">
        <f>K570*12+14000</f>
        <v>487864.64</v>
      </c>
      <c r="M570" s="7">
        <v>14</v>
      </c>
      <c r="N570" s="192"/>
      <c r="P570" s="192"/>
      <c r="Q570" s="192"/>
      <c r="R570" s="192"/>
      <c r="S570" s="192"/>
      <c r="T570" s="192"/>
      <c r="U570" s="192"/>
      <c r="V570" s="192">
        <v>39488.720000000001</v>
      </c>
      <c r="W570" s="193">
        <f>V570*12+14000</f>
        <v>487864.64</v>
      </c>
    </row>
    <row r="571" spans="1:23" x14ac:dyDescent="0.2">
      <c r="A571" s="8" t="s">
        <v>391</v>
      </c>
      <c r="B571" s="7">
        <v>15</v>
      </c>
      <c r="K571" s="192">
        <v>41304.85</v>
      </c>
      <c r="L571" s="193">
        <f>K571*12+15000</f>
        <v>510658.19999999995</v>
      </c>
      <c r="M571" s="7">
        <v>15</v>
      </c>
      <c r="N571" s="192"/>
      <c r="P571" s="192"/>
      <c r="Q571" s="192"/>
      <c r="R571" s="192"/>
      <c r="S571" s="192"/>
      <c r="T571" s="192"/>
      <c r="U571" s="192"/>
      <c r="V571" s="192">
        <v>41304.85</v>
      </c>
      <c r="W571" s="193">
        <f>V571*12+15000</f>
        <v>510658.19999999995</v>
      </c>
    </row>
    <row r="572" spans="1:23" x14ac:dyDescent="0.2">
      <c r="A572" s="8" t="s">
        <v>392</v>
      </c>
      <c r="B572" s="7">
        <v>48</v>
      </c>
      <c r="K572" s="192">
        <v>132679.67000000001</v>
      </c>
      <c r="L572" s="193">
        <f>K572*12+48000</f>
        <v>1640156.04</v>
      </c>
      <c r="M572" s="7">
        <v>48</v>
      </c>
      <c r="N572" s="192"/>
      <c r="P572" s="192"/>
      <c r="Q572" s="192"/>
      <c r="R572" s="192"/>
      <c r="S572" s="192"/>
      <c r="T572" s="192"/>
      <c r="U572" s="192"/>
      <c r="V572" s="192">
        <v>132679.67000000001</v>
      </c>
      <c r="W572" s="193">
        <f>V572*12+48000</f>
        <v>1640156.04</v>
      </c>
    </row>
    <row r="573" spans="1:23" x14ac:dyDescent="0.2">
      <c r="A573" s="8" t="s">
        <v>439</v>
      </c>
      <c r="B573" s="7">
        <v>2</v>
      </c>
      <c r="K573" s="192">
        <v>5442.64</v>
      </c>
      <c r="L573" s="193">
        <f>K573*12+2000</f>
        <v>67311.680000000008</v>
      </c>
      <c r="M573" s="7">
        <v>2</v>
      </c>
      <c r="N573" s="192"/>
      <c r="P573" s="192"/>
      <c r="Q573" s="192"/>
      <c r="R573" s="192"/>
      <c r="S573" s="192"/>
      <c r="T573" s="192"/>
      <c r="U573" s="192"/>
      <c r="V573" s="192">
        <v>5442.64</v>
      </c>
      <c r="W573" s="193">
        <f>V573*12+2000</f>
        <v>67311.680000000008</v>
      </c>
    </row>
    <row r="574" spans="1:23" x14ac:dyDescent="0.2">
      <c r="A574" s="8" t="s">
        <v>409</v>
      </c>
      <c r="B574" s="7">
        <v>5</v>
      </c>
      <c r="K574" s="192">
        <v>13537.8</v>
      </c>
      <c r="L574" s="193">
        <f>K574*12+5000</f>
        <v>167453.59999999998</v>
      </c>
      <c r="M574" s="7">
        <v>5</v>
      </c>
      <c r="N574" s="192"/>
      <c r="P574" s="192"/>
      <c r="Q574" s="192"/>
      <c r="R574" s="192"/>
      <c r="S574" s="192"/>
      <c r="T574" s="192"/>
      <c r="U574" s="192"/>
      <c r="V574" s="192">
        <v>13537.8</v>
      </c>
      <c r="W574" s="193">
        <f>V574*12+5000</f>
        <v>167453.59999999998</v>
      </c>
    </row>
    <row r="575" spans="1:23" x14ac:dyDescent="0.2">
      <c r="A575" s="8" t="s">
        <v>440</v>
      </c>
      <c r="B575" s="7">
        <v>49</v>
      </c>
      <c r="D575" s="7">
        <v>34</v>
      </c>
      <c r="K575" s="192">
        <f>131672.72+38095.5</f>
        <v>169768.22</v>
      </c>
      <c r="L575" s="193">
        <f>K575*12+49000+20400</f>
        <v>2106618.64</v>
      </c>
      <c r="M575" s="7">
        <v>49</v>
      </c>
      <c r="N575" s="192"/>
      <c r="O575" s="7">
        <v>32</v>
      </c>
      <c r="P575" s="192"/>
      <c r="Q575" s="192"/>
      <c r="R575" s="192"/>
      <c r="S575" s="192"/>
      <c r="T575" s="192"/>
      <c r="U575" s="192"/>
      <c r="V575" s="192">
        <f>131672.72+46434</f>
        <v>178106.72</v>
      </c>
      <c r="W575" s="193">
        <f>V575*12+49000+19200</f>
        <v>2205480.64</v>
      </c>
    </row>
    <row r="576" spans="1:23" x14ac:dyDescent="0.2">
      <c r="A576" s="182" t="s">
        <v>523</v>
      </c>
      <c r="K576" s="192"/>
      <c r="L576" s="193"/>
      <c r="N576" s="192"/>
      <c r="P576" s="192"/>
      <c r="Q576" s="192"/>
      <c r="R576" s="192"/>
      <c r="S576" s="192"/>
      <c r="T576" s="192"/>
      <c r="U576" s="192"/>
      <c r="V576" s="192"/>
      <c r="W576" s="193"/>
    </row>
    <row r="577" spans="1:23" x14ac:dyDescent="0.2">
      <c r="A577" s="8" t="s">
        <v>394</v>
      </c>
      <c r="B577" s="7">
        <v>3</v>
      </c>
      <c r="K577" s="192">
        <v>8298.09</v>
      </c>
      <c r="L577" s="193">
        <f>K577*12+3000</f>
        <v>102577.08</v>
      </c>
      <c r="M577" s="7">
        <v>3</v>
      </c>
      <c r="N577" s="192"/>
      <c r="P577" s="192"/>
      <c r="Q577" s="192"/>
      <c r="R577" s="192"/>
      <c r="S577" s="192"/>
      <c r="T577" s="192"/>
      <c r="U577" s="192"/>
      <c r="V577" s="192">
        <v>8298.09</v>
      </c>
      <c r="W577" s="193">
        <f>V577*12+3000</f>
        <v>102577.08</v>
      </c>
    </row>
    <row r="578" spans="1:23" x14ac:dyDescent="0.2">
      <c r="A578" s="8" t="s">
        <v>441</v>
      </c>
      <c r="B578" s="7">
        <v>19</v>
      </c>
      <c r="K578" s="192">
        <v>51518.87</v>
      </c>
      <c r="L578" s="193">
        <f>K578*12+19000</f>
        <v>637226.44000000006</v>
      </c>
      <c r="M578" s="7">
        <v>19</v>
      </c>
      <c r="N578" s="192"/>
      <c r="P578" s="192"/>
      <c r="Q578" s="192"/>
      <c r="R578" s="192"/>
      <c r="S578" s="192"/>
      <c r="T578" s="192"/>
      <c r="U578" s="192"/>
      <c r="V578" s="192">
        <v>51518.87</v>
      </c>
      <c r="W578" s="193">
        <f>V578*12+19000</f>
        <v>637226.44000000006</v>
      </c>
    </row>
    <row r="579" spans="1:23" x14ac:dyDescent="0.2">
      <c r="A579" s="8" t="s">
        <v>442</v>
      </c>
      <c r="B579" s="7">
        <v>8</v>
      </c>
      <c r="K579" s="192">
        <v>20877.13</v>
      </c>
      <c r="L579" s="193">
        <f>K579*12+8000</f>
        <v>258525.56</v>
      </c>
      <c r="M579" s="7">
        <v>8</v>
      </c>
      <c r="N579" s="192"/>
      <c r="P579" s="192"/>
      <c r="Q579" s="192"/>
      <c r="R579" s="192"/>
      <c r="S579" s="192"/>
      <c r="T579" s="192"/>
      <c r="U579" s="192"/>
      <c r="V579" s="192">
        <v>20877.13</v>
      </c>
      <c r="W579" s="193">
        <f>V579*12+8000</f>
        <v>258525.56</v>
      </c>
    </row>
    <row r="580" spans="1:23" x14ac:dyDescent="0.2">
      <c r="A580" s="8" t="s">
        <v>443</v>
      </c>
      <c r="B580" s="7">
        <v>1</v>
      </c>
      <c r="K580" s="192">
        <v>2687.45</v>
      </c>
      <c r="L580" s="193">
        <f>K580*12+1000</f>
        <v>33249.399999999994</v>
      </c>
      <c r="M580" s="7">
        <v>1</v>
      </c>
      <c r="N580" s="192"/>
      <c r="P580" s="192"/>
      <c r="Q580" s="192"/>
      <c r="R580" s="192"/>
      <c r="S580" s="192"/>
      <c r="T580" s="192"/>
      <c r="U580" s="192"/>
      <c r="V580" s="192">
        <v>2687.45</v>
      </c>
      <c r="W580" s="193">
        <f>V580*12+1000</f>
        <v>33249.399999999994</v>
      </c>
    </row>
    <row r="581" spans="1:23" x14ac:dyDescent="0.2">
      <c r="A581" s="8" t="s">
        <v>451</v>
      </c>
      <c r="B581" s="7">
        <v>8</v>
      </c>
      <c r="D581" s="7">
        <v>31</v>
      </c>
      <c r="K581" s="192">
        <f>20917.82+33585.15</f>
        <v>54502.97</v>
      </c>
      <c r="L581" s="193">
        <f>K581*12+8000+18600</f>
        <v>680635.64</v>
      </c>
      <c r="M581" s="7">
        <v>8</v>
      </c>
      <c r="N581" s="192"/>
      <c r="O581" s="7">
        <v>37</v>
      </c>
      <c r="P581" s="192"/>
      <c r="Q581" s="192"/>
      <c r="R581" s="192"/>
      <c r="S581" s="192"/>
      <c r="T581" s="192"/>
      <c r="U581" s="192"/>
      <c r="V581" s="192">
        <f>20917.82+40299.6</f>
        <v>61217.42</v>
      </c>
      <c r="W581" s="193">
        <f>V581*12+8000+22200</f>
        <v>764809.04</v>
      </c>
    </row>
    <row r="582" spans="1:23" ht="12.75" thickBot="1" x14ac:dyDescent="0.25">
      <c r="A582" s="8"/>
      <c r="K582" s="192"/>
      <c r="L582" s="193"/>
      <c r="M582" s="192"/>
      <c r="N582" s="192"/>
      <c r="O582" s="192"/>
      <c r="P582" s="192"/>
      <c r="Q582" s="192"/>
      <c r="R582" s="192"/>
      <c r="S582" s="192"/>
      <c r="T582" s="192"/>
      <c r="U582" s="192"/>
      <c r="V582" s="192"/>
      <c r="W582" s="193"/>
    </row>
    <row r="583" spans="1:23" ht="12.75" thickBot="1" x14ac:dyDescent="0.25">
      <c r="A583" s="263" t="s">
        <v>400</v>
      </c>
      <c r="B583" s="270">
        <f>SUM(B528:B582)</f>
        <v>410</v>
      </c>
      <c r="C583" s="270"/>
      <c r="D583" s="270">
        <f>SUM(D528:D582)</f>
        <v>206</v>
      </c>
      <c r="E583" s="270"/>
      <c r="F583" s="270"/>
      <c r="G583" s="270"/>
      <c r="H583" s="270"/>
      <c r="I583" s="270"/>
      <c r="J583" s="270"/>
      <c r="K583" s="274">
        <f>SUM(K528:K582)</f>
        <v>2082307.96</v>
      </c>
      <c r="L583" s="274">
        <f>SUM(L528:L582)</f>
        <v>25521295.520000003</v>
      </c>
      <c r="M583" s="266">
        <f>SUM(M528:M582)</f>
        <v>410</v>
      </c>
      <c r="N583" s="274"/>
      <c r="O583" s="266">
        <f>SUM(O528:O582)</f>
        <v>199</v>
      </c>
      <c r="P583" s="274"/>
      <c r="Q583" s="274"/>
      <c r="R583" s="274"/>
      <c r="S583" s="274"/>
      <c r="T583" s="274"/>
      <c r="U583" s="274"/>
      <c r="V583" s="274">
        <f>SUM(V528:V582)</f>
        <v>2076110.0599999996</v>
      </c>
      <c r="W583" s="275">
        <f>SUM(W528:W582)</f>
        <v>25442720.720000003</v>
      </c>
    </row>
    <row r="585" spans="1:23" ht="12.75" thickBot="1" x14ac:dyDescent="0.25">
      <c r="A585" s="2" t="s">
        <v>524</v>
      </c>
    </row>
    <row r="586" spans="1:23" x14ac:dyDescent="0.2">
      <c r="A586" s="677" t="s">
        <v>362</v>
      </c>
      <c r="B586" s="1475" t="s">
        <v>363</v>
      </c>
      <c r="C586" s="1476"/>
      <c r="D586" s="1476"/>
      <c r="E586" s="1476"/>
      <c r="F586" s="1476"/>
      <c r="G586" s="1476"/>
      <c r="H586" s="1476"/>
      <c r="I586" s="1476"/>
      <c r="J586" s="1476"/>
      <c r="K586" s="1476"/>
      <c r="L586" s="1477"/>
      <c r="M586" s="1475" t="s">
        <v>364</v>
      </c>
      <c r="N586" s="1476"/>
      <c r="O586" s="1476"/>
      <c r="P586" s="1476"/>
      <c r="Q586" s="1476"/>
      <c r="R586" s="1476"/>
      <c r="S586" s="1476"/>
      <c r="T586" s="1476"/>
      <c r="U586" s="1476"/>
      <c r="V586" s="1476"/>
      <c r="W586" s="1477"/>
    </row>
    <row r="587" spans="1:23" ht="111" x14ac:dyDescent="0.2">
      <c r="A587" s="678" t="s">
        <v>365</v>
      </c>
      <c r="B587" s="679" t="s">
        <v>366</v>
      </c>
      <c r="C587" s="679" t="s">
        <v>367</v>
      </c>
      <c r="D587" s="680" t="s">
        <v>368</v>
      </c>
      <c r="E587" s="680" t="s">
        <v>369</v>
      </c>
      <c r="F587" s="680" t="s">
        <v>370</v>
      </c>
      <c r="G587" s="680" t="s">
        <v>371</v>
      </c>
      <c r="H587" s="680" t="s">
        <v>372</v>
      </c>
      <c r="I587" s="680" t="s">
        <v>373</v>
      </c>
      <c r="J587" s="681" t="s">
        <v>374</v>
      </c>
      <c r="K587" s="682" t="s">
        <v>375</v>
      </c>
      <c r="L587" s="683" t="s">
        <v>376</v>
      </c>
      <c r="M587" s="679" t="s">
        <v>366</v>
      </c>
      <c r="N587" s="679" t="s">
        <v>367</v>
      </c>
      <c r="O587" s="680" t="s">
        <v>368</v>
      </c>
      <c r="P587" s="680" t="s">
        <v>369</v>
      </c>
      <c r="Q587" s="680" t="s">
        <v>370</v>
      </c>
      <c r="R587" s="680" t="s">
        <v>371</v>
      </c>
      <c r="S587" s="680" t="s">
        <v>372</v>
      </c>
      <c r="T587" s="680" t="s">
        <v>373</v>
      </c>
      <c r="U587" s="681" t="s">
        <v>374</v>
      </c>
      <c r="V587" s="682" t="s">
        <v>375</v>
      </c>
      <c r="W587" s="683" t="s">
        <v>377</v>
      </c>
    </row>
    <row r="588" spans="1:23" x14ac:dyDescent="0.2">
      <c r="A588" s="8"/>
      <c r="L588" s="11"/>
      <c r="W588" s="11"/>
    </row>
    <row r="589" spans="1:23" x14ac:dyDescent="0.2">
      <c r="A589" s="9" t="s">
        <v>378</v>
      </c>
      <c r="B589" s="161"/>
      <c r="C589" s="161"/>
      <c r="D589" s="161"/>
      <c r="E589" s="161"/>
      <c r="F589" s="161"/>
      <c r="G589" s="161"/>
      <c r="H589" s="161"/>
      <c r="I589" s="161"/>
      <c r="J589" s="161"/>
      <c r="K589" s="161"/>
      <c r="L589" s="10"/>
      <c r="M589" s="161"/>
      <c r="N589" s="161"/>
      <c r="O589" s="161"/>
      <c r="P589" s="161"/>
      <c r="Q589" s="161"/>
      <c r="R589" s="161"/>
      <c r="S589" s="161"/>
      <c r="T589" s="161"/>
      <c r="U589" s="161"/>
      <c r="V589" s="161"/>
      <c r="W589" s="10"/>
    </row>
    <row r="590" spans="1:23" x14ac:dyDescent="0.2">
      <c r="A590" s="8" t="s">
        <v>402</v>
      </c>
      <c r="L590" s="11"/>
      <c r="W590" s="11"/>
    </row>
    <row r="591" spans="1:23" x14ac:dyDescent="0.2">
      <c r="A591" s="8" t="s">
        <v>381</v>
      </c>
      <c r="K591" s="7">
        <f>+B591+C591+D591</f>
        <v>0</v>
      </c>
      <c r="L591" s="199"/>
      <c r="W591" s="199"/>
    </row>
    <row r="592" spans="1:23" x14ac:dyDescent="0.2">
      <c r="A592" s="8" t="s">
        <v>382</v>
      </c>
      <c r="B592" s="7">
        <v>4</v>
      </c>
      <c r="K592" s="7">
        <f>+B592+C592+D592</f>
        <v>4</v>
      </c>
      <c r="L592" s="238">
        <v>200707.36</v>
      </c>
      <c r="M592" s="7">
        <v>4</v>
      </c>
      <c r="V592" s="7">
        <f>+M592+N592+O592</f>
        <v>4</v>
      </c>
      <c r="W592" s="199">
        <f>+L592</f>
        <v>200707.36</v>
      </c>
    </row>
    <row r="593" spans="1:23" x14ac:dyDescent="0.2">
      <c r="A593" s="8" t="s">
        <v>403</v>
      </c>
      <c r="L593" s="11"/>
      <c r="W593" s="11"/>
    </row>
    <row r="594" spans="1:23" x14ac:dyDescent="0.2">
      <c r="A594" s="8" t="s">
        <v>403</v>
      </c>
      <c r="L594" s="11"/>
      <c r="W594" s="11"/>
    </row>
    <row r="595" spans="1:23" x14ac:dyDescent="0.2">
      <c r="A595" s="8" t="s">
        <v>406</v>
      </c>
      <c r="L595" s="11"/>
      <c r="W595" s="11"/>
    </row>
    <row r="596" spans="1:23" x14ac:dyDescent="0.2">
      <c r="A596" s="302"/>
      <c r="L596" s="11"/>
      <c r="W596" s="11"/>
    </row>
    <row r="597" spans="1:23" x14ac:dyDescent="0.2">
      <c r="A597" s="9" t="s">
        <v>385</v>
      </c>
      <c r="B597" s="161"/>
      <c r="C597" s="161"/>
      <c r="D597" s="161"/>
      <c r="E597" s="161"/>
      <c r="F597" s="161"/>
      <c r="G597" s="161"/>
      <c r="H597" s="161"/>
      <c r="I597" s="161"/>
      <c r="J597" s="161"/>
      <c r="K597" s="161"/>
      <c r="L597" s="10"/>
      <c r="M597" s="161"/>
      <c r="N597" s="161"/>
      <c r="O597" s="161"/>
      <c r="P597" s="161"/>
      <c r="Q597" s="161"/>
      <c r="R597" s="161"/>
      <c r="S597" s="161"/>
      <c r="T597" s="161"/>
      <c r="U597" s="161"/>
      <c r="V597" s="161"/>
      <c r="W597" s="10"/>
    </row>
    <row r="598" spans="1:23" x14ac:dyDescent="0.2">
      <c r="A598" s="8" t="s">
        <v>386</v>
      </c>
      <c r="B598" s="7">
        <v>2</v>
      </c>
      <c r="K598" s="7">
        <f t="shared" ref="K598:K601" si="77">+B598+C598+D598</f>
        <v>2</v>
      </c>
      <c r="L598" s="206">
        <v>88951.28</v>
      </c>
      <c r="M598" s="7">
        <v>2</v>
      </c>
      <c r="V598" s="7">
        <f t="shared" ref="V598:V601" si="78">+M598+N598+O598</f>
        <v>2</v>
      </c>
      <c r="W598" s="199">
        <f>+L598</f>
        <v>88951.28</v>
      </c>
    </row>
    <row r="599" spans="1:23" x14ac:dyDescent="0.2">
      <c r="A599" s="8" t="s">
        <v>387</v>
      </c>
      <c r="B599" s="7">
        <v>0</v>
      </c>
      <c r="K599" s="7">
        <f t="shared" si="77"/>
        <v>0</v>
      </c>
      <c r="L599" s="206"/>
      <c r="M599" s="7">
        <v>4</v>
      </c>
      <c r="V599" s="7">
        <f t="shared" si="78"/>
        <v>4</v>
      </c>
      <c r="W599" s="199">
        <f>102686+68299.2</f>
        <v>170985.2</v>
      </c>
    </row>
    <row r="600" spans="1:23" x14ac:dyDescent="0.2">
      <c r="A600" s="8" t="s">
        <v>388</v>
      </c>
      <c r="B600" s="7">
        <v>0</v>
      </c>
      <c r="K600" s="7">
        <f t="shared" si="77"/>
        <v>0</v>
      </c>
      <c r="L600" s="206"/>
      <c r="M600" s="7">
        <v>5</v>
      </c>
      <c r="V600" s="7">
        <f t="shared" si="78"/>
        <v>5</v>
      </c>
      <c r="W600" s="199">
        <f>124777+34149.6</f>
        <v>158926.6</v>
      </c>
    </row>
    <row r="601" spans="1:23" x14ac:dyDescent="0.2">
      <c r="A601" s="8" t="s">
        <v>408</v>
      </c>
      <c r="B601" s="7">
        <v>15</v>
      </c>
      <c r="K601" s="7">
        <f t="shared" si="77"/>
        <v>15</v>
      </c>
      <c r="L601" s="206">
        <v>628146.6</v>
      </c>
      <c r="M601" s="7">
        <v>15</v>
      </c>
      <c r="V601" s="7">
        <f t="shared" si="78"/>
        <v>15</v>
      </c>
      <c r="W601" s="199">
        <f>+L601</f>
        <v>628146.6</v>
      </c>
    </row>
    <row r="602" spans="1:23" x14ac:dyDescent="0.2">
      <c r="A602" s="8"/>
      <c r="L602" s="175"/>
      <c r="W602" s="11"/>
    </row>
    <row r="603" spans="1:23" x14ac:dyDescent="0.2">
      <c r="A603" s="9" t="s">
        <v>389</v>
      </c>
      <c r="B603" s="161"/>
      <c r="C603" s="161"/>
      <c r="D603" s="161"/>
      <c r="E603" s="161"/>
      <c r="F603" s="161"/>
      <c r="G603" s="161"/>
      <c r="H603" s="161"/>
      <c r="I603" s="161"/>
      <c r="J603" s="161"/>
      <c r="K603" s="161"/>
      <c r="L603" s="174"/>
      <c r="M603" s="161"/>
      <c r="N603" s="161"/>
      <c r="O603" s="161"/>
      <c r="P603" s="161"/>
      <c r="Q603" s="161"/>
      <c r="R603" s="161"/>
      <c r="S603" s="161"/>
      <c r="T603" s="161"/>
      <c r="U603" s="161"/>
      <c r="V603" s="161"/>
      <c r="W603" s="10"/>
    </row>
    <row r="604" spans="1:23" x14ac:dyDescent="0.2">
      <c r="A604" s="8" t="s">
        <v>390</v>
      </c>
      <c r="B604" s="7">
        <v>33</v>
      </c>
      <c r="K604" s="7">
        <f t="shared" ref="K604:K609" si="79">+B604+C604+D604</f>
        <v>33</v>
      </c>
      <c r="L604" s="206">
        <v>355220.28</v>
      </c>
      <c r="M604" s="7">
        <v>33</v>
      </c>
      <c r="V604" s="7">
        <f t="shared" ref="V604:V609" si="80">+M604+N604+O604</f>
        <v>33</v>
      </c>
      <c r="W604" s="199">
        <f t="shared" ref="W604:W609" si="81">+L604</f>
        <v>355220.28</v>
      </c>
    </row>
    <row r="605" spans="1:23" x14ac:dyDescent="0.2">
      <c r="A605" s="8" t="s">
        <v>391</v>
      </c>
      <c r="B605" s="7">
        <v>5</v>
      </c>
      <c r="K605" s="7">
        <f t="shared" si="79"/>
        <v>5</v>
      </c>
      <c r="L605" s="206">
        <v>152386</v>
      </c>
      <c r="M605" s="7">
        <v>5</v>
      </c>
      <c r="V605" s="7">
        <f t="shared" si="80"/>
        <v>5</v>
      </c>
      <c r="W605" s="199">
        <f t="shared" si="81"/>
        <v>152386</v>
      </c>
    </row>
    <row r="606" spans="1:23" x14ac:dyDescent="0.2">
      <c r="A606" s="8" t="s">
        <v>392</v>
      </c>
      <c r="B606" s="7">
        <v>18</v>
      </c>
      <c r="K606" s="7">
        <f t="shared" si="79"/>
        <v>18</v>
      </c>
      <c r="L606" s="206">
        <v>232624</v>
      </c>
      <c r="M606" s="7">
        <v>19</v>
      </c>
      <c r="V606" s="7">
        <f t="shared" si="80"/>
        <v>19</v>
      </c>
      <c r="W606" s="199">
        <f t="shared" si="81"/>
        <v>232624</v>
      </c>
    </row>
    <row r="607" spans="1:23" x14ac:dyDescent="0.2">
      <c r="A607" s="8" t="s">
        <v>439</v>
      </c>
      <c r="B607" s="7">
        <v>1</v>
      </c>
      <c r="K607" s="7">
        <f t="shared" si="79"/>
        <v>1</v>
      </c>
      <c r="L607" s="206">
        <v>22906.84</v>
      </c>
      <c r="M607" s="7">
        <v>1</v>
      </c>
      <c r="V607" s="7">
        <f t="shared" si="80"/>
        <v>1</v>
      </c>
      <c r="W607" s="199">
        <f t="shared" si="81"/>
        <v>22906.84</v>
      </c>
    </row>
    <row r="608" spans="1:23" x14ac:dyDescent="0.2">
      <c r="A608" s="8" t="s">
        <v>409</v>
      </c>
      <c r="B608" s="7">
        <v>51</v>
      </c>
      <c r="K608" s="7">
        <f t="shared" si="79"/>
        <v>51</v>
      </c>
      <c r="L608" s="206">
        <v>749367.96</v>
      </c>
      <c r="M608" s="7">
        <v>52</v>
      </c>
      <c r="V608" s="7">
        <f t="shared" si="80"/>
        <v>52</v>
      </c>
      <c r="W608" s="199">
        <f t="shared" si="81"/>
        <v>749367.96</v>
      </c>
    </row>
    <row r="609" spans="1:23" x14ac:dyDescent="0.2">
      <c r="A609" s="8" t="s">
        <v>440</v>
      </c>
      <c r="B609" s="7">
        <v>1</v>
      </c>
      <c r="K609" s="7">
        <f t="shared" si="79"/>
        <v>1</v>
      </c>
      <c r="L609" s="206">
        <v>23199.52</v>
      </c>
      <c r="M609" s="7">
        <v>1</v>
      </c>
      <c r="V609" s="7">
        <f t="shared" si="80"/>
        <v>1</v>
      </c>
      <c r="W609" s="199">
        <f t="shared" si="81"/>
        <v>23199.52</v>
      </c>
    </row>
    <row r="610" spans="1:23" x14ac:dyDescent="0.2">
      <c r="A610" s="9" t="s">
        <v>393</v>
      </c>
      <c r="B610" s="161"/>
      <c r="C610" s="161"/>
      <c r="D610" s="161"/>
      <c r="E610" s="161"/>
      <c r="F610" s="161"/>
      <c r="G610" s="161"/>
      <c r="H610" s="161"/>
      <c r="I610" s="161"/>
      <c r="J610" s="161"/>
      <c r="K610" s="161"/>
      <c r="L610" s="174"/>
      <c r="M610" s="161"/>
      <c r="N610" s="161"/>
      <c r="O610" s="161"/>
      <c r="P610" s="161"/>
      <c r="Q610" s="161"/>
      <c r="R610" s="161"/>
      <c r="S610" s="161"/>
      <c r="T610" s="161"/>
      <c r="U610" s="161"/>
      <c r="V610" s="161"/>
      <c r="W610" s="10"/>
    </row>
    <row r="611" spans="1:23" x14ac:dyDescent="0.2">
      <c r="A611" s="8" t="s">
        <v>394</v>
      </c>
      <c r="B611" s="7">
        <v>7</v>
      </c>
      <c r="K611" s="7">
        <f t="shared" ref="K611" si="82">+B611+C611+D611</f>
        <v>7</v>
      </c>
      <c r="L611" s="206">
        <v>68333.16</v>
      </c>
      <c r="M611" s="7">
        <v>8</v>
      </c>
      <c r="N611" s="7">
        <v>1</v>
      </c>
      <c r="V611" s="7">
        <f>+M611+N611+O611</f>
        <v>9</v>
      </c>
      <c r="W611" s="199">
        <f>80193+18861.12</f>
        <v>99054.12</v>
      </c>
    </row>
    <row r="612" spans="1:23" x14ac:dyDescent="0.2">
      <c r="A612" s="8" t="s">
        <v>441</v>
      </c>
      <c r="B612" s="7">
        <v>29</v>
      </c>
      <c r="K612" s="7">
        <v>29</v>
      </c>
      <c r="L612" s="206">
        <v>456490.4</v>
      </c>
      <c r="M612" s="7">
        <v>31</v>
      </c>
      <c r="V612" s="7">
        <v>31</v>
      </c>
      <c r="W612" s="199">
        <f>+L612</f>
        <v>456490.4</v>
      </c>
    </row>
    <row r="613" spans="1:23" x14ac:dyDescent="0.2">
      <c r="A613" s="8" t="s">
        <v>442</v>
      </c>
      <c r="B613" s="7">
        <v>5</v>
      </c>
      <c r="K613" s="7">
        <f t="shared" ref="K613" si="83">+B613+C613+D613</f>
        <v>5</v>
      </c>
      <c r="L613" s="206">
        <v>45305.599999999999</v>
      </c>
      <c r="M613" s="7">
        <v>6</v>
      </c>
      <c r="N613" s="7">
        <v>1</v>
      </c>
      <c r="V613" s="7">
        <f t="shared" ref="V613" si="84">+M613+N613+O613</f>
        <v>7</v>
      </c>
      <c r="W613" s="199">
        <f>80193+18861.12</f>
        <v>99054.12</v>
      </c>
    </row>
    <row r="614" spans="1:23" x14ac:dyDescent="0.2">
      <c r="A614" s="8" t="s">
        <v>443</v>
      </c>
      <c r="B614" s="7">
        <v>13</v>
      </c>
      <c r="K614" s="7">
        <v>13</v>
      </c>
      <c r="L614" s="175">
        <v>226261.6</v>
      </c>
      <c r="M614" s="7">
        <v>14</v>
      </c>
      <c r="V614" s="7">
        <v>14</v>
      </c>
      <c r="W614" s="175">
        <f>+L614</f>
        <v>226261.6</v>
      </c>
    </row>
    <row r="615" spans="1:23" x14ac:dyDescent="0.2">
      <c r="A615" s="8" t="s">
        <v>410</v>
      </c>
      <c r="B615" s="7">
        <v>348</v>
      </c>
      <c r="K615" s="7">
        <v>348</v>
      </c>
      <c r="L615" s="175">
        <v>5992192.6399999997</v>
      </c>
      <c r="M615" s="7">
        <v>350</v>
      </c>
      <c r="V615" s="7">
        <v>350</v>
      </c>
      <c r="W615" s="175">
        <f>+L615</f>
        <v>5992192.6399999997</v>
      </c>
    </row>
    <row r="616" spans="1:23" ht="12.75" thickBot="1" x14ac:dyDescent="0.25">
      <c r="A616" s="8"/>
      <c r="L616" s="11"/>
      <c r="W616" s="11"/>
    </row>
    <row r="617" spans="1:23" ht="12.75" thickBot="1" x14ac:dyDescent="0.25">
      <c r="A617" s="12" t="s">
        <v>400</v>
      </c>
      <c r="B617" s="13">
        <f>SUM(B590:B616)</f>
        <v>532</v>
      </c>
      <c r="C617" s="13"/>
      <c r="D617" s="13"/>
      <c r="E617" s="13"/>
      <c r="F617" s="13"/>
      <c r="G617" s="13"/>
      <c r="H617" s="13"/>
      <c r="I617" s="13"/>
      <c r="J617" s="13"/>
      <c r="K617" s="13">
        <f>SUM(K590:K616)</f>
        <v>532</v>
      </c>
      <c r="L617" s="239">
        <f>SUM(L592:L616)</f>
        <v>9242093.2400000002</v>
      </c>
      <c r="M617" s="13">
        <f>SUM(M590:M616)</f>
        <v>550</v>
      </c>
      <c r="N617" s="13">
        <f>SUM(N591:N616)</f>
        <v>2</v>
      </c>
      <c r="O617" s="13"/>
      <c r="P617" s="13"/>
      <c r="Q617" s="13"/>
      <c r="R617" s="13"/>
      <c r="S617" s="13"/>
      <c r="T617" s="13"/>
      <c r="U617" s="13"/>
      <c r="V617" s="13"/>
      <c r="W617" s="240">
        <f>SUM(W592:W616)</f>
        <v>9656474.5199999996</v>
      </c>
    </row>
    <row r="619" spans="1:23" ht="12.75" thickBot="1" x14ac:dyDescent="0.25">
      <c r="A619" s="257" t="s">
        <v>525</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x14ac:dyDescent="0.2">
      <c r="A620" s="646" t="s">
        <v>362</v>
      </c>
      <c r="B620" s="1470" t="s">
        <v>526</v>
      </c>
      <c r="C620" s="1471"/>
      <c r="D620" s="1471"/>
      <c r="E620" s="1471"/>
      <c r="F620" s="1471"/>
      <c r="G620" s="1471"/>
      <c r="H620" s="1471"/>
      <c r="I620" s="1471"/>
      <c r="J620" s="1471"/>
      <c r="K620" s="1471"/>
      <c r="L620" s="1472"/>
      <c r="M620" s="1470" t="s">
        <v>363</v>
      </c>
      <c r="N620" s="1471"/>
      <c r="O620" s="1471"/>
      <c r="P620" s="1471"/>
      <c r="Q620" s="1471"/>
      <c r="R620" s="1471"/>
      <c r="S620" s="1471"/>
      <c r="T620" s="1471"/>
      <c r="U620" s="1471"/>
      <c r="V620" s="1471"/>
      <c r="W620" s="1472"/>
    </row>
    <row r="621" spans="1:23" ht="108" x14ac:dyDescent="0.2">
      <c r="A621" s="647" t="s">
        <v>365</v>
      </c>
      <c r="B621" s="684" t="s">
        <v>366</v>
      </c>
      <c r="C621" s="684" t="s">
        <v>367</v>
      </c>
      <c r="D621" s="685" t="s">
        <v>527</v>
      </c>
      <c r="E621" s="685" t="s">
        <v>369</v>
      </c>
      <c r="F621" s="685" t="s">
        <v>370</v>
      </c>
      <c r="G621" s="685" t="s">
        <v>371</v>
      </c>
      <c r="H621" s="685" t="s">
        <v>372</v>
      </c>
      <c r="I621" s="685" t="s">
        <v>373</v>
      </c>
      <c r="J621" s="650" t="s">
        <v>374</v>
      </c>
      <c r="K621" s="651" t="s">
        <v>528</v>
      </c>
      <c r="L621" s="652" t="s">
        <v>529</v>
      </c>
      <c r="M621" s="684" t="s">
        <v>366</v>
      </c>
      <c r="N621" s="684" t="s">
        <v>367</v>
      </c>
      <c r="O621" s="685" t="s">
        <v>368</v>
      </c>
      <c r="P621" s="685" t="s">
        <v>369</v>
      </c>
      <c r="Q621" s="685" t="s">
        <v>370</v>
      </c>
      <c r="R621" s="685" t="s">
        <v>371</v>
      </c>
      <c r="S621" s="685" t="s">
        <v>372</v>
      </c>
      <c r="T621" s="649" t="s">
        <v>373</v>
      </c>
      <c r="U621" s="650" t="s">
        <v>374</v>
      </c>
      <c r="V621" s="651" t="s">
        <v>375</v>
      </c>
      <c r="W621" s="652" t="s">
        <v>376</v>
      </c>
    </row>
    <row r="622" spans="1:23" x14ac:dyDescent="0.2">
      <c r="A622" s="8"/>
      <c r="L622" s="11"/>
      <c r="W622" s="11"/>
    </row>
    <row r="623" spans="1:23" x14ac:dyDescent="0.2">
      <c r="A623" s="9" t="s">
        <v>378</v>
      </c>
      <c r="B623" s="161">
        <f>SUM(B624:B624)</f>
        <v>2</v>
      </c>
      <c r="C623" s="161"/>
      <c r="D623" s="161">
        <f>SUM(D624:D624)</f>
        <v>0</v>
      </c>
      <c r="E623" s="161"/>
      <c r="F623" s="161"/>
      <c r="G623" s="161"/>
      <c r="H623" s="161"/>
      <c r="I623" s="161"/>
      <c r="J623" s="161"/>
      <c r="K623" s="161">
        <f>SUM(B623:J623)</f>
        <v>2</v>
      </c>
      <c r="L623" s="174">
        <f>SUM(L624)</f>
        <v>103067.12</v>
      </c>
      <c r="M623" s="161">
        <f>SUM(M624:M624)</f>
        <v>2</v>
      </c>
      <c r="N623" s="161"/>
      <c r="O623" s="161">
        <f t="shared" ref="O623" si="85">SUM(O624:O624)</f>
        <v>0</v>
      </c>
      <c r="P623" s="161"/>
      <c r="Q623" s="161"/>
      <c r="R623" s="161"/>
      <c r="S623" s="161"/>
      <c r="T623" s="161"/>
      <c r="U623" s="161"/>
      <c r="V623" s="161">
        <f>SUM(M623:U623)</f>
        <v>2</v>
      </c>
      <c r="W623" s="10">
        <f>SUM(W624)</f>
        <v>154600.68</v>
      </c>
    </row>
    <row r="624" spans="1:23" x14ac:dyDescent="0.2">
      <c r="A624" s="8" t="s">
        <v>382</v>
      </c>
      <c r="B624" s="7">
        <v>2</v>
      </c>
      <c r="K624" s="7">
        <f>SUM(B624:J624)</f>
        <v>2</v>
      </c>
      <c r="L624" s="175">
        <v>103067.12</v>
      </c>
      <c r="M624" s="7">
        <v>2</v>
      </c>
      <c r="V624" s="7">
        <f>SUM(M624:U624)</f>
        <v>2</v>
      </c>
      <c r="W624" s="175">
        <v>154600.68</v>
      </c>
    </row>
    <row r="625" spans="1:23" x14ac:dyDescent="0.2">
      <c r="A625" s="302"/>
      <c r="L625" s="175"/>
      <c r="W625" s="11"/>
    </row>
    <row r="626" spans="1:23" x14ac:dyDescent="0.2">
      <c r="A626" s="9" t="s">
        <v>385</v>
      </c>
      <c r="B626" s="161">
        <f>SUM(B627:B627)</f>
        <v>6</v>
      </c>
      <c r="C626" s="161"/>
      <c r="D626" s="161">
        <f>SUM(D627:D627)</f>
        <v>15</v>
      </c>
      <c r="E626" s="161"/>
      <c r="F626" s="161"/>
      <c r="G626" s="161"/>
      <c r="H626" s="161"/>
      <c r="I626" s="161"/>
      <c r="J626" s="161"/>
      <c r="K626" s="161">
        <f>SUM(K627:K627)</f>
        <v>21</v>
      </c>
      <c r="L626" s="174">
        <f>SUM(L627:L627)</f>
        <v>527583.17000000004</v>
      </c>
      <c r="M626" s="161">
        <f>SUM(M627:M627)</f>
        <v>6</v>
      </c>
      <c r="N626" s="161"/>
      <c r="O626" s="161">
        <f>SUM(O627:O627)</f>
        <v>23</v>
      </c>
      <c r="P626" s="161"/>
      <c r="Q626" s="161"/>
      <c r="R626" s="161"/>
      <c r="S626" s="161"/>
      <c r="T626" s="161"/>
      <c r="U626" s="161"/>
      <c r="V626" s="161">
        <f>SUM(V627:V627)</f>
        <v>29</v>
      </c>
      <c r="W626" s="10">
        <f>SUM(W627:W627)</f>
        <v>520507.32</v>
      </c>
    </row>
    <row r="627" spans="1:23" x14ac:dyDescent="0.2">
      <c r="A627" s="8" t="s">
        <v>408</v>
      </c>
      <c r="B627" s="7">
        <v>6</v>
      </c>
      <c r="D627" s="7">
        <v>15</v>
      </c>
      <c r="K627" s="7">
        <f>SUM(B627:J627)</f>
        <v>21</v>
      </c>
      <c r="L627" s="175">
        <f>224529.84+303053.33</f>
        <v>527583.17000000004</v>
      </c>
      <c r="M627" s="7">
        <v>6</v>
      </c>
      <c r="O627" s="7">
        <v>23</v>
      </c>
      <c r="V627" s="7">
        <f>SUM(M627:U627)</f>
        <v>29</v>
      </c>
      <c r="W627" s="175">
        <f>220507.32+300000</f>
        <v>520507.32</v>
      </c>
    </row>
    <row r="628" spans="1:23" x14ac:dyDescent="0.2">
      <c r="A628" s="8"/>
      <c r="L628" s="175"/>
      <c r="W628" s="11"/>
    </row>
    <row r="629" spans="1:23" x14ac:dyDescent="0.2">
      <c r="A629" s="9" t="s">
        <v>389</v>
      </c>
      <c r="B629" s="161">
        <f>SUM(B630:B632)</f>
        <v>14</v>
      </c>
      <c r="C629" s="161"/>
      <c r="D629" s="161">
        <f>SUM(D630:D632)</f>
        <v>0</v>
      </c>
      <c r="E629" s="161"/>
      <c r="F629" s="161"/>
      <c r="G629" s="161"/>
      <c r="H629" s="161"/>
      <c r="I629" s="161"/>
      <c r="J629" s="161"/>
      <c r="K629" s="161">
        <f>SUM(K630:K632)</f>
        <v>14</v>
      </c>
      <c r="L629" s="174">
        <f>SUM(L630:L632)</f>
        <v>475221.43999999994</v>
      </c>
      <c r="M629" s="161">
        <f>SUM(M630:M632)</f>
        <v>14</v>
      </c>
      <c r="N629" s="161"/>
      <c r="O629" s="161">
        <f>SUM(O630:O632)</f>
        <v>0</v>
      </c>
      <c r="P629" s="161"/>
      <c r="Q629" s="161"/>
      <c r="R629" s="161"/>
      <c r="S629" s="161"/>
      <c r="T629" s="161"/>
      <c r="U629" s="161"/>
      <c r="V629" s="161">
        <f>SUM(V630:V632)</f>
        <v>14</v>
      </c>
      <c r="W629" s="10">
        <f>SUM(W630:W632)</f>
        <v>475451.83999999997</v>
      </c>
    </row>
    <row r="630" spans="1:23" x14ac:dyDescent="0.2">
      <c r="A630" s="8" t="s">
        <v>391</v>
      </c>
      <c r="B630" s="7">
        <v>2</v>
      </c>
      <c r="K630" s="7">
        <f t="shared" ref="K630:K631" si="86">SUM(B630:J630)</f>
        <v>2</v>
      </c>
      <c r="L630" s="175">
        <v>70624.88</v>
      </c>
      <c r="M630" s="7">
        <v>2</v>
      </c>
      <c r="V630" s="7">
        <f t="shared" ref="V630:V631" si="87">SUM(M630:U630)</f>
        <v>2</v>
      </c>
      <c r="W630" s="175">
        <v>70624.88</v>
      </c>
    </row>
    <row r="631" spans="1:23" x14ac:dyDescent="0.2">
      <c r="A631" s="8" t="s">
        <v>392</v>
      </c>
      <c r="B631" s="7">
        <v>2</v>
      </c>
      <c r="K631" s="7">
        <f t="shared" si="86"/>
        <v>2</v>
      </c>
      <c r="L631" s="175">
        <v>68279.600000000006</v>
      </c>
      <c r="M631" s="7">
        <v>2</v>
      </c>
      <c r="V631" s="7">
        <f t="shared" si="87"/>
        <v>2</v>
      </c>
      <c r="W631" s="175">
        <v>68510</v>
      </c>
    </row>
    <row r="632" spans="1:23" x14ac:dyDescent="0.2">
      <c r="A632" s="8" t="s">
        <v>409</v>
      </c>
      <c r="B632" s="7">
        <v>10</v>
      </c>
      <c r="K632" s="7">
        <f>SUM(B632:J632)</f>
        <v>10</v>
      </c>
      <c r="L632" s="175">
        <v>336316.95999999996</v>
      </c>
      <c r="M632" s="7">
        <v>10</v>
      </c>
      <c r="V632" s="7">
        <f>SUM(M632:U632)</f>
        <v>10</v>
      </c>
      <c r="W632" s="175">
        <v>336316.95999999996</v>
      </c>
    </row>
    <row r="633" spans="1:23" x14ac:dyDescent="0.2">
      <c r="A633" s="8"/>
      <c r="L633" s="175"/>
      <c r="W633" s="175"/>
    </row>
    <row r="634" spans="1:23" x14ac:dyDescent="0.2">
      <c r="A634" s="9" t="s">
        <v>393</v>
      </c>
      <c r="B634" s="161">
        <f>SUM(B635:B636)</f>
        <v>14</v>
      </c>
      <c r="C634" s="161"/>
      <c r="D634" s="161">
        <f>SUM(D635:D636)</f>
        <v>0</v>
      </c>
      <c r="E634" s="161"/>
      <c r="F634" s="161"/>
      <c r="G634" s="161"/>
      <c r="H634" s="161"/>
      <c r="I634" s="161"/>
      <c r="J634" s="161"/>
      <c r="K634" s="161">
        <f>SUM(K635:K636)</f>
        <v>14</v>
      </c>
      <c r="L634" s="174">
        <f>SUM(L635:L636)</f>
        <v>460323.68000000005</v>
      </c>
      <c r="M634" s="161">
        <f>SUM(M635:M636)</f>
        <v>14</v>
      </c>
      <c r="N634" s="161"/>
      <c r="O634" s="161">
        <f>SUM(O635:O636)</f>
        <v>0</v>
      </c>
      <c r="P634" s="161"/>
      <c r="Q634" s="161"/>
      <c r="R634" s="161"/>
      <c r="S634" s="161"/>
      <c r="T634" s="161"/>
      <c r="U634" s="161"/>
      <c r="V634" s="161">
        <f>SUM(V635:V636)</f>
        <v>14</v>
      </c>
      <c r="W634" s="10">
        <f>SUM(W635:W636)</f>
        <v>460323.68</v>
      </c>
    </row>
    <row r="635" spans="1:23" x14ac:dyDescent="0.2">
      <c r="A635" s="8" t="s">
        <v>443</v>
      </c>
      <c r="B635" s="7">
        <v>3</v>
      </c>
      <c r="K635" s="7">
        <f>SUM(B635:J635)</f>
        <v>3</v>
      </c>
      <c r="L635" s="175">
        <v>99206.400000000009</v>
      </c>
      <c r="M635" s="7">
        <v>3</v>
      </c>
      <c r="V635" s="7">
        <f>SUM(M635:U635)</f>
        <v>3</v>
      </c>
      <c r="W635" s="175">
        <v>99206.400000000009</v>
      </c>
    </row>
    <row r="636" spans="1:23" x14ac:dyDescent="0.2">
      <c r="A636" s="8" t="s">
        <v>410</v>
      </c>
      <c r="B636" s="7">
        <v>11</v>
      </c>
      <c r="K636" s="7">
        <f>SUM(B636:J636)</f>
        <v>11</v>
      </c>
      <c r="L636" s="175">
        <v>361117.28</v>
      </c>
      <c r="M636" s="7">
        <v>11</v>
      </c>
      <c r="V636" s="7">
        <f>SUM(M636:U636)</f>
        <v>11</v>
      </c>
      <c r="W636" s="175">
        <v>361117.27999999997</v>
      </c>
    </row>
    <row r="637" spans="1:23" ht="12.75" thickBot="1" x14ac:dyDescent="0.25">
      <c r="A637" s="8"/>
      <c r="L637" s="175"/>
      <c r="W637" s="11"/>
    </row>
    <row r="638" spans="1:23" ht="12.75" thickBot="1" x14ac:dyDescent="0.25">
      <c r="A638" s="263" t="s">
        <v>400</v>
      </c>
      <c r="B638" s="270">
        <f>+B623+B626+B629+B634</f>
        <v>36</v>
      </c>
      <c r="C638" s="270"/>
      <c r="D638" s="270">
        <f>+D623+D626+D629+D634</f>
        <v>15</v>
      </c>
      <c r="E638" s="270"/>
      <c r="F638" s="270"/>
      <c r="G638" s="270"/>
      <c r="H638" s="270"/>
      <c r="I638" s="270"/>
      <c r="J638" s="270"/>
      <c r="K638" s="270">
        <f>+K623+K626+K629+K634</f>
        <v>51</v>
      </c>
      <c r="L638" s="289">
        <f>+L623+L626+L629+L634</f>
        <v>1566195.4100000001</v>
      </c>
      <c r="M638" s="270">
        <f>+M623+M626+M629+M634</f>
        <v>36</v>
      </c>
      <c r="N638" s="270"/>
      <c r="O638" s="270">
        <f>+O623+O626+O629+O634</f>
        <v>23</v>
      </c>
      <c r="P638" s="270"/>
      <c r="Q638" s="270"/>
      <c r="R638" s="270"/>
      <c r="S638" s="270"/>
      <c r="T638" s="270"/>
      <c r="U638" s="270"/>
      <c r="V638" s="270">
        <f>+V623+V626+V629+V634</f>
        <v>59</v>
      </c>
      <c r="W638" s="289">
        <f>+W623+W626+W629+W634</f>
        <v>1610883.5199999998</v>
      </c>
    </row>
    <row r="641" spans="1:23" ht="12.75" thickBot="1" x14ac:dyDescent="0.25">
      <c r="A641" s="257" t="s">
        <v>530</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x14ac:dyDescent="0.2">
      <c r="A642" s="646" t="s">
        <v>362</v>
      </c>
      <c r="B642" s="1470" t="s">
        <v>363</v>
      </c>
      <c r="C642" s="1471"/>
      <c r="D642" s="1471"/>
      <c r="E642" s="1471"/>
      <c r="F642" s="1471"/>
      <c r="G642" s="1471"/>
      <c r="H642" s="1471"/>
      <c r="I642" s="1471"/>
      <c r="J642" s="1471"/>
      <c r="K642" s="1471"/>
      <c r="L642" s="1472"/>
      <c r="M642" s="1470" t="s">
        <v>364</v>
      </c>
      <c r="N642" s="1471"/>
      <c r="O642" s="1471"/>
      <c r="P642" s="1471"/>
      <c r="Q642" s="1471"/>
      <c r="R642" s="1471"/>
      <c r="S642" s="1471"/>
      <c r="T642" s="1471"/>
      <c r="U642" s="1471"/>
      <c r="V642" s="1471"/>
      <c r="W642" s="1472"/>
    </row>
    <row r="643" spans="1:23" ht="111" x14ac:dyDescent="0.2">
      <c r="A643" s="647" t="s">
        <v>365</v>
      </c>
      <c r="B643" s="648" t="s">
        <v>366</v>
      </c>
      <c r="C643" s="648" t="s">
        <v>367</v>
      </c>
      <c r="D643" s="649" t="s">
        <v>368</v>
      </c>
      <c r="E643" s="649" t="s">
        <v>369</v>
      </c>
      <c r="F643" s="649" t="s">
        <v>370</v>
      </c>
      <c r="G643" s="649" t="s">
        <v>371</v>
      </c>
      <c r="H643" s="649" t="s">
        <v>372</v>
      </c>
      <c r="I643" s="649" t="s">
        <v>373</v>
      </c>
      <c r="J643" s="650" t="s">
        <v>374</v>
      </c>
      <c r="K643" s="651" t="s">
        <v>375</v>
      </c>
      <c r="L643" s="652" t="s">
        <v>376</v>
      </c>
      <c r="M643" s="648" t="s">
        <v>366</v>
      </c>
      <c r="N643" s="648" t="s">
        <v>367</v>
      </c>
      <c r="O643" s="649" t="s">
        <v>368</v>
      </c>
      <c r="P643" s="649" t="s">
        <v>369</v>
      </c>
      <c r="Q643" s="649" t="s">
        <v>370</v>
      </c>
      <c r="R643" s="649" t="s">
        <v>371</v>
      </c>
      <c r="S643" s="649" t="s">
        <v>372</v>
      </c>
      <c r="T643" s="649" t="s">
        <v>373</v>
      </c>
      <c r="U643" s="650" t="s">
        <v>374</v>
      </c>
      <c r="V643" s="651" t="s">
        <v>375</v>
      </c>
      <c r="W643" s="652" t="s">
        <v>377</v>
      </c>
    </row>
    <row r="644" spans="1:23" x14ac:dyDescent="0.2">
      <c r="A644" s="8"/>
      <c r="L644" s="11"/>
      <c r="W644" s="11"/>
    </row>
    <row r="645" spans="1:23" x14ac:dyDescent="0.2">
      <c r="A645" s="9" t="s">
        <v>531</v>
      </c>
      <c r="B645" s="161"/>
      <c r="C645" s="161"/>
      <c r="D645" s="161"/>
      <c r="E645" s="161"/>
      <c r="F645" s="161"/>
      <c r="G645" s="161"/>
      <c r="H645" s="161"/>
      <c r="I645" s="161"/>
      <c r="J645" s="161"/>
      <c r="K645" s="161"/>
      <c r="L645" s="10"/>
      <c r="M645" s="161"/>
      <c r="N645" s="161"/>
      <c r="O645" s="161"/>
      <c r="P645" s="161"/>
      <c r="Q645" s="161"/>
      <c r="R645" s="161"/>
      <c r="S645" s="161"/>
      <c r="T645" s="161"/>
      <c r="U645" s="161"/>
      <c r="V645" s="161"/>
      <c r="W645" s="10"/>
    </row>
    <row r="646" spans="1:23" x14ac:dyDescent="0.2">
      <c r="A646" s="8" t="s">
        <v>382</v>
      </c>
      <c r="B646" s="7">
        <v>2</v>
      </c>
      <c r="K646" s="7">
        <f>SUM(B646:J646)</f>
        <v>2</v>
      </c>
      <c r="L646" s="175">
        <v>91850.959999999992</v>
      </c>
      <c r="M646" s="7">
        <v>2</v>
      </c>
      <c r="V646" s="7">
        <f>SUM(M646:U646)</f>
        <v>2</v>
      </c>
      <c r="W646" s="175">
        <v>91850.959999999992</v>
      </c>
    </row>
    <row r="647" spans="1:23" x14ac:dyDescent="0.2">
      <c r="A647" s="8" t="s">
        <v>384</v>
      </c>
      <c r="B647" s="7">
        <v>1</v>
      </c>
      <c r="K647" s="7">
        <f>SUM(B647:J647)</f>
        <v>1</v>
      </c>
      <c r="L647" s="175">
        <v>42536.68</v>
      </c>
      <c r="M647" s="7">
        <v>1</v>
      </c>
      <c r="V647" s="7">
        <f>SUM(M647:U647)</f>
        <v>1</v>
      </c>
      <c r="W647" s="175">
        <v>42536.68</v>
      </c>
    </row>
    <row r="648" spans="1:23" x14ac:dyDescent="0.2">
      <c r="A648" s="302"/>
      <c r="L648" s="175"/>
      <c r="W648" s="175"/>
    </row>
    <row r="649" spans="1:23" x14ac:dyDescent="0.2">
      <c r="A649" s="9" t="s">
        <v>385</v>
      </c>
      <c r="B649" s="161"/>
      <c r="C649" s="161"/>
      <c r="D649" s="161"/>
      <c r="E649" s="161"/>
      <c r="F649" s="161"/>
      <c r="G649" s="161"/>
      <c r="H649" s="161"/>
      <c r="I649" s="161"/>
      <c r="J649" s="161"/>
      <c r="K649" s="161"/>
      <c r="L649" s="174"/>
      <c r="M649" s="161"/>
      <c r="N649" s="161"/>
      <c r="O649" s="161"/>
      <c r="P649" s="161"/>
      <c r="Q649" s="161"/>
      <c r="R649" s="161"/>
      <c r="S649" s="161"/>
      <c r="T649" s="161"/>
      <c r="U649" s="161"/>
      <c r="V649" s="161"/>
      <c r="W649" s="174"/>
    </row>
    <row r="650" spans="1:23" x14ac:dyDescent="0.2">
      <c r="A650" s="8" t="s">
        <v>408</v>
      </c>
      <c r="B650" s="7">
        <v>5</v>
      </c>
      <c r="K650" s="7">
        <f>SUM(B650:J650)</f>
        <v>5</v>
      </c>
      <c r="L650" s="175">
        <v>195104</v>
      </c>
      <c r="M650" s="7">
        <v>5</v>
      </c>
      <c r="V650" s="7">
        <f>SUM(M650:U650)</f>
        <v>5</v>
      </c>
      <c r="W650" s="175">
        <v>195104</v>
      </c>
    </row>
    <row r="651" spans="1:23" x14ac:dyDescent="0.2">
      <c r="A651" s="8"/>
      <c r="L651" s="175"/>
      <c r="W651" s="175"/>
    </row>
    <row r="652" spans="1:23" x14ac:dyDescent="0.2">
      <c r="A652" s="9" t="s">
        <v>389</v>
      </c>
      <c r="B652" s="161"/>
      <c r="C652" s="161"/>
      <c r="D652" s="161"/>
      <c r="E652" s="161"/>
      <c r="F652" s="161"/>
      <c r="G652" s="161"/>
      <c r="H652" s="161"/>
      <c r="I652" s="161"/>
      <c r="J652" s="161"/>
      <c r="K652" s="161"/>
      <c r="L652" s="174"/>
      <c r="M652" s="161"/>
      <c r="N652" s="161"/>
      <c r="O652" s="161"/>
      <c r="P652" s="161"/>
      <c r="Q652" s="161"/>
      <c r="R652" s="161"/>
      <c r="S652" s="161"/>
      <c r="T652" s="161"/>
      <c r="U652" s="161"/>
      <c r="V652" s="161"/>
      <c r="W652" s="174"/>
    </row>
    <row r="653" spans="1:23" x14ac:dyDescent="0.2">
      <c r="A653" s="8" t="s">
        <v>392</v>
      </c>
      <c r="B653" s="7">
        <v>1</v>
      </c>
      <c r="K653" s="7">
        <f t="shared" ref="K653:K654" si="88">SUM(B653:J653)</f>
        <v>1</v>
      </c>
      <c r="L653" s="175">
        <v>30549.879999999997</v>
      </c>
      <c r="M653" s="7">
        <v>1</v>
      </c>
      <c r="V653" s="7">
        <f t="shared" ref="V653:V654" si="89">SUM(M653:U653)</f>
        <v>1</v>
      </c>
      <c r="W653" s="175">
        <v>30549.879999999997</v>
      </c>
    </row>
    <row r="654" spans="1:23" x14ac:dyDescent="0.2">
      <c r="A654" s="8" t="s">
        <v>409</v>
      </c>
      <c r="B654" s="7">
        <v>9</v>
      </c>
      <c r="K654" s="7">
        <f t="shared" si="88"/>
        <v>9</v>
      </c>
      <c r="L654" s="175">
        <v>272118.24</v>
      </c>
      <c r="M654" s="7">
        <v>9</v>
      </c>
      <c r="V654" s="7">
        <f t="shared" si="89"/>
        <v>9</v>
      </c>
      <c r="W654" s="175">
        <v>272118.24</v>
      </c>
    </row>
    <row r="655" spans="1:23" x14ac:dyDescent="0.2">
      <c r="A655" s="8"/>
      <c r="L655" s="175"/>
      <c r="W655" s="175"/>
    </row>
    <row r="656" spans="1:23" x14ac:dyDescent="0.2">
      <c r="A656" s="9" t="s">
        <v>393</v>
      </c>
      <c r="B656" s="161"/>
      <c r="C656" s="161"/>
      <c r="D656" s="161"/>
      <c r="E656" s="161"/>
      <c r="F656" s="161"/>
      <c r="G656" s="161"/>
      <c r="H656" s="161"/>
      <c r="I656" s="161"/>
      <c r="J656" s="161"/>
      <c r="K656" s="161"/>
      <c r="L656" s="174"/>
      <c r="M656" s="161"/>
      <c r="N656" s="161"/>
      <c r="O656" s="161"/>
      <c r="P656" s="161"/>
      <c r="Q656" s="161"/>
      <c r="R656" s="161"/>
      <c r="S656" s="161"/>
      <c r="T656" s="161"/>
      <c r="U656" s="161"/>
      <c r="V656" s="161"/>
      <c r="W656" s="174"/>
    </row>
    <row r="657" spans="1:23" x14ac:dyDescent="0.2">
      <c r="A657" s="8" t="s">
        <v>394</v>
      </c>
      <c r="B657" s="7">
        <v>1</v>
      </c>
      <c r="K657" s="7">
        <f t="shared" ref="K657:K659" si="90">SUM(B657:J657)</f>
        <v>1</v>
      </c>
      <c r="L657" s="175">
        <v>29503.48</v>
      </c>
      <c r="M657" s="7">
        <v>1</v>
      </c>
      <c r="V657" s="7">
        <f t="shared" ref="V657:V659" si="91">SUM(M657:U657)</f>
        <v>1</v>
      </c>
      <c r="W657" s="175">
        <v>29503.48</v>
      </c>
    </row>
    <row r="658" spans="1:23" x14ac:dyDescent="0.2">
      <c r="A658" s="8" t="s">
        <v>443</v>
      </c>
      <c r="B658" s="7">
        <v>2</v>
      </c>
      <c r="K658" s="7">
        <f t="shared" si="90"/>
        <v>2</v>
      </c>
      <c r="L658" s="175">
        <v>49353.2</v>
      </c>
      <c r="M658" s="7">
        <v>2</v>
      </c>
      <c r="V658" s="7">
        <f t="shared" si="91"/>
        <v>2</v>
      </c>
      <c r="W658" s="175">
        <v>49353.2</v>
      </c>
    </row>
    <row r="659" spans="1:23" x14ac:dyDescent="0.2">
      <c r="A659" s="8" t="s">
        <v>410</v>
      </c>
      <c r="B659" s="7">
        <v>3</v>
      </c>
      <c r="K659" s="7">
        <f t="shared" si="90"/>
        <v>3</v>
      </c>
      <c r="L659" s="175">
        <v>71302.080000000002</v>
      </c>
      <c r="M659" s="7">
        <v>3</v>
      </c>
      <c r="V659" s="7">
        <f t="shared" si="91"/>
        <v>3</v>
      </c>
      <c r="W659" s="175">
        <v>71302.080000000002</v>
      </c>
    </row>
    <row r="660" spans="1:23" x14ac:dyDescent="0.2">
      <c r="A660" s="8"/>
      <c r="L660" s="175"/>
      <c r="W660" s="175"/>
    </row>
    <row r="661" spans="1:23" x14ac:dyDescent="0.2">
      <c r="A661" s="209" t="s">
        <v>532</v>
      </c>
      <c r="B661" s="226"/>
      <c r="C661" s="226"/>
      <c r="D661" s="226"/>
      <c r="E661" s="226"/>
      <c r="F661" s="226"/>
      <c r="G661" s="226"/>
      <c r="H661" s="226"/>
      <c r="I661" s="226"/>
      <c r="J661" s="226"/>
      <c r="K661" s="226"/>
      <c r="L661" s="218"/>
      <c r="M661" s="226"/>
      <c r="N661" s="226"/>
      <c r="O661" s="226"/>
      <c r="P661" s="226"/>
      <c r="Q661" s="226"/>
      <c r="R661" s="226"/>
      <c r="S661" s="226"/>
      <c r="T661" s="226"/>
      <c r="U661" s="226"/>
      <c r="V661" s="226"/>
      <c r="W661" s="218"/>
    </row>
    <row r="662" spans="1:23" x14ac:dyDescent="0.2">
      <c r="A662" s="8" t="s">
        <v>533</v>
      </c>
      <c r="J662" s="7">
        <v>1</v>
      </c>
      <c r="K662" s="7">
        <f t="shared" ref="K662:K673" si="92">SUM(B662:J662)</f>
        <v>1</v>
      </c>
      <c r="L662" s="175">
        <v>113402.79999999999</v>
      </c>
      <c r="U662" s="7">
        <v>1</v>
      </c>
      <c r="V662" s="7">
        <f t="shared" ref="V662:V673" si="93">SUM(M662:U662)</f>
        <v>1</v>
      </c>
      <c r="W662" s="175">
        <v>113402.79999999999</v>
      </c>
    </row>
    <row r="663" spans="1:23" x14ac:dyDescent="0.2">
      <c r="A663" s="241" t="s">
        <v>534</v>
      </c>
      <c r="B663" s="242"/>
      <c r="C663" s="242"/>
      <c r="D663" s="242"/>
      <c r="E663" s="242"/>
      <c r="F663" s="242"/>
      <c r="G663" s="242"/>
      <c r="H663" s="242"/>
      <c r="I663" s="242"/>
      <c r="J663" s="242">
        <v>1</v>
      </c>
      <c r="K663" s="242">
        <f t="shared" si="92"/>
        <v>1</v>
      </c>
      <c r="L663" s="243">
        <v>74202.399999999994</v>
      </c>
      <c r="M663" s="242"/>
      <c r="N663" s="242"/>
      <c r="O663" s="242"/>
      <c r="P663" s="242"/>
      <c r="Q663" s="242"/>
      <c r="R663" s="242"/>
      <c r="S663" s="242"/>
      <c r="T663" s="242"/>
      <c r="U663" s="242">
        <v>1</v>
      </c>
      <c r="V663" s="242">
        <f t="shared" si="93"/>
        <v>1</v>
      </c>
      <c r="W663" s="243">
        <v>74202.399999999994</v>
      </c>
    </row>
    <row r="664" spans="1:23" x14ac:dyDescent="0.2">
      <c r="A664" s="8" t="s">
        <v>535</v>
      </c>
      <c r="J664" s="7">
        <v>2</v>
      </c>
      <c r="K664" s="7">
        <f t="shared" si="92"/>
        <v>2</v>
      </c>
      <c r="L664" s="175">
        <v>201848.64</v>
      </c>
      <c r="U664" s="7">
        <v>2</v>
      </c>
      <c r="V664" s="7">
        <f t="shared" si="93"/>
        <v>2</v>
      </c>
      <c r="W664" s="175">
        <v>201848.64</v>
      </c>
    </row>
    <row r="665" spans="1:23" x14ac:dyDescent="0.2">
      <c r="A665" s="8" t="s">
        <v>536</v>
      </c>
      <c r="J665" s="7">
        <v>7</v>
      </c>
      <c r="K665" s="7">
        <f>SUM(B665:J665)</f>
        <v>7</v>
      </c>
      <c r="L665" s="175">
        <v>442775.36</v>
      </c>
      <c r="U665" s="7">
        <v>7</v>
      </c>
      <c r="V665" s="7">
        <f>SUM(M665:U665)</f>
        <v>7</v>
      </c>
      <c r="W665" s="175">
        <v>442775.36</v>
      </c>
    </row>
    <row r="666" spans="1:23" x14ac:dyDescent="0.2">
      <c r="A666" s="8" t="s">
        <v>537</v>
      </c>
      <c r="J666" s="7">
        <v>6</v>
      </c>
      <c r="K666" s="7">
        <f t="shared" si="92"/>
        <v>6</v>
      </c>
      <c r="L666" s="175">
        <v>265608.8</v>
      </c>
      <c r="U666" s="7">
        <v>6</v>
      </c>
      <c r="V666" s="7">
        <f t="shared" si="93"/>
        <v>6</v>
      </c>
      <c r="W666" s="175">
        <v>265608.8</v>
      </c>
    </row>
    <row r="667" spans="1:23" x14ac:dyDescent="0.2">
      <c r="A667" s="8" t="s">
        <v>538</v>
      </c>
      <c r="J667" s="7">
        <v>4</v>
      </c>
      <c r="K667" s="7">
        <f t="shared" si="92"/>
        <v>4</v>
      </c>
      <c r="L667" s="175">
        <v>89803.199999999997</v>
      </c>
      <c r="U667" s="7">
        <v>4</v>
      </c>
      <c r="V667" s="7">
        <f t="shared" si="93"/>
        <v>4</v>
      </c>
      <c r="W667" s="175">
        <v>89803.199999999997</v>
      </c>
    </row>
    <row r="668" spans="1:23" x14ac:dyDescent="0.2">
      <c r="A668" s="8" t="s">
        <v>539</v>
      </c>
      <c r="K668" s="7">
        <f t="shared" si="92"/>
        <v>0</v>
      </c>
      <c r="L668" s="175">
        <v>44681.56</v>
      </c>
      <c r="V668" s="7">
        <f t="shared" si="93"/>
        <v>0</v>
      </c>
      <c r="W668" s="175">
        <v>44681.56</v>
      </c>
    </row>
    <row r="669" spans="1:23" x14ac:dyDescent="0.2">
      <c r="A669" s="8" t="s">
        <v>540</v>
      </c>
      <c r="J669" s="7">
        <v>6</v>
      </c>
      <c r="K669" s="7">
        <f t="shared" si="92"/>
        <v>6</v>
      </c>
      <c r="L669" s="175">
        <v>194007.2</v>
      </c>
      <c r="U669" s="7">
        <v>6</v>
      </c>
      <c r="V669" s="7">
        <f t="shared" si="93"/>
        <v>6</v>
      </c>
      <c r="W669" s="175">
        <v>194007.2</v>
      </c>
    </row>
    <row r="670" spans="1:23" x14ac:dyDescent="0.2">
      <c r="A670" s="8" t="s">
        <v>541</v>
      </c>
      <c r="J670" s="7">
        <v>15</v>
      </c>
      <c r="K670" s="7">
        <f t="shared" si="92"/>
        <v>15</v>
      </c>
      <c r="L670" s="175">
        <v>586381.12</v>
      </c>
      <c r="U670" s="7">
        <v>15</v>
      </c>
      <c r="V670" s="7">
        <f t="shared" si="93"/>
        <v>15</v>
      </c>
      <c r="W670" s="175">
        <v>586381.12</v>
      </c>
    </row>
    <row r="671" spans="1:23" x14ac:dyDescent="0.2">
      <c r="A671" s="8" t="s">
        <v>542</v>
      </c>
      <c r="J671" s="7">
        <v>4</v>
      </c>
      <c r="K671" s="7">
        <f t="shared" si="92"/>
        <v>4</v>
      </c>
      <c r="L671" s="175">
        <v>147284.79999999999</v>
      </c>
      <c r="U671" s="7">
        <v>4</v>
      </c>
      <c r="V671" s="7">
        <f t="shared" si="93"/>
        <v>4</v>
      </c>
      <c r="W671" s="175">
        <v>147284.79999999999</v>
      </c>
    </row>
    <row r="672" spans="1:23" x14ac:dyDescent="0.2">
      <c r="A672" s="209" t="s">
        <v>543</v>
      </c>
      <c r="B672" s="226"/>
      <c r="C672" s="226"/>
      <c r="D672" s="226"/>
      <c r="E672" s="226"/>
      <c r="F672" s="226"/>
      <c r="G672" s="226"/>
      <c r="H672" s="226"/>
      <c r="I672" s="226"/>
      <c r="J672" s="226"/>
      <c r="K672" s="226"/>
      <c r="L672" s="218"/>
      <c r="M672" s="226"/>
      <c r="N672" s="226"/>
      <c r="O672" s="226"/>
      <c r="P672" s="226"/>
      <c r="Q672" s="226"/>
      <c r="R672" s="226"/>
      <c r="S672" s="226"/>
      <c r="T672" s="226"/>
      <c r="U672" s="226"/>
      <c r="V672" s="226"/>
      <c r="W672" s="218"/>
    </row>
    <row r="673" spans="1:23" x14ac:dyDescent="0.2">
      <c r="A673" s="8" t="s">
        <v>544</v>
      </c>
      <c r="J673" s="7">
        <v>2</v>
      </c>
      <c r="K673" s="7">
        <f t="shared" si="92"/>
        <v>2</v>
      </c>
      <c r="L673" s="175">
        <v>40120</v>
      </c>
      <c r="U673" s="7">
        <v>2</v>
      </c>
      <c r="V673" s="7">
        <f t="shared" si="93"/>
        <v>2</v>
      </c>
      <c r="W673" s="175">
        <v>40120</v>
      </c>
    </row>
    <row r="674" spans="1:23" x14ac:dyDescent="0.2">
      <c r="A674" s="209" t="s">
        <v>545</v>
      </c>
      <c r="B674" s="226"/>
      <c r="C674" s="226"/>
      <c r="D674" s="226"/>
      <c r="E674" s="226"/>
      <c r="F674" s="226"/>
      <c r="G674" s="226"/>
      <c r="H674" s="226"/>
      <c r="I674" s="226"/>
      <c r="J674" s="226"/>
      <c r="K674" s="226"/>
      <c r="L674" s="218"/>
      <c r="M674" s="226"/>
      <c r="N674" s="226"/>
      <c r="O674" s="226"/>
      <c r="P674" s="226"/>
      <c r="Q674" s="226"/>
      <c r="R674" s="226"/>
      <c r="S674" s="226"/>
      <c r="T674" s="226"/>
      <c r="U674" s="226"/>
      <c r="V674" s="226"/>
      <c r="W674" s="218"/>
    </row>
    <row r="675" spans="1:23" x14ac:dyDescent="0.2">
      <c r="A675" s="8" t="s">
        <v>546</v>
      </c>
      <c r="J675" s="7">
        <v>4</v>
      </c>
      <c r="K675" s="7">
        <f t="shared" ref="K675:K677" si="94">SUM(B675:J675)</f>
        <v>4</v>
      </c>
      <c r="L675" s="175">
        <v>149606.39999999999</v>
      </c>
      <c r="U675" s="7">
        <v>4</v>
      </c>
      <c r="V675" s="7">
        <f t="shared" ref="V675:V677" si="95">SUM(M675:U675)</f>
        <v>4</v>
      </c>
      <c r="W675" s="175">
        <v>149606.39999999999</v>
      </c>
    </row>
    <row r="676" spans="1:23" x14ac:dyDescent="0.2">
      <c r="A676" s="8" t="s">
        <v>547</v>
      </c>
      <c r="J676" s="7">
        <v>110</v>
      </c>
      <c r="K676" s="7">
        <f t="shared" si="94"/>
        <v>110</v>
      </c>
      <c r="L676" s="175">
        <v>4032010.8</v>
      </c>
      <c r="U676" s="7">
        <v>110</v>
      </c>
      <c r="V676" s="7">
        <f t="shared" si="95"/>
        <v>110</v>
      </c>
      <c r="W676" s="175">
        <v>4032010.8</v>
      </c>
    </row>
    <row r="677" spans="1:23" ht="12.75" thickBot="1" x14ac:dyDescent="0.25">
      <c r="A677" s="8" t="s">
        <v>548</v>
      </c>
      <c r="J677" s="7">
        <v>9</v>
      </c>
      <c r="K677" s="7">
        <f t="shared" si="94"/>
        <v>9</v>
      </c>
      <c r="L677" s="175">
        <v>224207.76</v>
      </c>
      <c r="U677" s="7">
        <v>9</v>
      </c>
      <c r="V677" s="7">
        <f t="shared" si="95"/>
        <v>9</v>
      </c>
      <c r="W677" s="175">
        <v>224207.76</v>
      </c>
    </row>
    <row r="678" spans="1:23" ht="12.75" thickBot="1" x14ac:dyDescent="0.25">
      <c r="A678" s="269" t="s">
        <v>400</v>
      </c>
      <c r="B678" s="277">
        <f t="shared" ref="B678:K678" si="96">SUM(B645:B677)</f>
        <v>24</v>
      </c>
      <c r="C678" s="277">
        <f t="shared" si="96"/>
        <v>0</v>
      </c>
      <c r="D678" s="277">
        <f t="shared" si="96"/>
        <v>0</v>
      </c>
      <c r="E678" s="277">
        <f t="shared" si="96"/>
        <v>0</v>
      </c>
      <c r="F678" s="277">
        <f t="shared" si="96"/>
        <v>0</v>
      </c>
      <c r="G678" s="277">
        <f t="shared" si="96"/>
        <v>0</v>
      </c>
      <c r="H678" s="277">
        <f t="shared" si="96"/>
        <v>0</v>
      </c>
      <c r="I678" s="277">
        <f t="shared" si="96"/>
        <v>0</v>
      </c>
      <c r="J678" s="277">
        <f t="shared" si="96"/>
        <v>171</v>
      </c>
      <c r="K678" s="277">
        <f t="shared" si="96"/>
        <v>195</v>
      </c>
      <c r="L678" s="278">
        <f>SUM(L645:L677)</f>
        <v>7388259.3599999994</v>
      </c>
      <c r="M678" s="277">
        <f t="shared" ref="M678:V678" si="97">SUM(M645:M677)</f>
        <v>24</v>
      </c>
      <c r="N678" s="277">
        <f t="shared" si="97"/>
        <v>0</v>
      </c>
      <c r="O678" s="277">
        <f t="shared" si="97"/>
        <v>0</v>
      </c>
      <c r="P678" s="277">
        <f t="shared" si="97"/>
        <v>0</v>
      </c>
      <c r="Q678" s="277">
        <f t="shared" si="97"/>
        <v>0</v>
      </c>
      <c r="R678" s="277">
        <f t="shared" si="97"/>
        <v>0</v>
      </c>
      <c r="S678" s="277">
        <f t="shared" si="97"/>
        <v>0</v>
      </c>
      <c r="T678" s="277">
        <f t="shared" si="97"/>
        <v>0</v>
      </c>
      <c r="U678" s="277">
        <f t="shared" si="97"/>
        <v>171</v>
      </c>
      <c r="V678" s="277">
        <f t="shared" si="97"/>
        <v>195</v>
      </c>
      <c r="W678" s="278">
        <f>SUM(W645:W677)</f>
        <v>7388259.3599999994</v>
      </c>
    </row>
    <row r="679" spans="1:23" s="22" customFormat="1" x14ac:dyDescent="0.2">
      <c r="A679" s="244"/>
      <c r="B679" s="245"/>
      <c r="C679" s="245"/>
      <c r="D679" s="245"/>
      <c r="E679" s="245"/>
      <c r="F679" s="245"/>
      <c r="G679" s="245"/>
      <c r="H679" s="245"/>
      <c r="I679" s="245"/>
      <c r="J679" s="245"/>
      <c r="K679" s="245"/>
      <c r="L679" s="246"/>
      <c r="M679" s="245"/>
      <c r="N679" s="245"/>
      <c r="O679" s="245"/>
      <c r="P679" s="245"/>
      <c r="Q679" s="245"/>
      <c r="R679" s="245"/>
      <c r="S679" s="245"/>
      <c r="T679" s="245"/>
      <c r="U679" s="245"/>
      <c r="V679" s="245"/>
      <c r="W679" s="246"/>
    </row>
    <row r="681" spans="1:23" ht="12.75" thickBot="1" x14ac:dyDescent="0.25">
      <c r="A681" s="257" t="s">
        <v>549</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x14ac:dyDescent="0.2">
      <c r="A682" s="646" t="s">
        <v>362</v>
      </c>
      <c r="B682" s="1470" t="s">
        <v>363</v>
      </c>
      <c r="C682" s="1471"/>
      <c r="D682" s="1471"/>
      <c r="E682" s="1471"/>
      <c r="F682" s="1471"/>
      <c r="G682" s="1471"/>
      <c r="H682" s="1471"/>
      <c r="I682" s="1471"/>
      <c r="J682" s="1471"/>
      <c r="K682" s="1471"/>
      <c r="L682" s="1472"/>
      <c r="M682" s="1470" t="s">
        <v>364</v>
      </c>
      <c r="N682" s="1471"/>
      <c r="O682" s="1471"/>
      <c r="P682" s="1471"/>
      <c r="Q682" s="1471"/>
      <c r="R682" s="1471"/>
      <c r="S682" s="1471"/>
      <c r="T682" s="1471"/>
      <c r="U682" s="1471"/>
      <c r="V682" s="1471"/>
      <c r="W682" s="1472"/>
    </row>
    <row r="683" spans="1:23" ht="111" x14ac:dyDescent="0.2">
      <c r="A683" s="647" t="s">
        <v>365</v>
      </c>
      <c r="B683" s="648" t="s">
        <v>366</v>
      </c>
      <c r="C683" s="648" t="s">
        <v>367</v>
      </c>
      <c r="D683" s="649" t="s">
        <v>368</v>
      </c>
      <c r="E683" s="649" t="s">
        <v>369</v>
      </c>
      <c r="F683" s="649" t="s">
        <v>370</v>
      </c>
      <c r="G683" s="649" t="s">
        <v>371</v>
      </c>
      <c r="H683" s="649" t="s">
        <v>372</v>
      </c>
      <c r="I683" s="649" t="s">
        <v>373</v>
      </c>
      <c r="J683" s="650" t="s">
        <v>374</v>
      </c>
      <c r="K683" s="651" t="s">
        <v>375</v>
      </c>
      <c r="L683" s="686" t="s">
        <v>376</v>
      </c>
      <c r="M683" s="648" t="s">
        <v>366</v>
      </c>
      <c r="N683" s="648" t="s">
        <v>367</v>
      </c>
      <c r="O683" s="649" t="s">
        <v>368</v>
      </c>
      <c r="P683" s="649" t="s">
        <v>369</v>
      </c>
      <c r="Q683" s="649" t="s">
        <v>370</v>
      </c>
      <c r="R683" s="649" t="s">
        <v>371</v>
      </c>
      <c r="S683" s="649" t="s">
        <v>372</v>
      </c>
      <c r="T683" s="649" t="s">
        <v>373</v>
      </c>
      <c r="U683" s="650" t="s">
        <v>374</v>
      </c>
      <c r="V683" s="651" t="s">
        <v>375</v>
      </c>
      <c r="W683" s="652" t="s">
        <v>377</v>
      </c>
    </row>
    <row r="684" spans="1:23" x14ac:dyDescent="0.2">
      <c r="A684" s="8"/>
      <c r="L684" s="175"/>
      <c r="W684" s="11"/>
    </row>
    <row r="685" spans="1:23" x14ac:dyDescent="0.2">
      <c r="A685" s="9" t="s">
        <v>378</v>
      </c>
      <c r="B685" s="173">
        <f>SUM(B686:B692)</f>
        <v>6348.3099999999995</v>
      </c>
      <c r="C685" s="161"/>
      <c r="D685" s="161"/>
      <c r="E685" s="161"/>
      <c r="F685" s="161"/>
      <c r="G685" s="161"/>
      <c r="H685" s="161"/>
      <c r="I685" s="161"/>
      <c r="J685" s="161"/>
      <c r="K685" s="173">
        <f>SUM(B685:J685)</f>
        <v>6348.3099999999995</v>
      </c>
      <c r="L685" s="174">
        <f>K685*12</f>
        <v>76179.72</v>
      </c>
      <c r="M685" s="173">
        <f>M688</f>
        <v>6348.3099999999995</v>
      </c>
      <c r="N685" s="161"/>
      <c r="O685" s="161"/>
      <c r="P685" s="161"/>
      <c r="Q685" s="161"/>
      <c r="R685" s="161"/>
      <c r="S685" s="161"/>
      <c r="T685" s="161"/>
      <c r="U685" s="161"/>
      <c r="V685" s="161"/>
      <c r="W685" s="174">
        <f>L685</f>
        <v>76179.72</v>
      </c>
    </row>
    <row r="686" spans="1:23" x14ac:dyDescent="0.2">
      <c r="A686" s="8" t="s">
        <v>402</v>
      </c>
      <c r="L686" s="175"/>
      <c r="W686" s="175"/>
    </row>
    <row r="687" spans="1:23" x14ac:dyDescent="0.2">
      <c r="A687" s="8" t="s">
        <v>403</v>
      </c>
      <c r="L687" s="175"/>
      <c r="W687" s="175"/>
    </row>
    <row r="688" spans="1:23" x14ac:dyDescent="0.2">
      <c r="A688" s="8" t="s">
        <v>382</v>
      </c>
      <c r="B688" s="66">
        <v>6348.3099999999995</v>
      </c>
      <c r="K688" s="66">
        <f>B688</f>
        <v>6348.3099999999995</v>
      </c>
      <c r="L688" s="247">
        <f>B688*12</f>
        <v>76179.72</v>
      </c>
      <c r="M688" s="66">
        <f>B688</f>
        <v>6348.3099999999995</v>
      </c>
      <c r="W688" s="247">
        <f>M688*12</f>
        <v>76179.72</v>
      </c>
    </row>
    <row r="689" spans="1:23" x14ac:dyDescent="0.2">
      <c r="A689" s="8" t="s">
        <v>383</v>
      </c>
      <c r="L689" s="175"/>
      <c r="W689" s="175"/>
    </row>
    <row r="690" spans="1:23" x14ac:dyDescent="0.2">
      <c r="A690" s="8" t="s">
        <v>384</v>
      </c>
      <c r="L690" s="175"/>
      <c r="W690" s="175"/>
    </row>
    <row r="691" spans="1:23" x14ac:dyDescent="0.2">
      <c r="A691" s="8" t="s">
        <v>406</v>
      </c>
      <c r="L691" s="175"/>
      <c r="W691" s="175"/>
    </row>
    <row r="692" spans="1:23" x14ac:dyDescent="0.2">
      <c r="A692" s="302"/>
      <c r="L692" s="175"/>
      <c r="W692" s="175"/>
    </row>
    <row r="693" spans="1:23" x14ac:dyDescent="0.2">
      <c r="A693" s="9" t="s">
        <v>385</v>
      </c>
      <c r="B693" s="173">
        <f>SUM(B694:B697)</f>
        <v>18885.3</v>
      </c>
      <c r="C693" s="161"/>
      <c r="D693" s="161"/>
      <c r="E693" s="161"/>
      <c r="F693" s="161"/>
      <c r="G693" s="161"/>
      <c r="H693" s="161"/>
      <c r="I693" s="161"/>
      <c r="J693" s="161"/>
      <c r="K693" s="161"/>
      <c r="L693" s="174">
        <f>B693*12</f>
        <v>226623.59999999998</v>
      </c>
      <c r="M693" s="173">
        <f>B693</f>
        <v>18885.3</v>
      </c>
      <c r="N693" s="161"/>
      <c r="O693" s="161"/>
      <c r="P693" s="161"/>
      <c r="Q693" s="161"/>
      <c r="R693" s="161"/>
      <c r="S693" s="161"/>
      <c r="T693" s="161"/>
      <c r="U693" s="161"/>
      <c r="V693" s="161"/>
      <c r="W693" s="174">
        <f>M693*12</f>
        <v>226623.59999999998</v>
      </c>
    </row>
    <row r="694" spans="1:23" x14ac:dyDescent="0.2">
      <c r="A694" s="8" t="s">
        <v>386</v>
      </c>
      <c r="L694" s="175"/>
      <c r="W694" s="175"/>
    </row>
    <row r="695" spans="1:23" x14ac:dyDescent="0.2">
      <c r="A695" s="8" t="s">
        <v>407</v>
      </c>
      <c r="L695" s="175"/>
      <c r="W695" s="175"/>
    </row>
    <row r="696" spans="1:23" x14ac:dyDescent="0.2">
      <c r="A696" s="8" t="s">
        <v>408</v>
      </c>
      <c r="B696" s="66">
        <v>18885.3</v>
      </c>
      <c r="L696" s="175">
        <f>B696*12</f>
        <v>226623.59999999998</v>
      </c>
      <c r="M696" s="66">
        <f>B696</f>
        <v>18885.3</v>
      </c>
      <c r="W696" s="175">
        <f>M696*12</f>
        <v>226623.59999999998</v>
      </c>
    </row>
    <row r="697" spans="1:23" x14ac:dyDescent="0.2">
      <c r="A697" s="8"/>
      <c r="L697" s="175"/>
      <c r="W697" s="175"/>
    </row>
    <row r="698" spans="1:23" x14ac:dyDescent="0.2">
      <c r="A698" s="9" t="s">
        <v>389</v>
      </c>
      <c r="B698" s="173">
        <f>SUM(B699:B701)</f>
        <v>32388.04</v>
      </c>
      <c r="C698" s="161"/>
      <c r="D698" s="161"/>
      <c r="E698" s="161"/>
      <c r="F698" s="161"/>
      <c r="G698" s="161"/>
      <c r="H698" s="161"/>
      <c r="I698" s="161"/>
      <c r="J698" s="161"/>
      <c r="K698" s="161"/>
      <c r="L698" s="174">
        <f>B698*12</f>
        <v>388656.48</v>
      </c>
      <c r="M698" s="173">
        <f>B698</f>
        <v>32388.04</v>
      </c>
      <c r="N698" s="161"/>
      <c r="O698" s="161"/>
      <c r="P698" s="161"/>
      <c r="Q698" s="161"/>
      <c r="R698" s="161"/>
      <c r="S698" s="161"/>
      <c r="T698" s="161"/>
      <c r="U698" s="161"/>
      <c r="V698" s="161"/>
      <c r="W698" s="174">
        <f>M698*12</f>
        <v>388656.48</v>
      </c>
    </row>
    <row r="699" spans="1:23" x14ac:dyDescent="0.2">
      <c r="A699" s="8" t="s">
        <v>390</v>
      </c>
      <c r="B699" s="687">
        <v>5757.13</v>
      </c>
      <c r="L699" s="175">
        <f>B699*12</f>
        <v>69085.56</v>
      </c>
      <c r="M699" s="66">
        <f>B699</f>
        <v>5757.13</v>
      </c>
      <c r="W699" s="175">
        <f>M699*12</f>
        <v>69085.56</v>
      </c>
    </row>
    <row r="700" spans="1:23" x14ac:dyDescent="0.2">
      <c r="A700" s="8" t="s">
        <v>392</v>
      </c>
      <c r="B700" s="687">
        <v>2315.3000000000002</v>
      </c>
      <c r="L700" s="175">
        <f t="shared" ref="L700:L701" si="98">B700*12</f>
        <v>27783.600000000002</v>
      </c>
      <c r="M700" s="66">
        <f t="shared" ref="M700:M701" si="99">B700</f>
        <v>2315.3000000000002</v>
      </c>
      <c r="W700" s="175">
        <f t="shared" ref="W700:W701" si="100">M700*12</f>
        <v>27783.600000000002</v>
      </c>
    </row>
    <row r="701" spans="1:23" x14ac:dyDescent="0.2">
      <c r="A701" s="8" t="s">
        <v>409</v>
      </c>
      <c r="B701" s="687">
        <v>24315.61</v>
      </c>
      <c r="L701" s="175">
        <f t="shared" si="98"/>
        <v>291787.32</v>
      </c>
      <c r="M701" s="66">
        <f t="shared" si="99"/>
        <v>24315.61</v>
      </c>
      <c r="W701" s="175">
        <f t="shared" si="100"/>
        <v>291787.32</v>
      </c>
    </row>
    <row r="702" spans="1:23" x14ac:dyDescent="0.2">
      <c r="A702" s="8"/>
      <c r="L702" s="175"/>
      <c r="W702" s="175"/>
    </row>
    <row r="703" spans="1:23" x14ac:dyDescent="0.2">
      <c r="A703" s="9" t="s">
        <v>393</v>
      </c>
      <c r="B703" s="173">
        <f>SUM(B704:B706)</f>
        <v>23554.25</v>
      </c>
      <c r="C703" s="161"/>
      <c r="D703" s="161"/>
      <c r="E703" s="161"/>
      <c r="F703" s="161"/>
      <c r="G703" s="161"/>
      <c r="H703" s="161"/>
      <c r="I703" s="161"/>
      <c r="J703" s="161"/>
      <c r="K703" s="161"/>
      <c r="L703" s="174">
        <f>B703*12</f>
        <v>282651</v>
      </c>
      <c r="M703" s="173">
        <f>B703</f>
        <v>23554.25</v>
      </c>
      <c r="N703" s="161"/>
      <c r="O703" s="161"/>
      <c r="P703" s="161"/>
      <c r="Q703" s="161"/>
      <c r="R703" s="161"/>
      <c r="S703" s="161"/>
      <c r="T703" s="161"/>
      <c r="U703" s="161"/>
      <c r="V703" s="161"/>
      <c r="W703" s="174">
        <f>M703*12</f>
        <v>282651</v>
      </c>
    </row>
    <row r="704" spans="1:23" x14ac:dyDescent="0.2">
      <c r="A704" s="8" t="s">
        <v>394</v>
      </c>
      <c r="L704" s="175"/>
      <c r="W704" s="175"/>
    </row>
    <row r="705" spans="1:23" x14ac:dyDescent="0.2">
      <c r="A705" s="8" t="s">
        <v>443</v>
      </c>
      <c r="B705" s="7">
        <v>914.13</v>
      </c>
      <c r="L705" s="175">
        <f>B705*12</f>
        <v>10969.56</v>
      </c>
      <c r="M705" s="7">
        <f>B705</f>
        <v>914.13</v>
      </c>
      <c r="W705" s="175">
        <f>M705*12</f>
        <v>10969.56</v>
      </c>
    </row>
    <row r="706" spans="1:23" x14ac:dyDescent="0.2">
      <c r="A706" s="8" t="s">
        <v>410</v>
      </c>
      <c r="B706" s="66">
        <v>22640.12</v>
      </c>
      <c r="L706" s="175">
        <f>B706*12</f>
        <v>271681.44</v>
      </c>
      <c r="M706" s="66">
        <f>B706</f>
        <v>22640.12</v>
      </c>
      <c r="W706" s="175">
        <f>M706*12</f>
        <v>271681.44</v>
      </c>
    </row>
    <row r="707" spans="1:23" x14ac:dyDescent="0.2">
      <c r="A707" s="209" t="s">
        <v>550</v>
      </c>
      <c r="B707" s="226"/>
      <c r="C707" s="226"/>
      <c r="D707" s="248">
        <v>136917</v>
      </c>
      <c r="E707" s="226"/>
      <c r="F707" s="226"/>
      <c r="G707" s="248"/>
      <c r="H707" s="226"/>
      <c r="I707" s="226"/>
      <c r="J707" s="226"/>
      <c r="K707" s="226"/>
      <c r="L707" s="217">
        <f>D707*10</f>
        <v>1369170</v>
      </c>
      <c r="M707" s="226"/>
      <c r="N707" s="226"/>
      <c r="O707" s="248">
        <v>136917</v>
      </c>
      <c r="P707" s="226"/>
      <c r="Q707" s="226"/>
      <c r="R707" s="226"/>
      <c r="S707" s="226"/>
      <c r="T707" s="226"/>
      <c r="U707" s="226"/>
      <c r="V707" s="226"/>
      <c r="W707" s="217">
        <f>O707*10</f>
        <v>1369170</v>
      </c>
    </row>
    <row r="708" spans="1:23" ht="12.75" thickBot="1" x14ac:dyDescent="0.25">
      <c r="A708" s="8">
        <v>45</v>
      </c>
      <c r="D708" s="66">
        <v>136917</v>
      </c>
      <c r="G708" s="66"/>
      <c r="L708" s="175">
        <f>D708*10</f>
        <v>1369170</v>
      </c>
      <c r="O708" s="66">
        <v>136917</v>
      </c>
      <c r="W708" s="175">
        <f>O708*10</f>
        <v>1369170</v>
      </c>
    </row>
    <row r="709" spans="1:23" ht="12.75" thickBot="1" x14ac:dyDescent="0.25">
      <c r="A709" s="263" t="s">
        <v>400</v>
      </c>
      <c r="B709" s="270"/>
      <c r="C709" s="270"/>
      <c r="D709" s="270"/>
      <c r="E709" s="270"/>
      <c r="F709" s="270"/>
      <c r="G709" s="270"/>
      <c r="H709" s="270"/>
      <c r="I709" s="270"/>
      <c r="J709" s="270"/>
      <c r="K709" s="270"/>
      <c r="L709" s="271">
        <f>L707+L703+L698+L693+L685+L685</f>
        <v>2419460.5200000005</v>
      </c>
      <c r="M709" s="270"/>
      <c r="N709" s="270"/>
      <c r="O709" s="270"/>
      <c r="P709" s="270"/>
      <c r="Q709" s="270"/>
      <c r="R709" s="270"/>
      <c r="S709" s="270"/>
      <c r="T709" s="270"/>
      <c r="U709" s="270"/>
      <c r="V709" s="270"/>
      <c r="W709" s="271">
        <f>W707+W703+W698+W693+W685+W685</f>
        <v>2419460.5200000005</v>
      </c>
    </row>
    <row r="711" spans="1:23" ht="12.75" thickBot="1" x14ac:dyDescent="0.25">
      <c r="A711" s="262" t="s">
        <v>551</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x14ac:dyDescent="0.2">
      <c r="A712" s="653" t="s">
        <v>362</v>
      </c>
      <c r="B712" s="1470" t="s">
        <v>363</v>
      </c>
      <c r="C712" s="1471"/>
      <c r="D712" s="1471"/>
      <c r="E712" s="1471"/>
      <c r="F712" s="1471"/>
      <c r="G712" s="1471"/>
      <c r="H712" s="1471"/>
      <c r="I712" s="1471"/>
      <c r="J712" s="1471"/>
      <c r="K712" s="1471"/>
      <c r="L712" s="1472"/>
      <c r="M712" s="1470" t="s">
        <v>364</v>
      </c>
      <c r="N712" s="1471"/>
      <c r="O712" s="1471"/>
      <c r="P712" s="1471"/>
      <c r="Q712" s="1471"/>
      <c r="R712" s="1471"/>
      <c r="S712" s="1471"/>
      <c r="T712" s="1471"/>
      <c r="U712" s="1471"/>
      <c r="V712" s="1471"/>
      <c r="W712" s="1472"/>
    </row>
    <row r="713" spans="1:23" ht="111" x14ac:dyDescent="0.2">
      <c r="A713" s="654" t="s">
        <v>365</v>
      </c>
      <c r="B713" s="655" t="s">
        <v>366</v>
      </c>
      <c r="C713" s="648" t="s">
        <v>367</v>
      </c>
      <c r="D713" s="649" t="s">
        <v>368</v>
      </c>
      <c r="E713" s="649" t="s">
        <v>369</v>
      </c>
      <c r="F713" s="649" t="s">
        <v>370</v>
      </c>
      <c r="G713" s="649" t="s">
        <v>371</v>
      </c>
      <c r="H713" s="649" t="s">
        <v>372</v>
      </c>
      <c r="I713" s="649" t="s">
        <v>373</v>
      </c>
      <c r="J713" s="650" t="s">
        <v>374</v>
      </c>
      <c r="K713" s="651" t="s">
        <v>375</v>
      </c>
      <c r="L713" s="652" t="s">
        <v>376</v>
      </c>
      <c r="M713" s="648" t="s">
        <v>366</v>
      </c>
      <c r="N713" s="648" t="s">
        <v>367</v>
      </c>
      <c r="O713" s="649" t="s">
        <v>368</v>
      </c>
      <c r="P713" s="649" t="s">
        <v>369</v>
      </c>
      <c r="Q713" s="649" t="s">
        <v>370</v>
      </c>
      <c r="R713" s="649" t="s">
        <v>371</v>
      </c>
      <c r="S713" s="649" t="s">
        <v>372</v>
      </c>
      <c r="T713" s="649" t="s">
        <v>373</v>
      </c>
      <c r="U713" s="650" t="s">
        <v>374</v>
      </c>
      <c r="V713" s="651" t="s">
        <v>375</v>
      </c>
      <c r="W713" s="652" t="s">
        <v>377</v>
      </c>
    </row>
    <row r="714" spans="1:23" x14ac:dyDescent="0.2">
      <c r="A714" s="14"/>
      <c r="B714" s="185"/>
      <c r="L714" s="11"/>
      <c r="W714" s="11"/>
    </row>
    <row r="715" spans="1:23" x14ac:dyDescent="0.2">
      <c r="A715" s="186" t="s">
        <v>378</v>
      </c>
      <c r="B715" s="187"/>
      <c r="C715" s="161"/>
      <c r="D715" s="161"/>
      <c r="E715" s="161"/>
      <c r="F715" s="161"/>
      <c r="G715" s="161"/>
      <c r="H715" s="161"/>
      <c r="I715" s="161"/>
      <c r="J715" s="161"/>
      <c r="K715" s="161"/>
      <c r="L715" s="10"/>
      <c r="M715" s="161"/>
      <c r="N715" s="161"/>
      <c r="O715" s="161"/>
      <c r="P715" s="161"/>
      <c r="Q715" s="161"/>
      <c r="R715" s="161"/>
      <c r="S715" s="161"/>
      <c r="T715" s="161"/>
      <c r="U715" s="161"/>
      <c r="V715" s="161"/>
      <c r="W715" s="10"/>
    </row>
    <row r="716" spans="1:23" x14ac:dyDescent="0.2">
      <c r="A716" s="14" t="s">
        <v>383</v>
      </c>
      <c r="B716" s="14">
        <v>1</v>
      </c>
      <c r="K716" s="249">
        <v>1</v>
      </c>
      <c r="L716" s="193">
        <f>3192.97*12+1000</f>
        <v>39315.64</v>
      </c>
      <c r="M716" s="191">
        <v>1</v>
      </c>
      <c r="V716" s="191">
        <v>1</v>
      </c>
      <c r="W716" s="193">
        <v>39315.64</v>
      </c>
    </row>
    <row r="717" spans="1:23" x14ac:dyDescent="0.2">
      <c r="A717" s="186" t="s">
        <v>385</v>
      </c>
      <c r="B717" s="186"/>
      <c r="C717" s="161"/>
      <c r="D717" s="161"/>
      <c r="E717" s="161"/>
      <c r="F717" s="161"/>
      <c r="G717" s="161"/>
      <c r="H717" s="161"/>
      <c r="I717" s="161"/>
      <c r="J717" s="161"/>
      <c r="K717" s="250"/>
      <c r="L717" s="211"/>
      <c r="M717" s="195"/>
      <c r="N717" s="161"/>
      <c r="O717" s="161"/>
      <c r="P717" s="161"/>
      <c r="Q717" s="161"/>
      <c r="R717" s="161"/>
      <c r="S717" s="161"/>
      <c r="T717" s="161"/>
      <c r="U717" s="161"/>
      <c r="V717" s="195"/>
      <c r="W717" s="197">
        <v>0</v>
      </c>
    </row>
    <row r="718" spans="1:23" x14ac:dyDescent="0.2">
      <c r="A718" s="14" t="s">
        <v>437</v>
      </c>
      <c r="B718" s="14">
        <v>2</v>
      </c>
      <c r="K718" s="249">
        <v>2</v>
      </c>
      <c r="L718" s="193">
        <f>2185.41*12*2+1000</f>
        <v>53449.84</v>
      </c>
      <c r="M718" s="191">
        <v>2</v>
      </c>
      <c r="V718" s="191">
        <v>2</v>
      </c>
      <c r="W718" s="193">
        <v>54449.840000000011</v>
      </c>
    </row>
    <row r="719" spans="1:23" x14ac:dyDescent="0.2">
      <c r="A719" s="14" t="s">
        <v>408</v>
      </c>
      <c r="B719" s="14">
        <v>2</v>
      </c>
      <c r="K719" s="249">
        <v>2</v>
      </c>
      <c r="L719" s="193">
        <f>2479.54*12*B719+1000</f>
        <v>60508.959999999999</v>
      </c>
      <c r="M719" s="191">
        <v>2</v>
      </c>
      <c r="V719" s="191">
        <v>2</v>
      </c>
      <c r="W719" s="193">
        <v>60508.959999999999</v>
      </c>
    </row>
    <row r="720" spans="1:23" x14ac:dyDescent="0.2">
      <c r="A720" s="186" t="s">
        <v>389</v>
      </c>
      <c r="B720" s="186"/>
      <c r="C720" s="161"/>
      <c r="D720" s="161"/>
      <c r="E720" s="161"/>
      <c r="F720" s="161"/>
      <c r="G720" s="161"/>
      <c r="H720" s="161"/>
      <c r="I720" s="161"/>
      <c r="J720" s="161"/>
      <c r="K720" s="250"/>
      <c r="L720" s="211"/>
      <c r="M720" s="195"/>
      <c r="N720" s="161"/>
      <c r="O720" s="161"/>
      <c r="P720" s="161"/>
      <c r="Q720" s="161"/>
      <c r="R720" s="161"/>
      <c r="S720" s="161"/>
      <c r="T720" s="161"/>
      <c r="U720" s="161"/>
      <c r="V720" s="195"/>
      <c r="W720" s="197">
        <v>0</v>
      </c>
    </row>
    <row r="721" spans="1:23" x14ac:dyDescent="0.2">
      <c r="A721" s="14" t="s">
        <v>390</v>
      </c>
      <c r="B721" s="14">
        <v>1</v>
      </c>
      <c r="K721" s="249">
        <v>1</v>
      </c>
      <c r="L721" s="193">
        <f>2374.41*12+1000</f>
        <v>29492.92</v>
      </c>
      <c r="M721" s="191">
        <v>1</v>
      </c>
      <c r="V721" s="191">
        <v>1</v>
      </c>
      <c r="W721" s="193">
        <v>29492.92</v>
      </c>
    </row>
    <row r="722" spans="1:23" x14ac:dyDescent="0.2">
      <c r="A722" s="14" t="s">
        <v>391</v>
      </c>
      <c r="B722" s="14">
        <v>2</v>
      </c>
      <c r="K722" s="249">
        <v>2</v>
      </c>
      <c r="L722" s="193">
        <f>2326*12*B722+1000</f>
        <v>56824</v>
      </c>
      <c r="M722" s="191">
        <v>2</v>
      </c>
      <c r="V722" s="191">
        <v>2</v>
      </c>
      <c r="W722" s="193">
        <v>56824</v>
      </c>
    </row>
    <row r="723" spans="1:23" x14ac:dyDescent="0.2">
      <c r="A723" s="14" t="s">
        <v>392</v>
      </c>
      <c r="B723" s="14">
        <v>10</v>
      </c>
      <c r="K723" s="249">
        <v>10</v>
      </c>
      <c r="L723" s="193">
        <f>2168.18*12*B723+1000</f>
        <v>261181.59999999998</v>
      </c>
      <c r="M723" s="191">
        <v>10</v>
      </c>
      <c r="V723" s="191">
        <v>10</v>
      </c>
      <c r="W723" s="193">
        <v>261181.6</v>
      </c>
    </row>
    <row r="724" spans="1:23" x14ac:dyDescent="0.2">
      <c r="A724" s="14" t="s">
        <v>439</v>
      </c>
      <c r="B724" s="14">
        <v>2</v>
      </c>
      <c r="K724" s="249">
        <v>2</v>
      </c>
      <c r="L724" s="193">
        <v>0</v>
      </c>
      <c r="M724" s="191">
        <v>2</v>
      </c>
      <c r="V724" s="191">
        <v>2</v>
      </c>
      <c r="W724" s="193">
        <v>49848.4</v>
      </c>
    </row>
    <row r="725" spans="1:23" x14ac:dyDescent="0.2">
      <c r="A725" s="186" t="s">
        <v>393</v>
      </c>
      <c r="B725" s="186"/>
      <c r="C725" s="161"/>
      <c r="D725" s="161"/>
      <c r="E725" s="161"/>
      <c r="F725" s="161"/>
      <c r="G725" s="161"/>
      <c r="H725" s="161"/>
      <c r="I725" s="161"/>
      <c r="J725" s="161"/>
      <c r="K725" s="234"/>
      <c r="L725" s="197"/>
      <c r="M725" s="195"/>
      <c r="N725" s="161"/>
      <c r="O725" s="161"/>
      <c r="P725" s="161"/>
      <c r="Q725" s="161"/>
      <c r="R725" s="161"/>
      <c r="S725" s="161"/>
      <c r="T725" s="161"/>
      <c r="U725" s="161"/>
      <c r="V725" s="161"/>
      <c r="W725" s="10"/>
    </row>
    <row r="726" spans="1:23" ht="12.75" thickBot="1" x14ac:dyDescent="0.25">
      <c r="A726" s="14"/>
      <c r="B726" s="228"/>
      <c r="C726" s="230"/>
      <c r="D726" s="230"/>
      <c r="E726" s="230"/>
      <c r="F726" s="230"/>
      <c r="G726" s="230"/>
      <c r="H726" s="230"/>
      <c r="I726" s="230"/>
      <c r="J726" s="230"/>
      <c r="K726" s="251"/>
      <c r="L726" s="252"/>
      <c r="M726" s="191"/>
      <c r="W726" s="11"/>
    </row>
    <row r="727" spans="1:23" ht="12.75" thickBot="1" x14ac:dyDescent="0.25">
      <c r="A727" s="263" t="s">
        <v>400</v>
      </c>
      <c r="B727" s="273">
        <f>SUM(B716:B726)</f>
        <v>20</v>
      </c>
      <c r="C727" s="274">
        <f t="shared" ref="C727:K727" si="101">SUM(C716:C726)</f>
        <v>0</v>
      </c>
      <c r="D727" s="274">
        <f t="shared" si="101"/>
        <v>0</v>
      </c>
      <c r="E727" s="274">
        <f t="shared" si="101"/>
        <v>0</v>
      </c>
      <c r="F727" s="274">
        <f t="shared" si="101"/>
        <v>0</v>
      </c>
      <c r="G727" s="274">
        <f t="shared" si="101"/>
        <v>0</v>
      </c>
      <c r="H727" s="274">
        <f t="shared" si="101"/>
        <v>0</v>
      </c>
      <c r="I727" s="274">
        <f t="shared" si="101"/>
        <v>0</v>
      </c>
      <c r="J727" s="274">
        <f t="shared" si="101"/>
        <v>0</v>
      </c>
      <c r="K727" s="274">
        <f t="shared" si="101"/>
        <v>20</v>
      </c>
      <c r="L727" s="275">
        <f>SUM(L716:L726)</f>
        <v>500772.95999999996</v>
      </c>
      <c r="M727" s="276">
        <f>SUM(M716:M726)</f>
        <v>20</v>
      </c>
      <c r="N727" s="274">
        <f t="shared" ref="N727:V727" si="102">SUM(N716:N726)</f>
        <v>0</v>
      </c>
      <c r="O727" s="274">
        <f t="shared" si="102"/>
        <v>0</v>
      </c>
      <c r="P727" s="274">
        <f t="shared" si="102"/>
        <v>0</v>
      </c>
      <c r="Q727" s="274">
        <f t="shared" si="102"/>
        <v>0</v>
      </c>
      <c r="R727" s="274">
        <f t="shared" si="102"/>
        <v>0</v>
      </c>
      <c r="S727" s="274">
        <f t="shared" si="102"/>
        <v>0</v>
      </c>
      <c r="T727" s="274">
        <f t="shared" si="102"/>
        <v>0</v>
      </c>
      <c r="U727" s="274">
        <f t="shared" si="102"/>
        <v>0</v>
      </c>
      <c r="V727" s="274">
        <f t="shared" si="102"/>
        <v>20</v>
      </c>
      <c r="W727" s="275">
        <f>SUM(W716:W726)</f>
        <v>551621.36</v>
      </c>
    </row>
    <row r="729" spans="1:23" ht="12.75" thickBot="1" x14ac:dyDescent="0.25">
      <c r="A729" s="257" t="s">
        <v>552</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x14ac:dyDescent="0.2">
      <c r="A730" s="646" t="s">
        <v>362</v>
      </c>
      <c r="B730" s="1470" t="s">
        <v>363</v>
      </c>
      <c r="C730" s="1471"/>
      <c r="D730" s="1471"/>
      <c r="E730" s="1471"/>
      <c r="F730" s="1471"/>
      <c r="G730" s="1471"/>
      <c r="H730" s="1471"/>
      <c r="I730" s="1471"/>
      <c r="J730" s="1471"/>
      <c r="K730" s="1471"/>
      <c r="L730" s="1472"/>
      <c r="M730" s="1470" t="s">
        <v>364</v>
      </c>
      <c r="N730" s="1471"/>
      <c r="O730" s="1471"/>
      <c r="P730" s="1471"/>
      <c r="Q730" s="1471"/>
      <c r="R730" s="1471"/>
      <c r="S730" s="1471"/>
      <c r="T730" s="1471"/>
      <c r="U730" s="1471"/>
      <c r="V730" s="1471"/>
      <c r="W730" s="1472"/>
    </row>
    <row r="731" spans="1:23" ht="111" x14ac:dyDescent="0.2">
      <c r="A731" s="647" t="s">
        <v>365</v>
      </c>
      <c r="B731" s="648" t="s">
        <v>366</v>
      </c>
      <c r="C731" s="648" t="s">
        <v>367</v>
      </c>
      <c r="D731" s="649" t="s">
        <v>368</v>
      </c>
      <c r="E731" s="649" t="s">
        <v>369</v>
      </c>
      <c r="F731" s="649" t="s">
        <v>370</v>
      </c>
      <c r="G731" s="649" t="s">
        <v>371</v>
      </c>
      <c r="H731" s="649" t="s">
        <v>372</v>
      </c>
      <c r="I731" s="649" t="s">
        <v>373</v>
      </c>
      <c r="J731" s="650" t="s">
        <v>374</v>
      </c>
      <c r="K731" s="651" t="s">
        <v>375</v>
      </c>
      <c r="L731" s="652" t="s">
        <v>376</v>
      </c>
      <c r="M731" s="648" t="s">
        <v>366</v>
      </c>
      <c r="N731" s="648" t="s">
        <v>367</v>
      </c>
      <c r="O731" s="649" t="s">
        <v>368</v>
      </c>
      <c r="P731" s="649" t="s">
        <v>369</v>
      </c>
      <c r="Q731" s="649" t="s">
        <v>370</v>
      </c>
      <c r="R731" s="649" t="s">
        <v>371</v>
      </c>
      <c r="S731" s="649" t="s">
        <v>372</v>
      </c>
      <c r="T731" s="649" t="s">
        <v>373</v>
      </c>
      <c r="U731" s="650" t="s">
        <v>374</v>
      </c>
      <c r="V731" s="651" t="s">
        <v>375</v>
      </c>
      <c r="W731" s="652" t="s">
        <v>377</v>
      </c>
    </row>
    <row r="732" spans="1:23" x14ac:dyDescent="0.2">
      <c r="A732" s="8"/>
      <c r="L732" s="11"/>
      <c r="W732" s="11"/>
    </row>
    <row r="733" spans="1:23" x14ac:dyDescent="0.2">
      <c r="A733" s="9" t="s">
        <v>378</v>
      </c>
      <c r="B733" s="161"/>
      <c r="C733" s="161"/>
      <c r="D733" s="161"/>
      <c r="E733" s="161"/>
      <c r="F733" s="161"/>
      <c r="G733" s="161"/>
      <c r="H733" s="161"/>
      <c r="I733" s="161"/>
      <c r="J733" s="161"/>
      <c r="K733" s="161"/>
      <c r="L733" s="10"/>
      <c r="M733" s="161"/>
      <c r="N733" s="161"/>
      <c r="O733" s="161"/>
      <c r="P733" s="161"/>
      <c r="Q733" s="161"/>
      <c r="R733" s="161"/>
      <c r="S733" s="161"/>
      <c r="T733" s="161"/>
      <c r="U733" s="161"/>
      <c r="V733" s="161"/>
      <c r="W733" s="10"/>
    </row>
    <row r="734" spans="1:23" x14ac:dyDescent="0.2">
      <c r="A734" s="8" t="s">
        <v>382</v>
      </c>
      <c r="B734" s="7">
        <v>1</v>
      </c>
      <c r="K734" s="7">
        <v>6931.3</v>
      </c>
      <c r="L734" s="193">
        <f>+K734*12+1000</f>
        <v>84175.6</v>
      </c>
      <c r="M734" s="7">
        <v>1</v>
      </c>
      <c r="V734" s="7">
        <v>6931.3</v>
      </c>
      <c r="W734" s="193">
        <f>+V734*12+1000</f>
        <v>84175.6</v>
      </c>
    </row>
    <row r="735" spans="1:23" x14ac:dyDescent="0.2">
      <c r="A735" s="8" t="s">
        <v>383</v>
      </c>
      <c r="B735" s="7">
        <v>2</v>
      </c>
      <c r="K735" s="7">
        <v>12513.36</v>
      </c>
      <c r="L735" s="193">
        <f>+K735*12+2000</f>
        <v>152160.32000000001</v>
      </c>
      <c r="M735" s="7">
        <v>2</v>
      </c>
      <c r="V735" s="7">
        <v>12513.36</v>
      </c>
      <c r="W735" s="193">
        <f>+V735*12+2000</f>
        <v>152160.32000000001</v>
      </c>
    </row>
    <row r="736" spans="1:23" x14ac:dyDescent="0.2">
      <c r="A736" s="8" t="s">
        <v>384</v>
      </c>
      <c r="B736" s="7">
        <v>3</v>
      </c>
      <c r="K736" s="7">
        <v>15022.830000000002</v>
      </c>
      <c r="L736" s="193">
        <f>+K736*12+3000</f>
        <v>183273.96000000002</v>
      </c>
      <c r="M736" s="7">
        <v>3</v>
      </c>
      <c r="V736" s="7">
        <v>15022.830000000002</v>
      </c>
      <c r="W736" s="193">
        <f>+V736*12+3000</f>
        <v>183273.96000000002</v>
      </c>
    </row>
    <row r="737" spans="1:23" x14ac:dyDescent="0.2">
      <c r="A737" s="9" t="s">
        <v>385</v>
      </c>
      <c r="B737" s="161"/>
      <c r="C737" s="161"/>
      <c r="D737" s="161"/>
      <c r="E737" s="161"/>
      <c r="F737" s="161"/>
      <c r="G737" s="161"/>
      <c r="H737" s="161"/>
      <c r="I737" s="161"/>
      <c r="J737" s="161"/>
      <c r="K737" s="161"/>
      <c r="L737" s="10"/>
      <c r="M737" s="161"/>
      <c r="N737" s="161"/>
      <c r="O737" s="161"/>
      <c r="P737" s="161"/>
      <c r="Q737" s="161"/>
      <c r="R737" s="161"/>
      <c r="S737" s="161"/>
      <c r="T737" s="161"/>
      <c r="U737" s="161"/>
      <c r="V737" s="161"/>
      <c r="W737" s="10"/>
    </row>
    <row r="738" spans="1:23" x14ac:dyDescent="0.2">
      <c r="A738" s="8" t="s">
        <v>408</v>
      </c>
      <c r="B738" s="7">
        <v>1</v>
      </c>
      <c r="D738" s="7">
        <v>16</v>
      </c>
      <c r="K738" s="7">
        <f>4874.23+53713</f>
        <v>58587.229999999996</v>
      </c>
      <c r="L738" s="193">
        <f>+K738*12+1000+9600</f>
        <v>713646.76</v>
      </c>
      <c r="M738" s="7">
        <v>1</v>
      </c>
      <c r="O738" s="7">
        <v>16</v>
      </c>
      <c r="V738" s="7">
        <f>4874.23+53713</f>
        <v>58587.229999999996</v>
      </c>
      <c r="W738" s="193">
        <f>+V738*12+1000+9600</f>
        <v>713646.76</v>
      </c>
    </row>
    <row r="739" spans="1:23" x14ac:dyDescent="0.2">
      <c r="A739" s="9" t="s">
        <v>389</v>
      </c>
      <c r="B739" s="161"/>
      <c r="C739" s="161"/>
      <c r="D739" s="161"/>
      <c r="E739" s="161"/>
      <c r="F739" s="161"/>
      <c r="G739" s="161"/>
      <c r="H739" s="161"/>
      <c r="I739" s="161"/>
      <c r="J739" s="161"/>
      <c r="K739" s="161"/>
      <c r="L739" s="10"/>
      <c r="M739" s="161"/>
      <c r="N739" s="161"/>
      <c r="O739" s="161"/>
      <c r="P739" s="161"/>
      <c r="Q739" s="161"/>
      <c r="R739" s="161"/>
      <c r="S739" s="161"/>
      <c r="T739" s="161"/>
      <c r="U739" s="161"/>
      <c r="V739" s="161"/>
      <c r="W739" s="10"/>
    </row>
    <row r="740" spans="1:23" x14ac:dyDescent="0.2">
      <c r="A740" s="8" t="s">
        <v>391</v>
      </c>
      <c r="B740" s="7">
        <v>2</v>
      </c>
      <c r="D740" s="7">
        <f>15+6</f>
        <v>21</v>
      </c>
      <c r="K740" s="7">
        <f>5944.15+32823.6</f>
        <v>38767.75</v>
      </c>
      <c r="L740" s="193">
        <f>+K740*12+2000+12600</f>
        <v>479813</v>
      </c>
      <c r="M740" s="7">
        <v>2</v>
      </c>
      <c r="O740" s="7">
        <f>15+6</f>
        <v>21</v>
      </c>
      <c r="V740" s="7">
        <f>5944.15+32823.6</f>
        <v>38767.75</v>
      </c>
      <c r="W740" s="193">
        <f>+V740*12+2000+12600</f>
        <v>479813</v>
      </c>
    </row>
    <row r="741" spans="1:23" x14ac:dyDescent="0.2">
      <c r="A741" s="9" t="s">
        <v>393</v>
      </c>
      <c r="B741" s="161"/>
      <c r="C741" s="161"/>
      <c r="D741" s="161"/>
      <c r="E741" s="161"/>
      <c r="F741" s="161"/>
      <c r="G741" s="161"/>
      <c r="H741" s="161"/>
      <c r="I741" s="161"/>
      <c r="J741" s="161"/>
      <c r="K741" s="161"/>
      <c r="L741" s="10"/>
      <c r="M741" s="161"/>
      <c r="N741" s="161"/>
      <c r="O741" s="161"/>
      <c r="P741" s="161"/>
      <c r="Q741" s="161"/>
      <c r="R741" s="161"/>
      <c r="S741" s="161"/>
      <c r="T741" s="161"/>
      <c r="U741" s="161"/>
      <c r="V741" s="161"/>
      <c r="W741" s="10"/>
    </row>
    <row r="742" spans="1:23" x14ac:dyDescent="0.2">
      <c r="A742" s="8" t="s">
        <v>410</v>
      </c>
      <c r="D742" s="7">
        <v>7</v>
      </c>
      <c r="K742" s="7">
        <v>10627.5</v>
      </c>
      <c r="L742" s="193">
        <f>+K742*12+4200</f>
        <v>131730</v>
      </c>
      <c r="O742" s="7">
        <v>7</v>
      </c>
      <c r="V742" s="7">
        <v>10627.5</v>
      </c>
      <c r="W742" s="193">
        <f>+V742*12+4200</f>
        <v>131730</v>
      </c>
    </row>
    <row r="743" spans="1:23" ht="24" x14ac:dyDescent="0.2">
      <c r="A743" s="676" t="s">
        <v>511</v>
      </c>
      <c r="K743" s="192"/>
      <c r="L743" s="193"/>
      <c r="V743" s="192"/>
      <c r="W743" s="193"/>
    </row>
    <row r="744" spans="1:23" x14ac:dyDescent="0.2">
      <c r="A744" s="209" t="s">
        <v>484</v>
      </c>
      <c r="B744" s="226"/>
      <c r="C744" s="226"/>
      <c r="D744" s="226"/>
      <c r="E744" s="226"/>
      <c r="F744" s="226"/>
      <c r="G744" s="226"/>
      <c r="H744" s="226"/>
      <c r="I744" s="226"/>
      <c r="J744" s="226"/>
      <c r="K744" s="237"/>
      <c r="L744" s="211"/>
      <c r="M744" s="226"/>
      <c r="N744" s="226"/>
      <c r="O744" s="226"/>
      <c r="P744" s="226"/>
      <c r="Q744" s="226"/>
      <c r="R744" s="226"/>
      <c r="S744" s="226"/>
      <c r="T744" s="226"/>
      <c r="U744" s="226"/>
      <c r="V744" s="237"/>
      <c r="W744" s="211"/>
    </row>
    <row r="745" spans="1:23" x14ac:dyDescent="0.2">
      <c r="A745" s="8" t="s">
        <v>553</v>
      </c>
      <c r="B745" s="7">
        <v>1</v>
      </c>
      <c r="K745" s="192">
        <v>12222.5</v>
      </c>
      <c r="L745" s="193">
        <f>+K745*12+1000</f>
        <v>147670</v>
      </c>
      <c r="M745" s="7">
        <v>1</v>
      </c>
      <c r="V745" s="192">
        <v>12222.5</v>
      </c>
      <c r="W745" s="193">
        <f>+V745*12+1000</f>
        <v>147670</v>
      </c>
    </row>
    <row r="746" spans="1:23" x14ac:dyDescent="0.2">
      <c r="A746" s="8" t="s">
        <v>554</v>
      </c>
      <c r="B746" s="7">
        <v>1</v>
      </c>
      <c r="K746" s="192">
        <v>11366.28</v>
      </c>
      <c r="L746" s="193">
        <f>+K746*12+1000</f>
        <v>137395.36000000002</v>
      </c>
      <c r="M746" s="7">
        <v>1</v>
      </c>
      <c r="V746" s="192">
        <v>11366.28</v>
      </c>
      <c r="W746" s="193">
        <f>+V746*12+1000</f>
        <v>137395.36000000002</v>
      </c>
    </row>
    <row r="747" spans="1:23" x14ac:dyDescent="0.2">
      <c r="A747" s="8" t="s">
        <v>555</v>
      </c>
      <c r="B747" s="7">
        <v>2</v>
      </c>
      <c r="K747" s="192">
        <v>20005.939999999999</v>
      </c>
      <c r="L747" s="193">
        <f>+K747*12+2000</f>
        <v>242071.27999999997</v>
      </c>
      <c r="M747" s="7">
        <v>2</v>
      </c>
      <c r="V747" s="192">
        <v>20005.939999999999</v>
      </c>
      <c r="W747" s="193">
        <f>+V747*12+2000</f>
        <v>242071.27999999997</v>
      </c>
    </row>
    <row r="748" spans="1:23" x14ac:dyDescent="0.2">
      <c r="A748" s="8" t="s">
        <v>556</v>
      </c>
      <c r="B748" s="7">
        <v>10</v>
      </c>
      <c r="D748" s="7">
        <v>14</v>
      </c>
      <c r="K748" s="192">
        <f>80910.43+118049.2</f>
        <v>198959.63</v>
      </c>
      <c r="L748" s="193">
        <f>+K748*12+10000+8400</f>
        <v>2405915.56</v>
      </c>
      <c r="M748" s="7">
        <v>10</v>
      </c>
      <c r="O748" s="7">
        <v>14</v>
      </c>
      <c r="V748" s="192">
        <f>80910.43+118049.2</f>
        <v>198959.63</v>
      </c>
      <c r="W748" s="193">
        <f>+V748*12+10000+8400</f>
        <v>2405915.56</v>
      </c>
    </row>
    <row r="749" spans="1:23" x14ac:dyDescent="0.2">
      <c r="A749" s="182" t="s">
        <v>516</v>
      </c>
      <c r="K749" s="192"/>
      <c r="L749" s="193"/>
      <c r="V749" s="192"/>
      <c r="W749" s="193"/>
    </row>
    <row r="750" spans="1:23" x14ac:dyDescent="0.2">
      <c r="A750" s="8" t="s">
        <v>557</v>
      </c>
      <c r="B750" s="7">
        <v>2</v>
      </c>
      <c r="K750" s="192">
        <v>14997.02</v>
      </c>
      <c r="L750" s="193">
        <f>+K750*12+2000</f>
        <v>181964.24</v>
      </c>
      <c r="M750" s="7">
        <v>2</v>
      </c>
      <c r="V750" s="192">
        <v>14997.02</v>
      </c>
      <c r="W750" s="193">
        <f>+V750*12+2000</f>
        <v>181964.24</v>
      </c>
    </row>
    <row r="751" spans="1:23" x14ac:dyDescent="0.2">
      <c r="A751" s="8" t="s">
        <v>558</v>
      </c>
      <c r="B751" s="7">
        <v>19</v>
      </c>
      <c r="D751" s="7">
        <v>21</v>
      </c>
      <c r="K751" s="192">
        <f>103354.57+108273.8</f>
        <v>211628.37</v>
      </c>
      <c r="L751" s="193">
        <f>+K751*12+19000+12600</f>
        <v>2571140.44</v>
      </c>
      <c r="M751" s="7">
        <v>19</v>
      </c>
      <c r="O751" s="7">
        <v>21</v>
      </c>
      <c r="V751" s="192">
        <f>103354.57+108273.8</f>
        <v>211628.37</v>
      </c>
      <c r="W751" s="193">
        <f>+V751*12+19000+12600</f>
        <v>2571140.44</v>
      </c>
    </row>
    <row r="752" spans="1:23" x14ac:dyDescent="0.2">
      <c r="A752" s="182" t="s">
        <v>517</v>
      </c>
      <c r="K752" s="192"/>
      <c r="L752" s="193"/>
      <c r="V752" s="192"/>
      <c r="W752" s="193"/>
    </row>
    <row r="753" spans="1:23" x14ac:dyDescent="0.2">
      <c r="A753" s="8">
        <v>13</v>
      </c>
      <c r="B753" s="7">
        <v>1</v>
      </c>
      <c r="K753" s="192">
        <v>7715.24</v>
      </c>
      <c r="L753" s="193">
        <f>+K753*12+1000</f>
        <v>93582.88</v>
      </c>
      <c r="M753" s="7">
        <v>1</v>
      </c>
      <c r="V753" s="192">
        <v>7715.24</v>
      </c>
      <c r="W753" s="193">
        <f>+V753*12+1000</f>
        <v>93582.88</v>
      </c>
    </row>
    <row r="754" spans="1:23" x14ac:dyDescent="0.2">
      <c r="A754" s="8">
        <v>12</v>
      </c>
      <c r="B754" s="7">
        <v>1</v>
      </c>
      <c r="K754" s="192">
        <v>7408.15</v>
      </c>
      <c r="L754" s="193">
        <f>+K754*12+1000</f>
        <v>89897.799999999988</v>
      </c>
      <c r="M754" s="7">
        <v>1</v>
      </c>
      <c r="V754" s="192">
        <v>7408.15</v>
      </c>
      <c r="W754" s="193">
        <f>+V754*12+1000</f>
        <v>89897.799999999988</v>
      </c>
    </row>
    <row r="755" spans="1:23" x14ac:dyDescent="0.2">
      <c r="A755" s="8">
        <v>10</v>
      </c>
      <c r="B755" s="7">
        <v>18</v>
      </c>
      <c r="D755" s="7">
        <v>34</v>
      </c>
      <c r="K755" s="688">
        <f>97963.19+184255.2</f>
        <v>282218.39</v>
      </c>
      <c r="L755" s="193">
        <f>+K755*12+18000+20400</f>
        <v>3425020.68</v>
      </c>
      <c r="M755" s="7">
        <v>18</v>
      </c>
      <c r="O755" s="7">
        <v>34</v>
      </c>
      <c r="V755" s="688">
        <f>97963.19+184255.2</f>
        <v>282218.39</v>
      </c>
      <c r="W755" s="193">
        <f>+V755*12+18000+20400</f>
        <v>3425020.68</v>
      </c>
    </row>
    <row r="756" spans="1:23" ht="24" x14ac:dyDescent="0.2">
      <c r="A756" s="676" t="s">
        <v>518</v>
      </c>
      <c r="K756" s="192"/>
      <c r="L756" s="193"/>
      <c r="V756" s="192"/>
      <c r="W756" s="193"/>
    </row>
    <row r="757" spans="1:23" x14ac:dyDescent="0.2">
      <c r="A757" s="676" t="s">
        <v>471</v>
      </c>
      <c r="K757" s="192"/>
      <c r="L757" s="193"/>
      <c r="V757" s="192"/>
      <c r="W757" s="193"/>
    </row>
    <row r="758" spans="1:23" x14ac:dyDescent="0.2">
      <c r="A758" s="8" t="s">
        <v>559</v>
      </c>
      <c r="B758" s="7">
        <v>1</v>
      </c>
      <c r="K758" s="192">
        <v>6729.1100000000006</v>
      </c>
      <c r="L758" s="193">
        <f>+K758*12+1000</f>
        <v>81749.320000000007</v>
      </c>
      <c r="M758" s="7">
        <v>1</v>
      </c>
      <c r="V758" s="192">
        <v>6729.1100000000006</v>
      </c>
      <c r="W758" s="193">
        <f>+V758*12+1000</f>
        <v>81749.320000000007</v>
      </c>
    </row>
    <row r="759" spans="1:23" x14ac:dyDescent="0.2">
      <c r="A759" s="8" t="s">
        <v>560</v>
      </c>
      <c r="B759" s="7">
        <v>2</v>
      </c>
      <c r="D759" s="7">
        <v>3</v>
      </c>
      <c r="K759" s="192">
        <f>9588+16353.4</f>
        <v>25941.4</v>
      </c>
      <c r="L759" s="193">
        <f>+K759*12+2000+1800</f>
        <v>315096.80000000005</v>
      </c>
      <c r="M759" s="7">
        <v>2</v>
      </c>
      <c r="O759" s="7">
        <v>3</v>
      </c>
      <c r="V759" s="192">
        <f>9588+16353.4</f>
        <v>25941.4</v>
      </c>
      <c r="W759" s="193">
        <f>+V759*12+2000+1800</f>
        <v>315096.80000000005</v>
      </c>
    </row>
    <row r="760" spans="1:23" x14ac:dyDescent="0.2">
      <c r="A760" s="676" t="s">
        <v>561</v>
      </c>
      <c r="K760" s="192"/>
      <c r="L760" s="193"/>
      <c r="V760" s="192"/>
      <c r="W760" s="193"/>
    </row>
    <row r="761" spans="1:23" x14ac:dyDescent="0.2">
      <c r="A761" s="8" t="s">
        <v>562</v>
      </c>
      <c r="B761" s="7">
        <v>4</v>
      </c>
      <c r="D761" s="7">
        <v>2</v>
      </c>
      <c r="K761" s="192">
        <f>21264.26+11135.6</f>
        <v>32399.86</v>
      </c>
      <c r="L761" s="193">
        <f>+K761*12+4000+1200</f>
        <v>393998.32</v>
      </c>
      <c r="M761" s="7">
        <v>4</v>
      </c>
      <c r="O761" s="7">
        <v>2</v>
      </c>
      <c r="V761" s="192">
        <f>21264.26+11135.6</f>
        <v>32399.86</v>
      </c>
      <c r="W761" s="193">
        <f>+V761*12+4000+1200</f>
        <v>393998.32</v>
      </c>
    </row>
    <row r="762" spans="1:23" x14ac:dyDescent="0.2">
      <c r="A762" s="676" t="s">
        <v>486</v>
      </c>
      <c r="K762" s="192"/>
      <c r="L762" s="193"/>
      <c r="V762" s="192"/>
      <c r="W762" s="193"/>
    </row>
    <row r="763" spans="1:23" x14ac:dyDescent="0.2">
      <c r="A763" s="8" t="s">
        <v>563</v>
      </c>
      <c r="B763" s="7">
        <v>1</v>
      </c>
      <c r="K763" s="192">
        <v>6729.1100000000006</v>
      </c>
      <c r="L763" s="193">
        <f>+K763*12+1000</f>
        <v>81749.320000000007</v>
      </c>
      <c r="M763" s="7">
        <v>1</v>
      </c>
      <c r="V763" s="192">
        <v>6729.1100000000006</v>
      </c>
      <c r="W763" s="193">
        <f>+V763*12+1000</f>
        <v>81749.320000000007</v>
      </c>
    </row>
    <row r="764" spans="1:23" x14ac:dyDescent="0.2">
      <c r="A764" s="676" t="s">
        <v>564</v>
      </c>
      <c r="K764" s="192"/>
      <c r="L764" s="193"/>
      <c r="V764" s="192"/>
      <c r="W764" s="193"/>
    </row>
    <row r="765" spans="1:23" x14ac:dyDescent="0.2">
      <c r="A765" s="8" t="s">
        <v>565</v>
      </c>
      <c r="B765" s="7">
        <v>1</v>
      </c>
      <c r="K765" s="192">
        <v>4794</v>
      </c>
      <c r="L765" s="193">
        <f>+K765*12+1000</f>
        <v>58528</v>
      </c>
      <c r="M765" s="7">
        <v>1</v>
      </c>
      <c r="V765" s="192">
        <v>4794</v>
      </c>
      <c r="W765" s="193">
        <f>+V765*12+1000</f>
        <v>58528</v>
      </c>
    </row>
    <row r="766" spans="1:23" x14ac:dyDescent="0.2">
      <c r="A766" s="676" t="s">
        <v>566</v>
      </c>
      <c r="K766" s="192"/>
      <c r="L766" s="193"/>
      <c r="V766" s="192"/>
      <c r="W766" s="193"/>
    </row>
    <row r="767" spans="1:23" x14ac:dyDescent="0.2">
      <c r="A767" s="8" t="s">
        <v>567</v>
      </c>
      <c r="D767" s="7">
        <v>2</v>
      </c>
      <c r="K767" s="192">
        <v>8435.6</v>
      </c>
      <c r="L767" s="193">
        <f>+K767*12+1200</f>
        <v>102427.20000000001</v>
      </c>
      <c r="O767" s="7">
        <v>2</v>
      </c>
      <c r="V767" s="192">
        <v>8435.6</v>
      </c>
      <c r="W767" s="193">
        <f>+V767*12+1200</f>
        <v>102427.20000000001</v>
      </c>
    </row>
    <row r="768" spans="1:23" x14ac:dyDescent="0.2">
      <c r="A768" s="676" t="s">
        <v>568</v>
      </c>
      <c r="K768" s="192"/>
      <c r="L768" s="193"/>
      <c r="V768" s="192"/>
      <c r="W768" s="193"/>
    </row>
    <row r="769" spans="1:23" x14ac:dyDescent="0.2">
      <c r="A769" s="8" t="s">
        <v>521</v>
      </c>
      <c r="D769" s="7">
        <v>1</v>
      </c>
      <c r="K769" s="192">
        <v>5217.8</v>
      </c>
      <c r="L769" s="193">
        <f>+K769*12+600</f>
        <v>63213.600000000006</v>
      </c>
      <c r="O769" s="7">
        <v>1</v>
      </c>
      <c r="V769" s="192">
        <v>5217.8</v>
      </c>
      <c r="W769" s="193">
        <f>+V769*12+600</f>
        <v>63213.600000000006</v>
      </c>
    </row>
    <row r="770" spans="1:23" ht="24" x14ac:dyDescent="0.2">
      <c r="A770" s="676" t="s">
        <v>448</v>
      </c>
      <c r="K770" s="192"/>
      <c r="L770" s="193"/>
      <c r="V770" s="192"/>
      <c r="W770" s="193"/>
    </row>
    <row r="771" spans="1:23" x14ac:dyDescent="0.2">
      <c r="A771" s="182" t="s">
        <v>522</v>
      </c>
      <c r="K771" s="192"/>
      <c r="L771" s="193"/>
      <c r="V771" s="192"/>
      <c r="W771" s="193"/>
    </row>
    <row r="772" spans="1:23" x14ac:dyDescent="0.2">
      <c r="A772" s="8" t="s">
        <v>390</v>
      </c>
      <c r="B772" s="7">
        <v>1</v>
      </c>
      <c r="K772" s="192">
        <v>4405.18</v>
      </c>
      <c r="L772" s="193">
        <f>+K772*12+1000</f>
        <v>53862.16</v>
      </c>
      <c r="M772" s="7">
        <v>1</v>
      </c>
      <c r="V772" s="192">
        <v>4405.18</v>
      </c>
      <c r="W772" s="193">
        <f>+V772*12+1000</f>
        <v>53862.16</v>
      </c>
    </row>
    <row r="773" spans="1:23" x14ac:dyDescent="0.2">
      <c r="A773" s="8" t="s">
        <v>391</v>
      </c>
      <c r="B773" s="7">
        <v>10</v>
      </c>
      <c r="K773" s="192">
        <v>41552.979999999996</v>
      </c>
      <c r="L773" s="193">
        <f>+K773*12+10000</f>
        <v>508635.75999999995</v>
      </c>
      <c r="M773" s="7">
        <v>10</v>
      </c>
      <c r="V773" s="192">
        <v>41552.979999999996</v>
      </c>
      <c r="W773" s="193">
        <f>+V773*12+10000</f>
        <v>508635.75999999995</v>
      </c>
    </row>
    <row r="774" spans="1:23" x14ac:dyDescent="0.2">
      <c r="A774" s="8" t="s">
        <v>392</v>
      </c>
      <c r="B774" s="7">
        <v>9</v>
      </c>
      <c r="K774" s="192">
        <v>40641.850000000006</v>
      </c>
      <c r="L774" s="193">
        <f>+K774*12+9000</f>
        <v>496702.20000000007</v>
      </c>
      <c r="M774" s="7">
        <v>9</v>
      </c>
      <c r="V774" s="192">
        <v>40641.850000000006</v>
      </c>
      <c r="W774" s="193">
        <f>+V774*12+9000</f>
        <v>496702.20000000007</v>
      </c>
    </row>
    <row r="775" spans="1:23" x14ac:dyDescent="0.2">
      <c r="A775" s="8" t="s">
        <v>440</v>
      </c>
      <c r="B775" s="7">
        <v>62</v>
      </c>
      <c r="D775" s="7">
        <v>62</v>
      </c>
      <c r="K775" s="192">
        <f>209366.1+107320.7</f>
        <v>316686.8</v>
      </c>
      <c r="L775" s="193">
        <f>+K775*12+62000+37200</f>
        <v>3899441.5999999996</v>
      </c>
      <c r="M775" s="7">
        <v>62</v>
      </c>
      <c r="O775" s="7">
        <v>62</v>
      </c>
      <c r="V775" s="192">
        <f>209366.1+107320.7</f>
        <v>316686.8</v>
      </c>
      <c r="W775" s="193">
        <f>+V775*12+62000+37200</f>
        <v>3899441.5999999996</v>
      </c>
    </row>
    <row r="776" spans="1:23" x14ac:dyDescent="0.2">
      <c r="A776" s="182" t="s">
        <v>523</v>
      </c>
      <c r="K776" s="192"/>
      <c r="L776" s="11"/>
      <c r="V776" s="192"/>
      <c r="W776" s="11"/>
    </row>
    <row r="777" spans="1:23" x14ac:dyDescent="0.2">
      <c r="A777" s="8" t="s">
        <v>394</v>
      </c>
      <c r="B777" s="7">
        <v>3</v>
      </c>
      <c r="K777" s="192">
        <v>13600.420000000002</v>
      </c>
      <c r="L777" s="193">
        <f>+K777*12+3000</f>
        <v>166205.04000000004</v>
      </c>
      <c r="M777" s="7">
        <v>3</v>
      </c>
      <c r="V777" s="192">
        <v>13600.420000000002</v>
      </c>
      <c r="W777" s="193">
        <f>+V777*12+3000</f>
        <v>166205.04000000004</v>
      </c>
    </row>
    <row r="778" spans="1:23" x14ac:dyDescent="0.2">
      <c r="A778" s="8" t="s">
        <v>441</v>
      </c>
      <c r="B778" s="7">
        <v>1</v>
      </c>
      <c r="K778" s="192">
        <v>2495.34</v>
      </c>
      <c r="L778" s="193">
        <f>+K778*12+1000</f>
        <v>30944.080000000002</v>
      </c>
      <c r="M778" s="7">
        <v>1</v>
      </c>
      <c r="V778" s="192">
        <v>2495.34</v>
      </c>
      <c r="W778" s="193">
        <f>+V778*12+1000</f>
        <v>30944.080000000002</v>
      </c>
    </row>
    <row r="779" spans="1:23" x14ac:dyDescent="0.2">
      <c r="A779" s="8" t="s">
        <v>442</v>
      </c>
      <c r="B779" s="7">
        <v>4</v>
      </c>
      <c r="K779" s="192">
        <v>16391.05</v>
      </c>
      <c r="L779" s="193">
        <f>+K779*12+4000</f>
        <v>200692.59999999998</v>
      </c>
      <c r="M779" s="7">
        <v>4</v>
      </c>
      <c r="V779" s="192">
        <v>16391.05</v>
      </c>
      <c r="W779" s="193">
        <f>+V779*12+4000</f>
        <v>200692.59999999998</v>
      </c>
    </row>
    <row r="780" spans="1:23" x14ac:dyDescent="0.2">
      <c r="A780" s="8" t="s">
        <v>451</v>
      </c>
      <c r="B780" s="7">
        <v>17</v>
      </c>
      <c r="D780" s="7">
        <v>109</v>
      </c>
      <c r="K780" s="192">
        <f>50010.03+160121</f>
        <v>210131.03</v>
      </c>
      <c r="L780" s="193">
        <f>+K780*12+17000+65400</f>
        <v>2603972.36</v>
      </c>
      <c r="M780" s="7">
        <v>17</v>
      </c>
      <c r="O780" s="7">
        <v>109</v>
      </c>
      <c r="V780" s="192">
        <f>50010.03+160121</f>
        <v>210131.03</v>
      </c>
      <c r="W780" s="193">
        <f>+V780*12+17000+65400</f>
        <v>2603972.36</v>
      </c>
    </row>
    <row r="781" spans="1:23" x14ac:dyDescent="0.2">
      <c r="A781" s="8"/>
      <c r="K781" s="192"/>
      <c r="L781" s="11"/>
      <c r="W781" s="11"/>
    </row>
    <row r="782" spans="1:23" x14ac:dyDescent="0.2">
      <c r="A782" s="8"/>
      <c r="L782" s="11"/>
      <c r="W782" s="11"/>
    </row>
    <row r="783" spans="1:23" x14ac:dyDescent="0.2">
      <c r="A783" s="8"/>
      <c r="L783" s="11"/>
      <c r="W783" s="11"/>
    </row>
    <row r="784" spans="1:23" ht="12.75" thickBot="1" x14ac:dyDescent="0.25">
      <c r="A784" s="8"/>
      <c r="L784" s="11"/>
      <c r="W784" s="11"/>
    </row>
    <row r="785" spans="1:23" ht="12.75" thickBot="1" x14ac:dyDescent="0.25">
      <c r="A785" s="263" t="s">
        <v>400</v>
      </c>
      <c r="B785" s="270">
        <f>SUM(B734:B784)</f>
        <v>180</v>
      </c>
      <c r="C785" s="270"/>
      <c r="D785" s="270">
        <f>SUM(D734:D784)</f>
        <v>292</v>
      </c>
      <c r="E785" s="270"/>
      <c r="F785" s="270"/>
      <c r="G785" s="270"/>
      <c r="H785" s="270"/>
      <c r="I785" s="270"/>
      <c r="J785" s="270"/>
      <c r="K785" s="265">
        <f>SUM(K734:K784)</f>
        <v>1645123.0200000003</v>
      </c>
      <c r="L785" s="271">
        <f>SUM(L734:L784)</f>
        <v>20096676.239999995</v>
      </c>
      <c r="M785" s="270"/>
      <c r="N785" s="270"/>
      <c r="O785" s="270"/>
      <c r="P785" s="270"/>
      <c r="Q785" s="270"/>
      <c r="R785" s="270"/>
      <c r="S785" s="270"/>
      <c r="T785" s="270"/>
      <c r="U785" s="270"/>
      <c r="V785" s="272">
        <f>SUM(V734:V784)</f>
        <v>1645123.0200000003</v>
      </c>
      <c r="W785" s="272">
        <f>SUM(W734:W784)</f>
        <v>20096676.239999995</v>
      </c>
    </row>
    <row r="788" spans="1:23" ht="12.75" thickBot="1" x14ac:dyDescent="0.25">
      <c r="A788" s="257" t="s">
        <v>569</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x14ac:dyDescent="0.2">
      <c r="A789" s="646" t="s">
        <v>362</v>
      </c>
      <c r="B789" s="1470" t="s">
        <v>363</v>
      </c>
      <c r="C789" s="1471"/>
      <c r="D789" s="1471"/>
      <c r="E789" s="1471"/>
      <c r="F789" s="1471"/>
      <c r="G789" s="1471"/>
      <c r="H789" s="1471"/>
      <c r="I789" s="1471"/>
      <c r="J789" s="1471"/>
      <c r="K789" s="1471"/>
      <c r="L789" s="1472"/>
      <c r="M789" s="1470" t="s">
        <v>364</v>
      </c>
      <c r="N789" s="1471"/>
      <c r="O789" s="1471"/>
      <c r="P789" s="1471"/>
      <c r="Q789" s="1471"/>
      <c r="R789" s="1471"/>
      <c r="S789" s="1471"/>
      <c r="T789" s="1471"/>
      <c r="U789" s="1471"/>
      <c r="V789" s="1471"/>
      <c r="W789" s="1472"/>
    </row>
    <row r="790" spans="1:23" ht="111" x14ac:dyDescent="0.2">
      <c r="A790" s="647" t="s">
        <v>365</v>
      </c>
      <c r="B790" s="648" t="s">
        <v>366</v>
      </c>
      <c r="C790" s="648" t="s">
        <v>367</v>
      </c>
      <c r="D790" s="649" t="s">
        <v>368</v>
      </c>
      <c r="E790" s="649" t="s">
        <v>369</v>
      </c>
      <c r="F790" s="649" t="s">
        <v>370</v>
      </c>
      <c r="G790" s="649" t="s">
        <v>371</v>
      </c>
      <c r="H790" s="649" t="s">
        <v>372</v>
      </c>
      <c r="I790" s="649" t="s">
        <v>373</v>
      </c>
      <c r="J790" s="650" t="s">
        <v>374</v>
      </c>
      <c r="K790" s="651" t="s">
        <v>375</v>
      </c>
      <c r="L790" s="652" t="s">
        <v>376</v>
      </c>
      <c r="M790" s="648" t="s">
        <v>366</v>
      </c>
      <c r="N790" s="648" t="s">
        <v>367</v>
      </c>
      <c r="O790" s="649" t="s">
        <v>368</v>
      </c>
      <c r="P790" s="649" t="s">
        <v>369</v>
      </c>
      <c r="Q790" s="649" t="s">
        <v>370</v>
      </c>
      <c r="R790" s="649" t="s">
        <v>371</v>
      </c>
      <c r="S790" s="649" t="s">
        <v>372</v>
      </c>
      <c r="T790" s="649" t="s">
        <v>373</v>
      </c>
      <c r="U790" s="650" t="s">
        <v>374</v>
      </c>
      <c r="V790" s="651" t="s">
        <v>375</v>
      </c>
      <c r="W790" s="652" t="s">
        <v>377</v>
      </c>
    </row>
    <row r="791" spans="1:23" x14ac:dyDescent="0.2">
      <c r="A791" s="8"/>
      <c r="L791" s="11"/>
      <c r="W791" s="11"/>
    </row>
    <row r="792" spans="1:23" x14ac:dyDescent="0.2">
      <c r="A792" s="9" t="s">
        <v>378</v>
      </c>
      <c r="B792" s="161"/>
      <c r="C792" s="161"/>
      <c r="D792" s="161"/>
      <c r="E792" s="161"/>
      <c r="F792" s="161"/>
      <c r="G792" s="161"/>
      <c r="H792" s="161"/>
      <c r="I792" s="161"/>
      <c r="J792" s="161"/>
      <c r="K792" s="161"/>
      <c r="L792" s="10"/>
      <c r="M792" s="161"/>
      <c r="N792" s="161"/>
      <c r="O792" s="161"/>
      <c r="P792" s="161"/>
      <c r="Q792" s="161"/>
      <c r="R792" s="161"/>
      <c r="S792" s="161"/>
      <c r="T792" s="161"/>
      <c r="U792" s="161"/>
      <c r="V792" s="161"/>
      <c r="W792" s="10"/>
    </row>
    <row r="793" spans="1:23" x14ac:dyDescent="0.2">
      <c r="A793" s="8" t="s">
        <v>382</v>
      </c>
      <c r="B793" s="189">
        <v>1</v>
      </c>
      <c r="C793" s="66"/>
      <c r="E793" s="66"/>
      <c r="F793" s="66"/>
      <c r="I793" s="66"/>
      <c r="J793" s="66"/>
      <c r="K793" s="7">
        <f>SUM(B793:J793)</f>
        <v>1</v>
      </c>
      <c r="L793" s="175">
        <v>54799.6</v>
      </c>
      <c r="M793" s="189">
        <v>1</v>
      </c>
      <c r="N793" s="66"/>
      <c r="P793" s="66"/>
      <c r="Q793" s="66"/>
      <c r="T793" s="66"/>
      <c r="U793" s="66"/>
      <c r="V793" s="7">
        <f>SUM(M793:U793)</f>
        <v>1</v>
      </c>
      <c r="W793" s="175">
        <v>54799.6</v>
      </c>
    </row>
    <row r="794" spans="1:23" x14ac:dyDescent="0.2">
      <c r="A794" s="8" t="s">
        <v>383</v>
      </c>
      <c r="B794" s="189">
        <v>2</v>
      </c>
      <c r="C794" s="66"/>
      <c r="E794" s="66"/>
      <c r="F794" s="66"/>
      <c r="I794" s="66"/>
      <c r="J794" s="66"/>
      <c r="K794" s="7">
        <f>SUM(B794:J794)</f>
        <v>2</v>
      </c>
      <c r="L794" s="175">
        <v>67639.520000000004</v>
      </c>
      <c r="M794" s="189">
        <v>2</v>
      </c>
      <c r="N794" s="66"/>
      <c r="P794" s="66"/>
      <c r="Q794" s="66"/>
      <c r="T794" s="66"/>
      <c r="U794" s="66"/>
      <c r="V794" s="7">
        <f>SUM(M794:U794)</f>
        <v>2</v>
      </c>
      <c r="W794" s="175">
        <v>67639.520000000004</v>
      </c>
    </row>
    <row r="795" spans="1:23" x14ac:dyDescent="0.2">
      <c r="A795" s="8" t="s">
        <v>384</v>
      </c>
      <c r="B795" s="189">
        <v>3</v>
      </c>
      <c r="C795" s="66"/>
      <c r="E795" s="66"/>
      <c r="F795" s="66"/>
      <c r="I795" s="66"/>
      <c r="J795" s="66"/>
      <c r="K795" s="7">
        <f>SUM(B795:J795)</f>
        <v>3</v>
      </c>
      <c r="L795" s="175">
        <v>89349.96</v>
      </c>
      <c r="M795" s="189">
        <v>3</v>
      </c>
      <c r="N795" s="66"/>
      <c r="P795" s="66"/>
      <c r="Q795" s="66"/>
      <c r="T795" s="66"/>
      <c r="U795" s="66"/>
      <c r="V795" s="7">
        <f>SUM(M795:U795)</f>
        <v>3</v>
      </c>
      <c r="W795" s="175">
        <v>89349.96</v>
      </c>
    </row>
    <row r="796" spans="1:23" x14ac:dyDescent="0.2">
      <c r="A796" s="9" t="s">
        <v>385</v>
      </c>
      <c r="B796" s="173"/>
      <c r="C796" s="173"/>
      <c r="D796" s="161"/>
      <c r="E796" s="173"/>
      <c r="F796" s="173"/>
      <c r="G796" s="173"/>
      <c r="H796" s="173"/>
      <c r="I796" s="173"/>
      <c r="J796" s="173"/>
      <c r="K796" s="226"/>
      <c r="L796" s="218"/>
      <c r="M796" s="173"/>
      <c r="N796" s="173"/>
      <c r="O796" s="161"/>
      <c r="P796" s="173"/>
      <c r="Q796" s="173"/>
      <c r="R796" s="173"/>
      <c r="S796" s="173"/>
      <c r="T796" s="173"/>
      <c r="U796" s="173"/>
      <c r="V796" s="226"/>
      <c r="W796" s="218"/>
    </row>
    <row r="797" spans="1:23" x14ac:dyDescent="0.2">
      <c r="A797" s="8" t="s">
        <v>556</v>
      </c>
      <c r="D797" s="7">
        <v>10</v>
      </c>
      <c r="E797" s="253"/>
      <c r="F797" s="66"/>
      <c r="I797" s="66"/>
      <c r="J797" s="7">
        <v>4</v>
      </c>
      <c r="K797" s="7">
        <f>SUM(C797:J797)</f>
        <v>14</v>
      </c>
      <c r="L797" s="175">
        <f>428872.36+1367736</f>
        <v>1796608.3599999999</v>
      </c>
      <c r="O797" s="7">
        <v>10</v>
      </c>
      <c r="P797" s="253"/>
      <c r="Q797" s="66"/>
      <c r="T797" s="66"/>
      <c r="U797" s="7">
        <v>4</v>
      </c>
      <c r="V797" s="7">
        <f t="shared" ref="V797:V813" si="103">SUM(M797:U797)</f>
        <v>14</v>
      </c>
      <c r="W797" s="175">
        <f>428872.36+1367736</f>
        <v>1796608.3599999999</v>
      </c>
    </row>
    <row r="798" spans="1:23" x14ac:dyDescent="0.2">
      <c r="A798" s="8" t="s">
        <v>570</v>
      </c>
      <c r="E798" s="253"/>
      <c r="F798" s="66"/>
      <c r="I798" s="66"/>
      <c r="K798" s="7">
        <f>SUM(C798:J798)</f>
        <v>0</v>
      </c>
      <c r="L798" s="175">
        <f>((5515*J798)+(4500*D798))*12</f>
        <v>0</v>
      </c>
      <c r="P798" s="253"/>
      <c r="Q798" s="66"/>
      <c r="T798" s="66"/>
      <c r="U798" s="7">
        <v>0</v>
      </c>
      <c r="V798" s="7">
        <f t="shared" si="103"/>
        <v>0</v>
      </c>
      <c r="W798" s="175">
        <f>((5515*U798)+(4500*O798))*12</f>
        <v>0</v>
      </c>
    </row>
    <row r="799" spans="1:23" x14ac:dyDescent="0.2">
      <c r="A799" s="8" t="s">
        <v>555</v>
      </c>
      <c r="E799" s="253"/>
      <c r="F799" s="66"/>
      <c r="G799" s="66"/>
      <c r="H799" s="66"/>
      <c r="I799" s="66"/>
      <c r="J799" s="7">
        <v>2</v>
      </c>
      <c r="K799" s="7">
        <f>SUM(B799:J799)</f>
        <v>2</v>
      </c>
      <c r="L799" s="175">
        <v>262400.24</v>
      </c>
      <c r="P799" s="253"/>
      <c r="Q799" s="66"/>
      <c r="R799" s="66"/>
      <c r="S799" s="66"/>
      <c r="T799" s="66"/>
      <c r="U799" s="7">
        <v>2</v>
      </c>
      <c r="V799" s="7">
        <f t="shared" si="103"/>
        <v>2</v>
      </c>
      <c r="W799" s="175">
        <v>262400.24</v>
      </c>
    </row>
    <row r="800" spans="1:23" x14ac:dyDescent="0.2">
      <c r="A800" s="8" t="s">
        <v>554</v>
      </c>
      <c r="E800" s="253"/>
      <c r="F800" s="66"/>
      <c r="G800" s="66"/>
      <c r="H800" s="66"/>
      <c r="I800" s="66"/>
      <c r="J800" s="7">
        <v>2</v>
      </c>
      <c r="K800" s="7">
        <f t="shared" ref="K800:K807" si="104">SUM(C800:J800)</f>
        <v>2</v>
      </c>
      <c r="L800" s="175">
        <v>273187.88</v>
      </c>
      <c r="P800" s="253"/>
      <c r="Q800" s="66"/>
      <c r="R800" s="66"/>
      <c r="S800" s="66"/>
      <c r="T800" s="66"/>
      <c r="U800" s="7">
        <v>2</v>
      </c>
      <c r="V800" s="7">
        <f t="shared" si="103"/>
        <v>2</v>
      </c>
      <c r="W800" s="175">
        <v>273187.88</v>
      </c>
    </row>
    <row r="801" spans="1:23" x14ac:dyDescent="0.2">
      <c r="A801" s="8" t="s">
        <v>571</v>
      </c>
      <c r="D801" s="7">
        <v>11</v>
      </c>
      <c r="E801" s="253"/>
      <c r="F801" s="66"/>
      <c r="G801" s="66"/>
      <c r="H801" s="66"/>
      <c r="I801" s="66"/>
      <c r="J801" s="242">
        <v>8</v>
      </c>
      <c r="K801" s="7">
        <f t="shared" si="104"/>
        <v>19</v>
      </c>
      <c r="L801" s="175">
        <f>569265.72+501247.2</f>
        <v>1070512.92</v>
      </c>
      <c r="O801" s="7">
        <v>11</v>
      </c>
      <c r="P801" s="253"/>
      <c r="Q801" s="66"/>
      <c r="R801" s="66"/>
      <c r="S801" s="66"/>
      <c r="T801" s="66"/>
      <c r="U801" s="242">
        <v>9</v>
      </c>
      <c r="V801" s="7">
        <f t="shared" si="103"/>
        <v>20</v>
      </c>
      <c r="W801" s="175">
        <f>569265.72+501247.2+68435.34</f>
        <v>1138948.26</v>
      </c>
    </row>
    <row r="802" spans="1:23" x14ac:dyDescent="0.2">
      <c r="A802" s="8" t="s">
        <v>572</v>
      </c>
      <c r="E802" s="253"/>
      <c r="F802" s="66"/>
      <c r="G802" s="66"/>
      <c r="H802" s="66"/>
      <c r="I802" s="66"/>
      <c r="K802" s="7">
        <f t="shared" si="104"/>
        <v>0</v>
      </c>
      <c r="L802" s="175">
        <f>((3409*J802)+(2300*D802))*12</f>
        <v>0</v>
      </c>
      <c r="P802" s="253"/>
      <c r="Q802" s="66"/>
      <c r="R802" s="66"/>
      <c r="S802" s="66"/>
      <c r="T802" s="66"/>
      <c r="U802" s="7">
        <v>0</v>
      </c>
      <c r="V802" s="7">
        <f t="shared" si="103"/>
        <v>0</v>
      </c>
      <c r="W802" s="175">
        <f>((3409*U802)+(2300*O802))*12</f>
        <v>0</v>
      </c>
    </row>
    <row r="803" spans="1:23" x14ac:dyDescent="0.2">
      <c r="A803" s="8" t="s">
        <v>573</v>
      </c>
      <c r="E803" s="253"/>
      <c r="F803" s="66"/>
      <c r="G803" s="66"/>
      <c r="H803" s="66"/>
      <c r="I803" s="66"/>
      <c r="J803" s="7">
        <v>1</v>
      </c>
      <c r="K803" s="7">
        <f t="shared" si="104"/>
        <v>1</v>
      </c>
      <c r="L803" s="175">
        <v>62051.44</v>
      </c>
      <c r="P803" s="253"/>
      <c r="Q803" s="66"/>
      <c r="R803" s="66"/>
      <c r="S803" s="66"/>
      <c r="T803" s="66"/>
      <c r="U803" s="7">
        <v>1</v>
      </c>
      <c r="V803" s="7">
        <f t="shared" si="103"/>
        <v>1</v>
      </c>
      <c r="W803" s="175">
        <v>62051.44</v>
      </c>
    </row>
    <row r="804" spans="1:23" x14ac:dyDescent="0.2">
      <c r="A804" s="8" t="s">
        <v>574</v>
      </c>
      <c r="E804" s="253"/>
      <c r="F804" s="66"/>
      <c r="G804" s="66"/>
      <c r="H804" s="66"/>
      <c r="I804" s="66"/>
      <c r="J804" s="7">
        <v>2</v>
      </c>
      <c r="K804" s="7">
        <f t="shared" si="104"/>
        <v>2</v>
      </c>
      <c r="L804" s="175">
        <v>142063.88</v>
      </c>
      <c r="P804" s="253"/>
      <c r="Q804" s="66"/>
      <c r="R804" s="66"/>
      <c r="S804" s="66"/>
      <c r="T804" s="66"/>
      <c r="U804" s="7">
        <v>2</v>
      </c>
      <c r="V804" s="7">
        <f t="shared" si="103"/>
        <v>2</v>
      </c>
      <c r="W804" s="175">
        <v>142063.88</v>
      </c>
    </row>
    <row r="805" spans="1:23" x14ac:dyDescent="0.2">
      <c r="A805" s="8" t="s">
        <v>575</v>
      </c>
      <c r="E805" s="253"/>
      <c r="F805" s="66"/>
      <c r="G805" s="66"/>
      <c r="H805" s="66"/>
      <c r="I805" s="66"/>
      <c r="J805" s="7">
        <v>1</v>
      </c>
      <c r="K805" s="7">
        <f t="shared" si="104"/>
        <v>1</v>
      </c>
      <c r="L805" s="175">
        <v>66978.52</v>
      </c>
      <c r="P805" s="253"/>
      <c r="Q805" s="66"/>
      <c r="R805" s="66"/>
      <c r="S805" s="66"/>
      <c r="T805" s="66"/>
      <c r="U805" s="7">
        <v>1</v>
      </c>
      <c r="V805" s="7">
        <f t="shared" si="103"/>
        <v>1</v>
      </c>
      <c r="W805" s="175">
        <v>66978.52</v>
      </c>
    </row>
    <row r="806" spans="1:23" x14ac:dyDescent="0.2">
      <c r="A806" s="8" t="s">
        <v>576</v>
      </c>
      <c r="D806" s="7">
        <v>18</v>
      </c>
      <c r="E806" s="253"/>
      <c r="F806" s="66"/>
      <c r="G806" s="66"/>
      <c r="H806" s="66"/>
      <c r="I806" s="66"/>
      <c r="J806" s="7">
        <v>4</v>
      </c>
      <c r="K806" s="7">
        <f t="shared" si="104"/>
        <v>22</v>
      </c>
      <c r="L806" s="175">
        <f>240494.56+854407.2</f>
        <v>1094901.76</v>
      </c>
      <c r="O806" s="7">
        <v>18</v>
      </c>
      <c r="P806" s="253"/>
      <c r="Q806" s="66"/>
      <c r="R806" s="66"/>
      <c r="S806" s="66"/>
      <c r="T806" s="66"/>
      <c r="U806" s="7">
        <v>4</v>
      </c>
      <c r="V806" s="7">
        <f t="shared" si="103"/>
        <v>22</v>
      </c>
      <c r="W806" s="175">
        <f>240494.56+854407.2</f>
        <v>1094901.76</v>
      </c>
    </row>
    <row r="807" spans="1:23" x14ac:dyDescent="0.2">
      <c r="A807" s="8" t="s">
        <v>577</v>
      </c>
      <c r="E807" s="253"/>
      <c r="F807" s="66"/>
      <c r="G807" s="66"/>
      <c r="H807" s="66"/>
      <c r="I807" s="66"/>
      <c r="J807" s="7">
        <v>1</v>
      </c>
      <c r="K807" s="7">
        <f t="shared" si="104"/>
        <v>1</v>
      </c>
      <c r="L807" s="175">
        <v>73617.279999999999</v>
      </c>
      <c r="P807" s="253"/>
      <c r="Q807" s="66"/>
      <c r="R807" s="66"/>
      <c r="S807" s="66"/>
      <c r="T807" s="66"/>
      <c r="U807" s="7">
        <v>1</v>
      </c>
      <c r="V807" s="7">
        <f t="shared" si="103"/>
        <v>1</v>
      </c>
      <c r="W807" s="175">
        <v>73617.279999999999</v>
      </c>
    </row>
    <row r="808" spans="1:23" x14ac:dyDescent="0.2">
      <c r="A808" s="8" t="s">
        <v>408</v>
      </c>
      <c r="B808" s="7">
        <v>1</v>
      </c>
      <c r="E808" s="253"/>
      <c r="F808" s="66"/>
      <c r="G808" s="66"/>
      <c r="H808" s="66"/>
      <c r="I808" s="66"/>
      <c r="J808" s="66"/>
      <c r="K808" s="7">
        <f t="shared" ref="K808:K813" si="105">SUM(B808:J808)</f>
        <v>1</v>
      </c>
      <c r="L808" s="175">
        <v>26490.52</v>
      </c>
      <c r="M808" s="7">
        <v>1</v>
      </c>
      <c r="P808" s="253"/>
      <c r="Q808" s="66"/>
      <c r="R808" s="66"/>
      <c r="S808" s="66"/>
      <c r="T808" s="66"/>
      <c r="U808" s="66"/>
      <c r="V808" s="7">
        <f t="shared" si="103"/>
        <v>1</v>
      </c>
      <c r="W808" s="175">
        <v>26490.52</v>
      </c>
    </row>
    <row r="809" spans="1:23" x14ac:dyDescent="0.2">
      <c r="A809" s="8" t="s">
        <v>566</v>
      </c>
      <c r="D809" s="7">
        <v>1</v>
      </c>
      <c r="E809" s="253"/>
      <c r="F809" s="66"/>
      <c r="G809" s="66"/>
      <c r="H809" s="66"/>
      <c r="I809" s="66"/>
      <c r="J809" s="66"/>
      <c r="K809" s="7">
        <f t="shared" si="105"/>
        <v>1</v>
      </c>
      <c r="L809" s="175">
        <v>62613.599999999999</v>
      </c>
      <c r="O809" s="7">
        <v>1</v>
      </c>
      <c r="P809" s="253"/>
      <c r="Q809" s="66"/>
      <c r="R809" s="66"/>
      <c r="S809" s="66"/>
      <c r="T809" s="66"/>
      <c r="U809" s="66"/>
      <c r="V809" s="7">
        <f t="shared" si="103"/>
        <v>1</v>
      </c>
      <c r="W809" s="175">
        <v>62613.599999999999</v>
      </c>
    </row>
    <row r="810" spans="1:23" x14ac:dyDescent="0.2">
      <c r="A810" s="8" t="s">
        <v>486</v>
      </c>
      <c r="D810" s="7">
        <v>1</v>
      </c>
      <c r="E810" s="253"/>
      <c r="F810" s="66"/>
      <c r="G810" s="66"/>
      <c r="H810" s="66"/>
      <c r="I810" s="66"/>
      <c r="J810" s="66"/>
      <c r="K810" s="7">
        <f t="shared" si="105"/>
        <v>1</v>
      </c>
      <c r="L810" s="175">
        <v>31392</v>
      </c>
      <c r="O810" s="7">
        <v>1</v>
      </c>
      <c r="P810" s="253"/>
      <c r="Q810" s="66"/>
      <c r="R810" s="66"/>
      <c r="S810" s="66"/>
      <c r="T810" s="66"/>
      <c r="U810" s="66"/>
      <c r="V810" s="7">
        <f t="shared" si="103"/>
        <v>1</v>
      </c>
      <c r="W810" s="175">
        <v>31392</v>
      </c>
    </row>
    <row r="811" spans="1:23" x14ac:dyDescent="0.2">
      <c r="A811" s="8" t="s">
        <v>561</v>
      </c>
      <c r="E811" s="253"/>
      <c r="F811" s="66"/>
      <c r="G811" s="66"/>
      <c r="H811" s="66"/>
      <c r="I811" s="66"/>
      <c r="J811" s="66"/>
      <c r="K811" s="7">
        <f t="shared" si="105"/>
        <v>0</v>
      </c>
      <c r="L811" s="175">
        <f>((0*B811)+(2300*D811))*12</f>
        <v>0</v>
      </c>
      <c r="P811" s="253"/>
      <c r="Q811" s="66"/>
      <c r="R811" s="66"/>
      <c r="S811" s="66"/>
      <c r="T811" s="66"/>
      <c r="U811" s="66"/>
      <c r="V811" s="7">
        <f t="shared" si="103"/>
        <v>0</v>
      </c>
      <c r="W811" s="175">
        <f>((0*M811)+(2300*O811))*12</f>
        <v>0</v>
      </c>
    </row>
    <row r="812" spans="1:23" x14ac:dyDescent="0.2">
      <c r="A812" s="8" t="s">
        <v>564</v>
      </c>
      <c r="D812" s="7">
        <v>2</v>
      </c>
      <c r="E812" s="253"/>
      <c r="F812" s="66"/>
      <c r="G812" s="66"/>
      <c r="H812" s="66"/>
      <c r="I812" s="66"/>
      <c r="J812" s="66"/>
      <c r="K812" s="7">
        <f t="shared" si="105"/>
        <v>2</v>
      </c>
      <c r="L812" s="175">
        <v>65227.199999999997</v>
      </c>
      <c r="O812" s="7">
        <v>2</v>
      </c>
      <c r="P812" s="253"/>
      <c r="Q812" s="66"/>
      <c r="R812" s="66"/>
      <c r="S812" s="66"/>
      <c r="T812" s="66"/>
      <c r="U812" s="66"/>
      <c r="V812" s="7">
        <f t="shared" si="103"/>
        <v>2</v>
      </c>
      <c r="W812" s="175">
        <v>65227.199999999997</v>
      </c>
    </row>
    <row r="813" spans="1:23" x14ac:dyDescent="0.2">
      <c r="A813" s="8" t="s">
        <v>578</v>
      </c>
      <c r="D813" s="254">
        <v>52</v>
      </c>
      <c r="E813" s="253"/>
      <c r="F813" s="66"/>
      <c r="G813" s="66"/>
      <c r="H813" s="66"/>
      <c r="I813" s="66"/>
      <c r="J813" s="66"/>
      <c r="K813" s="7">
        <f t="shared" si="105"/>
        <v>52</v>
      </c>
      <c r="L813" s="175">
        <v>996672.96</v>
      </c>
      <c r="O813" s="254">
        <v>52</v>
      </c>
      <c r="P813" s="253"/>
      <c r="Q813" s="66"/>
      <c r="R813" s="66"/>
      <c r="S813" s="66"/>
      <c r="T813" s="66"/>
      <c r="U813" s="66"/>
      <c r="V813" s="7">
        <f t="shared" si="103"/>
        <v>52</v>
      </c>
      <c r="W813" s="175">
        <v>996672.96</v>
      </c>
    </row>
    <row r="814" spans="1:23" x14ac:dyDescent="0.2">
      <c r="A814" s="9" t="s">
        <v>389</v>
      </c>
      <c r="B814" s="173"/>
      <c r="C814" s="173"/>
      <c r="D814" s="173"/>
      <c r="E814" s="173"/>
      <c r="F814" s="173"/>
      <c r="G814" s="173"/>
      <c r="H814" s="173"/>
      <c r="I814" s="173"/>
      <c r="J814" s="173"/>
      <c r="K814" s="226"/>
      <c r="L814" s="218"/>
      <c r="M814" s="173"/>
      <c r="N814" s="173"/>
      <c r="O814" s="173"/>
      <c r="P814" s="173"/>
      <c r="Q814" s="173"/>
      <c r="R814" s="173"/>
      <c r="S814" s="173"/>
      <c r="T814" s="173"/>
      <c r="U814" s="173"/>
      <c r="V814" s="255">
        <v>0</v>
      </c>
      <c r="W814" s="218"/>
    </row>
    <row r="815" spans="1:23" x14ac:dyDescent="0.2">
      <c r="A815" s="241" t="s">
        <v>390</v>
      </c>
      <c r="C815" s="253"/>
      <c r="D815" s="189"/>
      <c r="E815" s="66"/>
      <c r="F815" s="66"/>
      <c r="G815" s="66"/>
      <c r="H815" s="66"/>
      <c r="I815" s="66"/>
      <c r="J815" s="189">
        <v>2</v>
      </c>
      <c r="K815" s="7">
        <f t="shared" ref="K815:K820" si="106">SUM(C815:J815)</f>
        <v>2</v>
      </c>
      <c r="L815" s="175">
        <v>96038</v>
      </c>
      <c r="N815" s="253"/>
      <c r="O815" s="189"/>
      <c r="P815" s="66"/>
      <c r="Q815" s="66"/>
      <c r="R815" s="66"/>
      <c r="S815" s="66"/>
      <c r="T815" s="66"/>
      <c r="U815" s="189">
        <v>2</v>
      </c>
      <c r="V815" s="7">
        <f t="shared" ref="V815:V823" si="107">SUM(N815:U815)</f>
        <v>2</v>
      </c>
      <c r="W815" s="175">
        <v>96038</v>
      </c>
    </row>
    <row r="816" spans="1:23" x14ac:dyDescent="0.2">
      <c r="A816" s="241" t="s">
        <v>391</v>
      </c>
      <c r="C816" s="253"/>
      <c r="D816" s="189"/>
      <c r="E816" s="66"/>
      <c r="F816" s="66"/>
      <c r="G816" s="66"/>
      <c r="H816" s="66"/>
      <c r="I816" s="66"/>
      <c r="J816" s="189">
        <v>9</v>
      </c>
      <c r="K816" s="7">
        <f t="shared" si="106"/>
        <v>9</v>
      </c>
      <c r="L816" s="175">
        <v>400179.96</v>
      </c>
      <c r="N816" s="253"/>
      <c r="O816" s="189"/>
      <c r="P816" s="66"/>
      <c r="Q816" s="66"/>
      <c r="R816" s="66"/>
      <c r="S816" s="66"/>
      <c r="T816" s="66"/>
      <c r="U816" s="189">
        <v>9</v>
      </c>
      <c r="V816" s="7">
        <f t="shared" si="107"/>
        <v>9</v>
      </c>
      <c r="W816" s="175">
        <v>400179.96</v>
      </c>
    </row>
    <row r="817" spans="1:23" x14ac:dyDescent="0.2">
      <c r="A817" s="241" t="s">
        <v>392</v>
      </c>
      <c r="C817" s="253"/>
      <c r="D817" s="189"/>
      <c r="E817" s="66"/>
      <c r="F817" s="66"/>
      <c r="G817" s="66"/>
      <c r="H817" s="66"/>
      <c r="I817" s="66"/>
      <c r="J817" s="189">
        <v>13</v>
      </c>
      <c r="K817" s="7">
        <f t="shared" si="106"/>
        <v>13</v>
      </c>
      <c r="L817" s="175">
        <v>576007.48</v>
      </c>
      <c r="N817" s="253"/>
      <c r="O817" s="189"/>
      <c r="P817" s="66"/>
      <c r="Q817" s="66"/>
      <c r="R817" s="66"/>
      <c r="S817" s="66"/>
      <c r="T817" s="66"/>
      <c r="U817" s="189">
        <v>13</v>
      </c>
      <c r="V817" s="7">
        <f t="shared" si="107"/>
        <v>13</v>
      </c>
      <c r="W817" s="175">
        <v>576007.48</v>
      </c>
    </row>
    <row r="818" spans="1:23" x14ac:dyDescent="0.2">
      <c r="A818" s="241" t="s">
        <v>439</v>
      </c>
      <c r="B818" s="189"/>
      <c r="C818" s="253"/>
      <c r="D818" s="189"/>
      <c r="E818" s="66"/>
      <c r="F818" s="66"/>
      <c r="G818" s="66"/>
      <c r="H818" s="66"/>
      <c r="I818" s="66"/>
      <c r="K818" s="7">
        <f t="shared" si="106"/>
        <v>0</v>
      </c>
      <c r="L818" s="175"/>
      <c r="N818" s="253"/>
      <c r="O818" s="189"/>
      <c r="P818" s="66"/>
      <c r="Q818" s="66"/>
      <c r="R818" s="66"/>
      <c r="S818" s="66"/>
      <c r="T818" s="66"/>
      <c r="U818" s="189"/>
      <c r="V818" s="7">
        <f t="shared" si="107"/>
        <v>0</v>
      </c>
      <c r="W818" s="175"/>
    </row>
    <row r="819" spans="1:23" x14ac:dyDescent="0.2">
      <c r="A819" s="241" t="s">
        <v>440</v>
      </c>
      <c r="C819" s="253"/>
      <c r="D819" s="189"/>
      <c r="E819" s="66"/>
      <c r="F819" s="66"/>
      <c r="G819" s="66"/>
      <c r="H819" s="66"/>
      <c r="I819" s="66"/>
      <c r="J819" s="256">
        <v>55</v>
      </c>
      <c r="K819" s="7">
        <f t="shared" si="106"/>
        <v>55</v>
      </c>
      <c r="L819" s="175">
        <v>2465349.29</v>
      </c>
      <c r="N819" s="253"/>
      <c r="O819" s="189"/>
      <c r="P819" s="66"/>
      <c r="Q819" s="66"/>
      <c r="R819" s="66"/>
      <c r="S819" s="66"/>
      <c r="T819" s="66"/>
      <c r="U819" s="256">
        <v>56</v>
      </c>
      <c r="V819" s="7">
        <f t="shared" si="107"/>
        <v>56</v>
      </c>
      <c r="W819" s="175">
        <f>2465349.29+45723.76</f>
        <v>2511073.0499999998</v>
      </c>
    </row>
    <row r="820" spans="1:23" x14ac:dyDescent="0.2">
      <c r="A820" s="241" t="s">
        <v>409</v>
      </c>
      <c r="C820" s="253"/>
      <c r="D820" s="189"/>
      <c r="E820" s="66"/>
      <c r="F820" s="66"/>
      <c r="G820" s="66"/>
      <c r="H820" s="66"/>
      <c r="I820" s="66"/>
      <c r="J820" s="189"/>
      <c r="K820" s="7">
        <f t="shared" si="106"/>
        <v>0</v>
      </c>
      <c r="L820" s="175"/>
      <c r="M820" s="256"/>
      <c r="N820" s="253"/>
      <c r="O820" s="189"/>
      <c r="P820" s="66"/>
      <c r="Q820" s="66"/>
      <c r="R820" s="66"/>
      <c r="S820" s="66"/>
      <c r="T820" s="66"/>
      <c r="U820" s="66"/>
      <c r="V820" s="7">
        <f t="shared" si="107"/>
        <v>0</v>
      </c>
      <c r="W820" s="175"/>
    </row>
    <row r="821" spans="1:23" x14ac:dyDescent="0.2">
      <c r="A821" s="8" t="s">
        <v>579</v>
      </c>
      <c r="B821" s="189"/>
      <c r="C821" s="253"/>
      <c r="D821" s="189">
        <v>50</v>
      </c>
      <c r="E821" s="66"/>
      <c r="F821" s="66"/>
      <c r="G821" s="66"/>
      <c r="H821" s="66"/>
      <c r="I821" s="66"/>
      <c r="J821" s="66"/>
      <c r="K821" s="7">
        <f>SUM(B821:J821)</f>
        <v>50</v>
      </c>
      <c r="L821" s="175">
        <v>1478508</v>
      </c>
      <c r="M821" s="189"/>
      <c r="N821" s="253"/>
      <c r="O821" s="189">
        <v>59</v>
      </c>
      <c r="P821" s="66"/>
      <c r="Q821" s="66"/>
      <c r="R821" s="66"/>
      <c r="S821" s="66"/>
      <c r="T821" s="66"/>
      <c r="U821" s="66"/>
      <c r="V821" s="7">
        <f t="shared" si="107"/>
        <v>59</v>
      </c>
      <c r="W821" s="175">
        <v>1478508</v>
      </c>
    </row>
    <row r="822" spans="1:23" x14ac:dyDescent="0.2">
      <c r="A822" s="8" t="s">
        <v>580</v>
      </c>
      <c r="B822" s="189"/>
      <c r="C822" s="253"/>
      <c r="D822" s="189">
        <v>4</v>
      </c>
      <c r="E822" s="66"/>
      <c r="F822" s="66"/>
      <c r="G822" s="66"/>
      <c r="H822" s="66"/>
      <c r="I822" s="66"/>
      <c r="J822" s="66"/>
      <c r="K822" s="7">
        <f>SUM(B822:J822)</f>
        <v>4</v>
      </c>
      <c r="L822" s="175">
        <v>114844.8</v>
      </c>
      <c r="M822" s="189"/>
      <c r="N822" s="253"/>
      <c r="O822" s="189">
        <v>4</v>
      </c>
      <c r="P822" s="66"/>
      <c r="Q822" s="66"/>
      <c r="R822" s="66"/>
      <c r="S822" s="66"/>
      <c r="T822" s="66"/>
      <c r="U822" s="66"/>
      <c r="V822" s="7">
        <f t="shared" si="107"/>
        <v>4</v>
      </c>
      <c r="W822" s="175">
        <v>114844.8</v>
      </c>
    </row>
    <row r="823" spans="1:23" x14ac:dyDescent="0.2">
      <c r="A823" s="8" t="s">
        <v>581</v>
      </c>
      <c r="B823" s="189"/>
      <c r="C823" s="253"/>
      <c r="D823" s="189">
        <v>1</v>
      </c>
      <c r="E823" s="66"/>
      <c r="F823" s="66"/>
      <c r="G823" s="66"/>
      <c r="H823" s="66"/>
      <c r="I823" s="66"/>
      <c r="J823" s="66"/>
      <c r="K823" s="7">
        <f>SUM(B823:J823)</f>
        <v>1</v>
      </c>
      <c r="L823" s="175">
        <v>32613.599999999999</v>
      </c>
      <c r="M823" s="189"/>
      <c r="N823" s="253"/>
      <c r="O823" s="189">
        <v>1</v>
      </c>
      <c r="P823" s="66"/>
      <c r="Q823" s="66"/>
      <c r="R823" s="66"/>
      <c r="S823" s="66"/>
      <c r="T823" s="66"/>
      <c r="U823" s="66"/>
      <c r="V823" s="7">
        <f t="shared" si="107"/>
        <v>1</v>
      </c>
      <c r="W823" s="175">
        <v>32613.599999999999</v>
      </c>
    </row>
    <row r="824" spans="1:23" x14ac:dyDescent="0.2">
      <c r="A824" s="8" t="s">
        <v>582</v>
      </c>
      <c r="B824" s="189">
        <v>3</v>
      </c>
      <c r="C824" s="253"/>
      <c r="D824" s="189"/>
      <c r="E824" s="66"/>
      <c r="F824" s="66"/>
      <c r="G824" s="66"/>
      <c r="H824" s="66"/>
      <c r="I824" s="66"/>
      <c r="J824" s="66"/>
      <c r="K824" s="7">
        <f>SUM(B824:J824)</f>
        <v>3</v>
      </c>
      <c r="L824" s="175">
        <v>75451.08</v>
      </c>
      <c r="M824" s="189">
        <v>3</v>
      </c>
      <c r="N824" s="253"/>
      <c r="O824" s="189"/>
      <c r="P824" s="66"/>
      <c r="Q824" s="66"/>
      <c r="R824" s="66"/>
      <c r="S824" s="66"/>
      <c r="T824" s="66"/>
      <c r="U824" s="66"/>
      <c r="V824" s="7">
        <f>SUM(M824:U824)</f>
        <v>3</v>
      </c>
      <c r="W824" s="175">
        <v>75451.08</v>
      </c>
    </row>
    <row r="825" spans="1:23" x14ac:dyDescent="0.2">
      <c r="A825" s="9" t="s">
        <v>393</v>
      </c>
      <c r="B825" s="161"/>
      <c r="C825" s="173"/>
      <c r="D825" s="161"/>
      <c r="E825" s="173"/>
      <c r="F825" s="173"/>
      <c r="G825" s="173"/>
      <c r="H825" s="173"/>
      <c r="I825" s="173"/>
      <c r="J825" s="173"/>
      <c r="K825" s="226"/>
      <c r="L825" s="218"/>
      <c r="M825" s="161"/>
      <c r="N825" s="173"/>
      <c r="O825" s="161"/>
      <c r="P825" s="173"/>
      <c r="Q825" s="173"/>
      <c r="R825" s="173"/>
      <c r="S825" s="173"/>
      <c r="T825" s="173"/>
      <c r="U825" s="173"/>
      <c r="V825" s="255">
        <v>0</v>
      </c>
      <c r="W825" s="218"/>
    </row>
    <row r="826" spans="1:23" x14ac:dyDescent="0.2">
      <c r="A826" s="8" t="s">
        <v>394</v>
      </c>
      <c r="C826" s="66"/>
      <c r="D826" s="7">
        <v>16</v>
      </c>
      <c r="E826" s="66"/>
      <c r="F826" s="66"/>
      <c r="G826" s="66"/>
      <c r="H826" s="66"/>
      <c r="I826" s="66"/>
      <c r="J826" s="7">
        <v>2</v>
      </c>
      <c r="K826" s="7">
        <f>SUM(C826:J826)</f>
        <v>18</v>
      </c>
      <c r="L826" s="175">
        <f>81443.36+338772</f>
        <v>420215.36</v>
      </c>
      <c r="N826" s="66"/>
      <c r="O826" s="7">
        <v>16</v>
      </c>
      <c r="P826" s="66"/>
      <c r="Q826" s="66"/>
      <c r="R826" s="66"/>
      <c r="S826" s="66"/>
      <c r="T826" s="66"/>
      <c r="U826" s="7">
        <v>2</v>
      </c>
      <c r="V826" s="7">
        <f>SUM(N826:U826)</f>
        <v>18</v>
      </c>
      <c r="W826" s="175">
        <f>81443.36+338772</f>
        <v>420215.36</v>
      </c>
    </row>
    <row r="827" spans="1:23" x14ac:dyDescent="0.2">
      <c r="A827" s="8" t="s">
        <v>441</v>
      </c>
      <c r="C827" s="66"/>
      <c r="E827" s="66"/>
      <c r="F827" s="66"/>
      <c r="G827" s="66"/>
      <c r="H827" s="66"/>
      <c r="I827" s="66"/>
      <c r="J827" s="7">
        <v>2</v>
      </c>
      <c r="K827" s="7">
        <f>SUM(C827:J827)</f>
        <v>2</v>
      </c>
      <c r="L827" s="175">
        <v>74504.36</v>
      </c>
      <c r="N827" s="66"/>
      <c r="P827" s="66"/>
      <c r="Q827" s="66"/>
      <c r="R827" s="66"/>
      <c r="S827" s="66"/>
      <c r="T827" s="66"/>
      <c r="U827" s="7">
        <v>2</v>
      </c>
      <c r="V827" s="7">
        <f>SUM(N827:U827)</f>
        <v>2</v>
      </c>
      <c r="W827" s="175">
        <v>74504.36</v>
      </c>
    </row>
    <row r="828" spans="1:23" x14ac:dyDescent="0.2">
      <c r="A828" s="8" t="s">
        <v>442</v>
      </c>
      <c r="C828" s="66"/>
      <c r="E828" s="66"/>
      <c r="F828" s="66"/>
      <c r="G828" s="66"/>
      <c r="H828" s="66"/>
      <c r="I828" s="66"/>
      <c r="J828" s="7">
        <v>6</v>
      </c>
      <c r="K828" s="7">
        <f>SUM(C828:J828)</f>
        <v>6</v>
      </c>
      <c r="L828" s="175">
        <v>289602.39</v>
      </c>
      <c r="N828" s="66"/>
      <c r="P828" s="66"/>
      <c r="Q828" s="66"/>
      <c r="R828" s="66"/>
      <c r="S828" s="66"/>
      <c r="T828" s="66"/>
      <c r="U828" s="7">
        <v>6</v>
      </c>
      <c r="V828" s="7">
        <f>SUM(N828:U828)</f>
        <v>6</v>
      </c>
      <c r="W828" s="175">
        <v>289602.39</v>
      </c>
    </row>
    <row r="829" spans="1:23" x14ac:dyDescent="0.2">
      <c r="A829" s="8" t="s">
        <v>451</v>
      </c>
      <c r="C829" s="66"/>
      <c r="E829" s="66"/>
      <c r="F829" s="66"/>
      <c r="G829" s="66"/>
      <c r="H829" s="66"/>
      <c r="I829" s="66"/>
      <c r="J829" s="242">
        <v>2</v>
      </c>
      <c r="K829" s="7">
        <f>SUM(C829:J829)</f>
        <v>2</v>
      </c>
      <c r="L829" s="175">
        <v>94746.6</v>
      </c>
      <c r="N829" s="66"/>
      <c r="P829" s="66"/>
      <c r="Q829" s="66"/>
      <c r="R829" s="66"/>
      <c r="S829" s="66"/>
      <c r="T829" s="66"/>
      <c r="U829" s="242">
        <v>3</v>
      </c>
      <c r="V829" s="7">
        <f>SUM(N829:U829)</f>
        <v>3</v>
      </c>
      <c r="W829" s="175">
        <f>94746.6+45406</f>
        <v>140152.6</v>
      </c>
    </row>
    <row r="830" spans="1:23" ht="12.75" thickBot="1" x14ac:dyDescent="0.25">
      <c r="A830" s="8" t="s">
        <v>583</v>
      </c>
      <c r="C830" s="66"/>
      <c r="E830" s="66"/>
      <c r="F830" s="66"/>
      <c r="G830" s="66"/>
      <c r="H830" s="66"/>
      <c r="I830" s="66"/>
      <c r="J830" s="66"/>
      <c r="K830" s="7">
        <f>SUM(B830:J830)</f>
        <v>0</v>
      </c>
      <c r="L830" s="175">
        <f>((1896.8*B830)+(1300*D830))*12</f>
        <v>0</v>
      </c>
      <c r="N830" s="66"/>
      <c r="P830" s="66"/>
      <c r="Q830" s="66"/>
      <c r="R830" s="66"/>
      <c r="S830" s="66"/>
      <c r="T830" s="66"/>
      <c r="U830" s="66"/>
      <c r="V830" s="7">
        <f>SUM(N830:U830)</f>
        <v>0</v>
      </c>
      <c r="W830" s="175">
        <f>((1896.8*M830)+(1300*O830))*12</f>
        <v>0</v>
      </c>
    </row>
    <row r="831" spans="1:23" ht="12.75" thickBot="1" x14ac:dyDescent="0.25">
      <c r="A831" s="263" t="s">
        <v>400</v>
      </c>
      <c r="B831" s="264">
        <f>SUM(B793:B830)</f>
        <v>10</v>
      </c>
      <c r="C831" s="265"/>
      <c r="D831" s="264">
        <f>SUM(D792:D830)</f>
        <v>166</v>
      </c>
      <c r="E831" s="265"/>
      <c r="F831" s="265"/>
      <c r="G831" s="265"/>
      <c r="H831" s="265"/>
      <c r="I831" s="265"/>
      <c r="J831" s="266">
        <f>SUM(J793:J830)</f>
        <v>116</v>
      </c>
      <c r="K831" s="266">
        <f>SUM(K793:K830)</f>
        <v>292</v>
      </c>
      <c r="L831" s="267">
        <f>SUM(L793:L830)</f>
        <v>12354568.559999997</v>
      </c>
      <c r="M831" s="268">
        <f>SUM(M793:M830)</f>
        <v>10</v>
      </c>
      <c r="N831" s="265"/>
      <c r="O831" s="264">
        <f>SUM(O792:O830)</f>
        <v>175</v>
      </c>
      <c r="P831" s="265"/>
      <c r="Q831" s="265"/>
      <c r="R831" s="265"/>
      <c r="S831" s="265"/>
      <c r="T831" s="265"/>
      <c r="U831" s="266">
        <f>SUM(U793:U830)</f>
        <v>119</v>
      </c>
      <c r="V831" s="266">
        <f>SUM(V793:V830)</f>
        <v>304</v>
      </c>
      <c r="W831" s="267">
        <f>SUM(W793:W830)</f>
        <v>12514133.659999998</v>
      </c>
    </row>
    <row r="832" spans="1:23" ht="27.75" customHeight="1" thickBot="1" x14ac:dyDescent="0.25">
      <c r="A832" s="269" t="s">
        <v>584</v>
      </c>
      <c r="B832" s="268">
        <f>B36+B65+B95+B113+B146+B163+B192+B217+B247+B272+B301+B342+D442+B521+B583+B617+B638+B678+B727+B785+B831</f>
        <v>3168</v>
      </c>
      <c r="C832" s="265"/>
      <c r="D832" s="268">
        <f>D36+D65+D95+D113+D146+D163+D192+D217+D247+D272+D301+D342+F442+D521+D583+D617+D638+D678+D727+D785+D831</f>
        <v>1193</v>
      </c>
      <c r="E832" s="265"/>
      <c r="F832" s="265"/>
      <c r="G832" s="265"/>
      <c r="H832" s="265"/>
      <c r="I832" s="265"/>
      <c r="J832" s="266"/>
      <c r="K832" s="266"/>
      <c r="L832" s="268">
        <f t="shared" ref="L832:W832" si="108">L36+L65+L96+L113+L146+L163+L192+L217+L247+L272+L301+L342+L443+L521+L583+L617+L638+L678+L709+L727+L785+L831</f>
        <v>177688808.91800004</v>
      </c>
      <c r="M832" s="268">
        <f t="shared" si="108"/>
        <v>15053.91</v>
      </c>
      <c r="N832" s="268">
        <f t="shared" si="108"/>
        <v>5</v>
      </c>
      <c r="O832" s="268">
        <f t="shared" si="108"/>
        <v>8163</v>
      </c>
      <c r="P832" s="268">
        <f t="shared" si="108"/>
        <v>0</v>
      </c>
      <c r="Q832" s="268">
        <f t="shared" si="108"/>
        <v>0</v>
      </c>
      <c r="R832" s="268">
        <f t="shared" si="108"/>
        <v>0</v>
      </c>
      <c r="S832" s="268">
        <f t="shared" si="108"/>
        <v>0</v>
      </c>
      <c r="T832" s="268">
        <f t="shared" si="108"/>
        <v>44892.14</v>
      </c>
      <c r="U832" s="268">
        <f t="shared" si="108"/>
        <v>563322.68000000005</v>
      </c>
      <c r="V832" s="268">
        <f t="shared" si="108"/>
        <v>41999936.800000004</v>
      </c>
      <c r="W832" s="268">
        <f t="shared" si="108"/>
        <v>184996008.49100003</v>
      </c>
    </row>
    <row r="833" spans="1:1" x14ac:dyDescent="0.2">
      <c r="A833" s="7" t="s">
        <v>585</v>
      </c>
    </row>
    <row r="834" spans="1:1" x14ac:dyDescent="0.2">
      <c r="A834" s="7" t="s">
        <v>586</v>
      </c>
    </row>
    <row r="835" spans="1:1" x14ac:dyDescent="0.2">
      <c r="A835" s="7" t="s">
        <v>587</v>
      </c>
    </row>
  </sheetData>
  <mergeCells count="47">
    <mergeCell ref="A1:W1"/>
    <mergeCell ref="A2:D2"/>
    <mergeCell ref="B730:L730"/>
    <mergeCell ref="M730:W730"/>
    <mergeCell ref="B789:L789"/>
    <mergeCell ref="M789:W789"/>
    <mergeCell ref="B642:L642"/>
    <mergeCell ref="M642:W642"/>
    <mergeCell ref="B682:L682"/>
    <mergeCell ref="M682:W682"/>
    <mergeCell ref="B712:L712"/>
    <mergeCell ref="M712:W712"/>
    <mergeCell ref="B524:L524"/>
    <mergeCell ref="M524:W524"/>
    <mergeCell ref="B586:L586"/>
    <mergeCell ref="M586:W586"/>
    <mergeCell ref="B620:L620"/>
    <mergeCell ref="M620:W620"/>
    <mergeCell ref="B305:L305"/>
    <mergeCell ref="M305:W305"/>
    <mergeCell ref="B346:L346"/>
    <mergeCell ref="M346:W346"/>
    <mergeCell ref="B446:L446"/>
    <mergeCell ref="M446:W446"/>
    <mergeCell ref="B220:L220"/>
    <mergeCell ref="M220:W220"/>
    <mergeCell ref="B250:L250"/>
    <mergeCell ref="M250:W250"/>
    <mergeCell ref="B275:L275"/>
    <mergeCell ref="M275:W275"/>
    <mergeCell ref="B149:L149"/>
    <mergeCell ref="M149:W149"/>
    <mergeCell ref="B166:L166"/>
    <mergeCell ref="M166:W166"/>
    <mergeCell ref="B196:L196"/>
    <mergeCell ref="M196:W196"/>
    <mergeCell ref="B68:L68"/>
    <mergeCell ref="M68:W68"/>
    <mergeCell ref="B99:L99"/>
    <mergeCell ref="M99:W99"/>
    <mergeCell ref="B117:L117"/>
    <mergeCell ref="M117:W117"/>
    <mergeCell ref="B4:L4"/>
    <mergeCell ref="M4:W4"/>
    <mergeCell ref="A38:C38"/>
    <mergeCell ref="B39:L39"/>
    <mergeCell ref="M39:W39"/>
  </mergeCells>
  <printOptions horizontalCentered="1"/>
  <pageMargins left="0.23622047244094491" right="0.23622047244094491" top="0.74803149606299213" bottom="0.74803149606299213" header="0.31496062992125984" footer="0.31496062992125984"/>
  <pageSetup paperSize="9" scale="59"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9" tint="-0.249977111117893"/>
  </sheetPr>
  <dimension ref="A1:V700"/>
  <sheetViews>
    <sheetView zoomScaleNormal="100" zoomScaleSheetLayoutView="100" zoomScalePageLayoutView="90" workbookViewId="0">
      <selection activeCell="A29" sqref="A29"/>
    </sheetView>
  </sheetViews>
  <sheetFormatPr baseColWidth="10" defaultColWidth="11.42578125" defaultRowHeight="12" x14ac:dyDescent="0.2"/>
  <cols>
    <col min="1" max="1" width="62" style="331" customWidth="1"/>
    <col min="2" max="2" width="15.85546875" style="340" customWidth="1"/>
    <col min="3" max="3" width="16.28515625" style="369" customWidth="1"/>
    <col min="4" max="4" width="14.7109375" style="340" customWidth="1"/>
    <col min="5" max="5" width="14.7109375" style="369" customWidth="1"/>
    <col min="6" max="6" width="14.7109375" style="340" customWidth="1"/>
    <col min="7" max="7" width="14.7109375" style="369" customWidth="1"/>
    <col min="8" max="8" width="14.7109375" style="340" customWidth="1"/>
    <col min="9" max="9" width="14.7109375" style="369" customWidth="1"/>
    <col min="10" max="16384" width="11.42578125" style="331"/>
  </cols>
  <sheetData>
    <row r="1" spans="1:22" s="335" customFormat="1" ht="18" x14ac:dyDescent="0.2">
      <c r="A1" s="1474" t="s">
        <v>588</v>
      </c>
      <c r="B1" s="1474"/>
      <c r="C1" s="1474"/>
      <c r="D1" s="1474"/>
      <c r="E1" s="1474"/>
      <c r="F1" s="1474"/>
      <c r="G1" s="1474"/>
      <c r="H1" s="1474"/>
      <c r="I1" s="1474"/>
    </row>
    <row r="2" spans="1:22" x14ac:dyDescent="0.2">
      <c r="A2" s="1461" t="s">
        <v>43</v>
      </c>
      <c r="B2" s="1461"/>
      <c r="C2" s="1461"/>
      <c r="D2" s="1461"/>
      <c r="E2" s="306"/>
      <c r="F2" s="91"/>
      <c r="G2" s="306"/>
      <c r="H2" s="91"/>
      <c r="I2" s="306"/>
      <c r="J2" s="2"/>
      <c r="K2" s="2"/>
      <c r="L2" s="2"/>
      <c r="M2" s="2"/>
      <c r="N2" s="2"/>
      <c r="O2" s="2"/>
      <c r="P2" s="2"/>
      <c r="Q2" s="2"/>
      <c r="R2" s="2"/>
      <c r="S2" s="2"/>
      <c r="T2" s="2"/>
      <c r="U2" s="2"/>
      <c r="V2" s="2"/>
    </row>
    <row r="3" spans="1:22" x14ac:dyDescent="0.2">
      <c r="A3" s="2"/>
      <c r="B3" s="91"/>
      <c r="C3" s="306"/>
      <c r="D3" s="91"/>
      <c r="E3" s="306"/>
      <c r="F3" s="91"/>
      <c r="G3" s="306"/>
      <c r="H3" s="91"/>
      <c r="I3" s="306"/>
      <c r="J3" s="2"/>
      <c r="K3" s="2"/>
      <c r="L3" s="2"/>
      <c r="M3" s="2"/>
      <c r="N3" s="2"/>
      <c r="O3" s="2"/>
      <c r="P3" s="2"/>
      <c r="Q3" s="2"/>
      <c r="R3" s="2"/>
      <c r="S3" s="2"/>
      <c r="T3" s="2"/>
      <c r="U3" s="2"/>
      <c r="V3" s="2"/>
    </row>
    <row r="4" spans="1:22" ht="12.75" thickBot="1" x14ac:dyDescent="0.25">
      <c r="A4" s="332" t="s">
        <v>589</v>
      </c>
      <c r="B4" s="339"/>
      <c r="C4" s="367"/>
      <c r="D4" s="353"/>
      <c r="E4" s="389"/>
      <c r="F4" s="353"/>
      <c r="G4" s="367"/>
      <c r="H4" s="353"/>
      <c r="I4" s="367"/>
    </row>
    <row r="5" spans="1:22" ht="12.75" thickBot="1" x14ac:dyDescent="0.25">
      <c r="A5" s="321" t="s">
        <v>362</v>
      </c>
      <c r="B5" s="1478" t="s">
        <v>590</v>
      </c>
      <c r="C5" s="1479"/>
      <c r="D5" s="1478" t="s">
        <v>591</v>
      </c>
      <c r="E5" s="1479"/>
      <c r="F5" s="1478" t="s">
        <v>592</v>
      </c>
      <c r="G5" s="1480"/>
      <c r="H5" s="1478" t="s">
        <v>593</v>
      </c>
      <c r="I5" s="1480"/>
    </row>
    <row r="6" spans="1:22" s="63" customFormat="1" ht="24" customHeight="1" x14ac:dyDescent="0.2">
      <c r="A6" s="322" t="s">
        <v>365</v>
      </c>
      <c r="B6" s="322" t="s">
        <v>594</v>
      </c>
      <c r="C6" s="368" t="s">
        <v>595</v>
      </c>
      <c r="D6" s="322" t="s">
        <v>594</v>
      </c>
      <c r="E6" s="368" t="s">
        <v>595</v>
      </c>
      <c r="F6" s="322" t="s">
        <v>594</v>
      </c>
      <c r="G6" s="368" t="s">
        <v>595</v>
      </c>
      <c r="H6" s="322" t="s">
        <v>594</v>
      </c>
      <c r="I6" s="368" t="s">
        <v>595</v>
      </c>
    </row>
    <row r="7" spans="1:22" x14ac:dyDescent="0.2">
      <c r="A7" s="291" t="s">
        <v>596</v>
      </c>
      <c r="B7" s="295">
        <f>177+17+2+8</f>
        <v>204</v>
      </c>
      <c r="C7" s="292">
        <f>1978620.96+73691.4+11208.48+44669.28+1475.04+8083.8+369.6+9323.52+3030.12+47432.64+5488.44+45683.52+14099.88+84779.16+11588.88</f>
        <v>2339544.7199999997</v>
      </c>
      <c r="D7" s="295">
        <f>177+17+2+8</f>
        <v>204</v>
      </c>
      <c r="E7" s="292">
        <f>1978620.96+73691.4+11208.48+44669.28+1475.04+8083.8+369.6+9323.52+3030.12+47432.64+5488.44+45683.52+14099.88+84779.16+11588.88</f>
        <v>2339544.7199999997</v>
      </c>
      <c r="F7" s="295">
        <f>177+17+2+8</f>
        <v>204</v>
      </c>
      <c r="G7" s="292">
        <f>1978620.96+73691.4+11208.48+44669.28+1475.04+8083.8+369.6+9323.52+3030.12+47432.64+5488.44+45683.52+14099.88+84779.16+11588.88</f>
        <v>2339544.7199999997</v>
      </c>
      <c r="H7" s="295">
        <f>B7-D7</f>
        <v>0</v>
      </c>
      <c r="I7" s="292">
        <f>C7-E7</f>
        <v>0</v>
      </c>
    </row>
    <row r="8" spans="1:22" x14ac:dyDescent="0.2">
      <c r="A8" s="291" t="s">
        <v>597</v>
      </c>
      <c r="B8" s="295"/>
      <c r="C8" s="292"/>
      <c r="D8" s="295"/>
      <c r="E8" s="292"/>
      <c r="F8" s="295"/>
      <c r="G8" s="292"/>
      <c r="H8" s="295"/>
      <c r="I8" s="292"/>
    </row>
    <row r="9" spans="1:22" x14ac:dyDescent="0.2">
      <c r="A9" s="291" t="s">
        <v>598</v>
      </c>
      <c r="B9" s="295"/>
      <c r="C9" s="292"/>
      <c r="D9" s="295"/>
      <c r="E9" s="292"/>
      <c r="F9" s="295"/>
      <c r="G9" s="292"/>
      <c r="H9" s="295"/>
      <c r="I9" s="292"/>
    </row>
    <row r="10" spans="1:22" x14ac:dyDescent="0.2">
      <c r="A10" s="65" t="s">
        <v>599</v>
      </c>
      <c r="B10" s="295"/>
      <c r="C10" s="292"/>
      <c r="D10" s="295"/>
      <c r="E10" s="292"/>
      <c r="F10" s="295"/>
      <c r="G10" s="292"/>
      <c r="H10" s="295"/>
      <c r="I10" s="292"/>
    </row>
    <row r="11" spans="1:22" x14ac:dyDescent="0.2">
      <c r="A11" s="291" t="s">
        <v>600</v>
      </c>
      <c r="B11" s="295">
        <v>10</v>
      </c>
      <c r="C11" s="292">
        <v>514800</v>
      </c>
      <c r="D11" s="295">
        <v>10</v>
      </c>
      <c r="E11" s="292">
        <v>514800</v>
      </c>
      <c r="F11" s="295">
        <v>10</v>
      </c>
      <c r="G11" s="292">
        <v>514800</v>
      </c>
      <c r="H11" s="295">
        <f>B11-D11</f>
        <v>0</v>
      </c>
      <c r="I11" s="292">
        <f>C11-E11</f>
        <v>0</v>
      </c>
    </row>
    <row r="12" spans="1:22" x14ac:dyDescent="0.2">
      <c r="A12" s="65" t="s">
        <v>601</v>
      </c>
      <c r="B12" s="295">
        <f>177+17+2+8</f>
        <v>204</v>
      </c>
      <c r="C12" s="292">
        <v>196000</v>
      </c>
      <c r="D12" s="295">
        <f>177+17+2+8</f>
        <v>204</v>
      </c>
      <c r="E12" s="292">
        <v>196000</v>
      </c>
      <c r="F12" s="295">
        <f>177+17+2+8</f>
        <v>204</v>
      </c>
      <c r="G12" s="292">
        <v>196000</v>
      </c>
      <c r="H12" s="295">
        <f>B12-D12</f>
        <v>0</v>
      </c>
      <c r="I12" s="292">
        <f>C12-E12</f>
        <v>0</v>
      </c>
    </row>
    <row r="13" spans="1:22" x14ac:dyDescent="0.2">
      <c r="A13" s="291" t="s">
        <v>602</v>
      </c>
      <c r="B13" s="295"/>
      <c r="C13" s="292"/>
      <c r="D13" s="295"/>
      <c r="E13" s="292"/>
      <c r="F13" s="295"/>
      <c r="G13" s="292"/>
      <c r="H13" s="295"/>
      <c r="I13" s="292"/>
    </row>
    <row r="14" spans="1:22" x14ac:dyDescent="0.2">
      <c r="A14" s="291" t="s">
        <v>603</v>
      </c>
      <c r="B14" s="295"/>
      <c r="C14" s="292"/>
      <c r="D14" s="295"/>
      <c r="E14" s="292"/>
      <c r="F14" s="295"/>
      <c r="G14" s="292"/>
      <c r="H14" s="295"/>
      <c r="I14" s="292"/>
    </row>
    <row r="15" spans="1:22" x14ac:dyDescent="0.2">
      <c r="A15" s="291" t="s">
        <v>604</v>
      </c>
      <c r="B15" s="295"/>
      <c r="C15" s="292"/>
      <c r="D15" s="295"/>
      <c r="E15" s="292"/>
      <c r="F15" s="295"/>
      <c r="G15" s="292"/>
      <c r="H15" s="295"/>
      <c r="I15" s="292"/>
    </row>
    <row r="16" spans="1:22" x14ac:dyDescent="0.2">
      <c r="A16" s="291" t="s">
        <v>605</v>
      </c>
      <c r="B16" s="295">
        <f>177+17+2+8</f>
        <v>204</v>
      </c>
      <c r="C16" s="292">
        <f>196862.4+9039.6+6026.4+1004.4+1004.4+6026.4+5022+11048.4</f>
        <v>236033.99999999997</v>
      </c>
      <c r="D16" s="295">
        <f>177+17+2+8</f>
        <v>204</v>
      </c>
      <c r="E16" s="292">
        <f>196862.4+9039.6+6026.4+1004.4+1004.4+6026.4+5022+11048.4</f>
        <v>236033.99999999997</v>
      </c>
      <c r="F16" s="295">
        <f>177+17+2+8</f>
        <v>204</v>
      </c>
      <c r="G16" s="292">
        <f>196862.4+9039.6+6026.4+1004.4+1004.4+6026.4+5022+11048.4</f>
        <v>236033.99999999997</v>
      </c>
      <c r="H16" s="295">
        <f>B16-D16</f>
        <v>0</v>
      </c>
      <c r="I16" s="292">
        <f>C16-E16</f>
        <v>0</v>
      </c>
    </row>
    <row r="17" spans="1:9" x14ac:dyDescent="0.2">
      <c r="A17" s="291" t="s">
        <v>606</v>
      </c>
      <c r="B17" s="295"/>
      <c r="C17" s="292"/>
      <c r="D17" s="295"/>
      <c r="E17" s="292"/>
      <c r="F17" s="295"/>
      <c r="G17" s="292"/>
      <c r="H17" s="295"/>
      <c r="I17" s="292"/>
    </row>
    <row r="18" spans="1:9" x14ac:dyDescent="0.2">
      <c r="A18" s="291" t="s">
        <v>607</v>
      </c>
      <c r="B18" s="295"/>
      <c r="C18" s="292"/>
      <c r="D18" s="295"/>
      <c r="E18" s="292"/>
      <c r="F18" s="295"/>
      <c r="G18" s="292"/>
      <c r="H18" s="295"/>
      <c r="I18" s="292"/>
    </row>
    <row r="19" spans="1:9" x14ac:dyDescent="0.2">
      <c r="A19" s="291" t="s">
        <v>608</v>
      </c>
      <c r="B19" s="295"/>
      <c r="C19" s="292"/>
      <c r="D19" s="295"/>
      <c r="E19" s="292"/>
      <c r="F19" s="295"/>
      <c r="G19" s="292"/>
      <c r="H19" s="295"/>
      <c r="I19" s="292"/>
    </row>
    <row r="20" spans="1:9" x14ac:dyDescent="0.2">
      <c r="A20" s="291" t="s">
        <v>609</v>
      </c>
      <c r="B20" s="295">
        <f>177+17+2+8</f>
        <v>204</v>
      </c>
      <c r="C20" s="292">
        <f>7110714.36+0.12+155040+73800+13200+17970+87672+1332+99708+1920+155040+4068</f>
        <v>7720464.4800000004</v>
      </c>
      <c r="D20" s="295">
        <f>177+17+2+8</f>
        <v>204</v>
      </c>
      <c r="E20" s="292">
        <f>7110714.36+0.12+155040+73800+13200+17970+87672+1332+99708+1920+155040+4068</f>
        <v>7720464.4800000004</v>
      </c>
      <c r="F20" s="295">
        <f>177+17+2+8</f>
        <v>204</v>
      </c>
      <c r="G20" s="292">
        <f>7110714.36+0.12+155040+73800+13200+17970+87672+1332+99708+1920+155040+4068</f>
        <v>7720464.4800000004</v>
      </c>
      <c r="H20" s="295">
        <f>B20-D20</f>
        <v>0</v>
      </c>
      <c r="I20" s="292">
        <f>C20-E20</f>
        <v>0</v>
      </c>
    </row>
    <row r="21" spans="1:9" x14ac:dyDescent="0.2">
      <c r="A21" s="291" t="s">
        <v>610</v>
      </c>
      <c r="B21" s="295"/>
      <c r="C21" s="292"/>
      <c r="D21" s="295"/>
      <c r="E21" s="292"/>
      <c r="F21" s="295"/>
      <c r="G21" s="292"/>
      <c r="H21" s="295"/>
      <c r="I21" s="292"/>
    </row>
    <row r="22" spans="1:9" ht="12.75" thickBot="1" x14ac:dyDescent="0.25">
      <c r="A22" s="291" t="s">
        <v>611</v>
      </c>
      <c r="B22" s="295"/>
      <c r="C22" s="292"/>
      <c r="D22" s="295"/>
      <c r="E22" s="292"/>
      <c r="F22" s="295"/>
      <c r="G22" s="292"/>
      <c r="H22" s="295"/>
      <c r="I22" s="292"/>
    </row>
    <row r="23" spans="1:9" ht="12.75" thickBot="1" x14ac:dyDescent="0.25">
      <c r="A23" s="263" t="s">
        <v>612</v>
      </c>
      <c r="B23" s="336">
        <v>214</v>
      </c>
      <c r="C23" s="337">
        <f>SUM(C7:C22)</f>
        <v>11006843.199999999</v>
      </c>
      <c r="D23" s="336">
        <v>214</v>
      </c>
      <c r="E23" s="337">
        <f>SUM(E7:E22)</f>
        <v>11006843.199999999</v>
      </c>
      <c r="F23" s="336">
        <v>214</v>
      </c>
      <c r="G23" s="337">
        <f>SUM(G7:G22)</f>
        <v>11006843.199999999</v>
      </c>
      <c r="H23" s="410">
        <v>0</v>
      </c>
      <c r="I23" s="337">
        <f>SUM(I7:I22)</f>
        <v>0</v>
      </c>
    </row>
    <row r="26" spans="1:9" x14ac:dyDescent="0.2">
      <c r="A26" s="1473" t="s">
        <v>401</v>
      </c>
      <c r="B26" s="1473"/>
      <c r="C26" s="1473"/>
      <c r="D26" s="341"/>
      <c r="E26" s="370"/>
      <c r="F26" s="341"/>
      <c r="G26" s="370"/>
      <c r="H26" s="341"/>
      <c r="I26" s="370"/>
    </row>
    <row r="27" spans="1:9" ht="12.75" thickBot="1" x14ac:dyDescent="0.25">
      <c r="A27" s="321" t="s">
        <v>362</v>
      </c>
      <c r="B27" s="1481" t="s">
        <v>590</v>
      </c>
      <c r="C27" s="1481"/>
      <c r="D27" s="1478" t="s">
        <v>591</v>
      </c>
      <c r="E27" s="1479"/>
      <c r="F27" s="1478" t="s">
        <v>592</v>
      </c>
      <c r="G27" s="1480"/>
      <c r="H27" s="1478" t="s">
        <v>593</v>
      </c>
      <c r="I27" s="1480"/>
    </row>
    <row r="28" spans="1:9" ht="24" x14ac:dyDescent="0.2">
      <c r="A28" s="322" t="s">
        <v>365</v>
      </c>
      <c r="B28" s="323" t="s">
        <v>594</v>
      </c>
      <c r="C28" s="326" t="s">
        <v>595</v>
      </c>
      <c r="D28" s="322" t="s">
        <v>594</v>
      </c>
      <c r="E28" s="368" t="s">
        <v>595</v>
      </c>
      <c r="F28" s="322" t="s">
        <v>594</v>
      </c>
      <c r="G28" s="368" t="s">
        <v>595</v>
      </c>
      <c r="H28" s="322" t="s">
        <v>594</v>
      </c>
      <c r="I28" s="368" t="s">
        <v>595</v>
      </c>
    </row>
    <row r="29" spans="1:9" x14ac:dyDescent="0.2">
      <c r="A29" s="291" t="s">
        <v>596</v>
      </c>
      <c r="B29" s="298">
        <v>8</v>
      </c>
      <c r="C29" s="304">
        <f>30378+46160</f>
        <v>76538</v>
      </c>
      <c r="D29" s="295">
        <f>8</f>
        <v>8</v>
      </c>
      <c r="E29" s="292">
        <f>C29</f>
        <v>76538</v>
      </c>
      <c r="F29" s="295">
        <v>8</v>
      </c>
      <c r="G29" s="292">
        <f>E29</f>
        <v>76538</v>
      </c>
      <c r="H29" s="295"/>
      <c r="I29" s="292">
        <f>G29</f>
        <v>76538</v>
      </c>
    </row>
    <row r="30" spans="1:9" x14ac:dyDescent="0.2">
      <c r="A30" s="291" t="s">
        <v>597</v>
      </c>
      <c r="B30" s="298"/>
      <c r="C30" s="304"/>
      <c r="D30" s="295"/>
      <c r="E30" s="292"/>
      <c r="F30" s="295"/>
      <c r="G30" s="292"/>
      <c r="H30" s="295"/>
      <c r="I30" s="292"/>
    </row>
    <row r="31" spans="1:9" x14ac:dyDescent="0.2">
      <c r="A31" s="291" t="s">
        <v>598</v>
      </c>
      <c r="B31" s="298"/>
      <c r="C31" s="304"/>
      <c r="D31" s="295"/>
      <c r="E31" s="292"/>
      <c r="F31" s="295"/>
      <c r="G31" s="292"/>
      <c r="H31" s="295"/>
      <c r="I31" s="292"/>
    </row>
    <row r="32" spans="1:9" x14ac:dyDescent="0.2">
      <c r="A32" s="65" t="s">
        <v>599</v>
      </c>
      <c r="B32" s="298"/>
      <c r="C32" s="304"/>
      <c r="D32" s="295"/>
      <c r="E32" s="292"/>
      <c r="F32" s="295"/>
      <c r="G32" s="292"/>
      <c r="H32" s="295"/>
      <c r="I32" s="292"/>
    </row>
    <row r="33" spans="1:9" x14ac:dyDescent="0.2">
      <c r="A33" s="291" t="s">
        <v>600</v>
      </c>
      <c r="B33" s="298"/>
      <c r="C33" s="304"/>
      <c r="D33" s="295"/>
      <c r="E33" s="292"/>
      <c r="F33" s="295"/>
      <c r="G33" s="292"/>
      <c r="H33" s="295"/>
      <c r="I33" s="292"/>
    </row>
    <row r="34" spans="1:9" x14ac:dyDescent="0.2">
      <c r="A34" s="65" t="s">
        <v>601</v>
      </c>
      <c r="B34" s="298">
        <v>8</v>
      </c>
      <c r="C34" s="304">
        <f>4000+4000</f>
        <v>8000</v>
      </c>
      <c r="D34" s="295">
        <v>8</v>
      </c>
      <c r="E34" s="292">
        <f>C34</f>
        <v>8000</v>
      </c>
      <c r="F34" s="295">
        <v>8</v>
      </c>
      <c r="G34" s="292">
        <f>E34</f>
        <v>8000</v>
      </c>
      <c r="H34" s="295"/>
      <c r="I34" s="292">
        <f>G34</f>
        <v>8000</v>
      </c>
    </row>
    <row r="35" spans="1:9" x14ac:dyDescent="0.2">
      <c r="A35" s="291" t="s">
        <v>602</v>
      </c>
      <c r="B35" s="298"/>
      <c r="C35" s="304"/>
      <c r="D35" s="295"/>
      <c r="E35" s="292"/>
      <c r="F35" s="295"/>
      <c r="G35" s="292"/>
      <c r="H35" s="295"/>
      <c r="I35" s="292"/>
    </row>
    <row r="36" spans="1:9" x14ac:dyDescent="0.2">
      <c r="A36" s="291" t="s">
        <v>603</v>
      </c>
      <c r="B36" s="298"/>
      <c r="C36" s="304"/>
      <c r="D36" s="295"/>
      <c r="E36" s="292"/>
      <c r="F36" s="295"/>
      <c r="G36" s="292"/>
      <c r="H36" s="295"/>
      <c r="I36" s="292"/>
    </row>
    <row r="37" spans="1:9" x14ac:dyDescent="0.2">
      <c r="A37" s="291" t="s">
        <v>604</v>
      </c>
      <c r="B37" s="298"/>
      <c r="C37" s="304"/>
      <c r="D37" s="295"/>
      <c r="E37" s="292"/>
      <c r="F37" s="295"/>
      <c r="G37" s="292"/>
      <c r="H37" s="295"/>
      <c r="I37" s="292"/>
    </row>
    <row r="38" spans="1:9" x14ac:dyDescent="0.2">
      <c r="A38" s="291" t="s">
        <v>605</v>
      </c>
      <c r="B38" s="298">
        <v>8</v>
      </c>
      <c r="C38" s="304">
        <f>4017.6*2</f>
        <v>8035.2</v>
      </c>
      <c r="D38" s="295">
        <v>8</v>
      </c>
      <c r="E38" s="292">
        <f>C38</f>
        <v>8035.2</v>
      </c>
      <c r="F38" s="295">
        <v>8</v>
      </c>
      <c r="G38" s="292">
        <f>C38</f>
        <v>8035.2</v>
      </c>
      <c r="H38" s="295"/>
      <c r="I38" s="292">
        <f>G38</f>
        <v>8035.2</v>
      </c>
    </row>
    <row r="39" spans="1:9" x14ac:dyDescent="0.2">
      <c r="A39" s="291" t="s">
        <v>606</v>
      </c>
      <c r="B39" s="298"/>
      <c r="C39" s="304"/>
      <c r="D39" s="295"/>
      <c r="E39" s="292"/>
      <c r="F39" s="295"/>
      <c r="G39" s="292"/>
      <c r="H39" s="295"/>
      <c r="I39" s="292"/>
    </row>
    <row r="40" spans="1:9" x14ac:dyDescent="0.2">
      <c r="A40" s="291" t="s">
        <v>607</v>
      </c>
      <c r="B40" s="298"/>
      <c r="C40" s="304"/>
      <c r="D40" s="295"/>
      <c r="E40" s="292"/>
      <c r="F40" s="295"/>
      <c r="G40" s="292"/>
      <c r="H40" s="295"/>
      <c r="I40" s="292"/>
    </row>
    <row r="41" spans="1:9" x14ac:dyDescent="0.2">
      <c r="A41" s="291" t="s">
        <v>608</v>
      </c>
      <c r="B41" s="298"/>
      <c r="C41" s="304"/>
      <c r="D41" s="295"/>
      <c r="E41" s="292"/>
      <c r="F41" s="295"/>
      <c r="G41" s="292"/>
      <c r="H41" s="295"/>
      <c r="I41" s="292"/>
    </row>
    <row r="42" spans="1:9" x14ac:dyDescent="0.2">
      <c r="A42" s="291" t="s">
        <v>609</v>
      </c>
      <c r="B42" s="298">
        <v>8</v>
      </c>
      <c r="C42" s="304">
        <f>146280</f>
        <v>146280</v>
      </c>
      <c r="D42" s="295">
        <v>8</v>
      </c>
      <c r="E42" s="292">
        <f>C42</f>
        <v>146280</v>
      </c>
      <c r="F42" s="295"/>
      <c r="G42" s="292">
        <f>E42</f>
        <v>146280</v>
      </c>
      <c r="H42" s="295"/>
      <c r="I42" s="292">
        <f>G42</f>
        <v>146280</v>
      </c>
    </row>
    <row r="43" spans="1:9" x14ac:dyDescent="0.2">
      <c r="A43" s="291" t="s">
        <v>610</v>
      </c>
      <c r="B43" s="298"/>
      <c r="C43" s="304"/>
      <c r="D43" s="295"/>
      <c r="E43" s="292"/>
      <c r="F43" s="295"/>
      <c r="G43" s="292"/>
      <c r="H43" s="295"/>
      <c r="I43" s="292"/>
    </row>
    <row r="44" spans="1:9" ht="12.75" thickBot="1" x14ac:dyDescent="0.25">
      <c r="A44" s="291" t="s">
        <v>611</v>
      </c>
      <c r="B44" s="298"/>
      <c r="C44" s="304"/>
      <c r="D44" s="295"/>
      <c r="E44" s="292"/>
      <c r="F44" s="295"/>
      <c r="G44" s="292"/>
      <c r="H44" s="295"/>
      <c r="I44" s="292"/>
    </row>
    <row r="45" spans="1:9" ht="12.75" thickBot="1" x14ac:dyDescent="0.25">
      <c r="A45" s="263" t="s">
        <v>612</v>
      </c>
      <c r="B45" s="345">
        <v>8</v>
      </c>
      <c r="C45" s="271">
        <f>C29+C34+C38</f>
        <v>92573.2</v>
      </c>
      <c r="D45" s="345"/>
      <c r="E45" s="271">
        <f t="shared" ref="E45:I45" si="0">SUM(E29:E44)</f>
        <v>238853.2</v>
      </c>
      <c r="F45" s="345">
        <v>8</v>
      </c>
      <c r="G45" s="271">
        <f t="shared" si="0"/>
        <v>238853.2</v>
      </c>
      <c r="H45" s="345">
        <f t="shared" si="0"/>
        <v>0</v>
      </c>
      <c r="I45" s="271">
        <f t="shared" si="0"/>
        <v>238853.2</v>
      </c>
    </row>
    <row r="46" spans="1:9" ht="12.75" thickBot="1" x14ac:dyDescent="0.25"/>
    <row r="47" spans="1:9" ht="12.75" thickBot="1" x14ac:dyDescent="0.25">
      <c r="A47" s="406" t="s">
        <v>613</v>
      </c>
      <c r="B47" s="407"/>
      <c r="C47" s="408"/>
      <c r="D47" s="407"/>
      <c r="E47" s="408"/>
      <c r="F47" s="407"/>
      <c r="G47" s="408"/>
      <c r="H47" s="407"/>
      <c r="I47" s="409"/>
    </row>
    <row r="48" spans="1:9" ht="12.75" thickBot="1" x14ac:dyDescent="0.25">
      <c r="A48" s="321" t="s">
        <v>362</v>
      </c>
      <c r="B48" s="1481" t="s">
        <v>590</v>
      </c>
      <c r="C48" s="1481"/>
      <c r="D48" s="1478" t="s">
        <v>591</v>
      </c>
      <c r="E48" s="1479"/>
      <c r="F48" s="1478" t="s">
        <v>592</v>
      </c>
      <c r="G48" s="1480"/>
      <c r="H48" s="1478" t="s">
        <v>593</v>
      </c>
      <c r="I48" s="1480"/>
    </row>
    <row r="49" spans="1:9" ht="24" x14ac:dyDescent="0.2">
      <c r="A49" s="324" t="s">
        <v>365</v>
      </c>
      <c r="B49" s="322" t="s">
        <v>594</v>
      </c>
      <c r="C49" s="326" t="s">
        <v>595</v>
      </c>
      <c r="D49" s="322" t="s">
        <v>594</v>
      </c>
      <c r="E49" s="368" t="s">
        <v>595</v>
      </c>
      <c r="F49" s="322" t="s">
        <v>594</v>
      </c>
      <c r="G49" s="368" t="s">
        <v>595</v>
      </c>
      <c r="H49" s="322" t="s">
        <v>594</v>
      </c>
      <c r="I49" s="368" t="s">
        <v>595</v>
      </c>
    </row>
    <row r="50" spans="1:9" x14ac:dyDescent="0.2">
      <c r="A50" s="293" t="s">
        <v>596</v>
      </c>
      <c r="B50" s="294">
        <v>8</v>
      </c>
      <c r="C50" s="303">
        <f>46145+5390+6639+7451+91800</f>
        <v>157425</v>
      </c>
      <c r="D50" s="295">
        <v>8</v>
      </c>
      <c r="E50" s="292">
        <f>46144+8084+9324+87000+7032</f>
        <v>157584</v>
      </c>
      <c r="F50" s="295">
        <v>8</v>
      </c>
      <c r="G50" s="292">
        <f>46144+8084+9324+87000+7032</f>
        <v>157584</v>
      </c>
      <c r="H50" s="295"/>
      <c r="I50" s="292"/>
    </row>
    <row r="51" spans="1:9" x14ac:dyDescent="0.2">
      <c r="A51" s="293" t="s">
        <v>597</v>
      </c>
      <c r="B51" s="294"/>
      <c r="C51" s="303"/>
      <c r="D51" s="295"/>
      <c r="E51" s="292"/>
      <c r="F51" s="295"/>
      <c r="G51" s="292"/>
      <c r="H51" s="295"/>
      <c r="I51" s="292"/>
    </row>
    <row r="52" spans="1:9" x14ac:dyDescent="0.2">
      <c r="A52" s="293" t="s">
        <v>598</v>
      </c>
      <c r="B52" s="294"/>
      <c r="C52" s="303"/>
      <c r="D52" s="295"/>
      <c r="E52" s="292"/>
      <c r="F52" s="295"/>
      <c r="G52" s="292"/>
      <c r="H52" s="295"/>
      <c r="I52" s="292"/>
    </row>
    <row r="53" spans="1:9" x14ac:dyDescent="0.2">
      <c r="A53" s="296" t="s">
        <v>599</v>
      </c>
      <c r="B53" s="294"/>
      <c r="C53" s="303"/>
      <c r="D53" s="295"/>
      <c r="E53" s="292"/>
      <c r="F53" s="295"/>
      <c r="G53" s="292"/>
      <c r="H53" s="295"/>
      <c r="I53" s="292"/>
    </row>
    <row r="54" spans="1:9" x14ac:dyDescent="0.2">
      <c r="A54" s="293" t="s">
        <v>600</v>
      </c>
      <c r="B54" s="294"/>
      <c r="C54" s="303"/>
      <c r="D54" s="295"/>
      <c r="E54" s="292"/>
      <c r="F54" s="295"/>
      <c r="G54" s="292"/>
      <c r="H54" s="295"/>
      <c r="I54" s="292"/>
    </row>
    <row r="55" spans="1:9" x14ac:dyDescent="0.2">
      <c r="A55" s="297" t="s">
        <v>601</v>
      </c>
      <c r="B55" s="294"/>
      <c r="C55" s="303">
        <f>4200+2800</f>
        <v>7000</v>
      </c>
      <c r="D55" s="295">
        <v>8</v>
      </c>
      <c r="E55" s="292">
        <f>6000+3600</f>
        <v>9600</v>
      </c>
      <c r="F55" s="295">
        <v>8</v>
      </c>
      <c r="G55" s="292">
        <f>6000+3600</f>
        <v>9600</v>
      </c>
      <c r="H55" s="295"/>
      <c r="I55" s="292"/>
    </row>
    <row r="56" spans="1:9" x14ac:dyDescent="0.2">
      <c r="A56" s="293" t="s">
        <v>602</v>
      </c>
      <c r="B56" s="294"/>
      <c r="C56" s="303"/>
      <c r="D56" s="295"/>
      <c r="E56" s="292"/>
      <c r="F56" s="295"/>
      <c r="G56" s="292"/>
      <c r="H56" s="295"/>
      <c r="I56" s="292"/>
    </row>
    <row r="57" spans="1:9" x14ac:dyDescent="0.2">
      <c r="A57" s="293" t="s">
        <v>603</v>
      </c>
      <c r="B57" s="294"/>
      <c r="C57" s="303"/>
      <c r="D57" s="295"/>
      <c r="E57" s="292"/>
      <c r="F57" s="295"/>
      <c r="G57" s="292"/>
      <c r="H57" s="295"/>
      <c r="I57" s="292"/>
    </row>
    <row r="58" spans="1:9" x14ac:dyDescent="0.2">
      <c r="A58" s="293" t="s">
        <v>604</v>
      </c>
      <c r="B58" s="294"/>
      <c r="C58" s="303"/>
      <c r="D58" s="295"/>
      <c r="E58" s="292"/>
      <c r="F58" s="295"/>
      <c r="G58" s="292"/>
      <c r="H58" s="295"/>
      <c r="I58" s="292"/>
    </row>
    <row r="59" spans="1:9" x14ac:dyDescent="0.2">
      <c r="A59" s="293" t="s">
        <v>605</v>
      </c>
      <c r="B59" s="294"/>
      <c r="C59" s="303"/>
      <c r="D59" s="295"/>
      <c r="E59" s="292"/>
      <c r="F59" s="295"/>
      <c r="G59" s="292"/>
      <c r="H59" s="295"/>
      <c r="I59" s="292"/>
    </row>
    <row r="60" spans="1:9" x14ac:dyDescent="0.2">
      <c r="A60" s="293" t="s">
        <v>606</v>
      </c>
      <c r="B60" s="294"/>
      <c r="C60" s="303"/>
      <c r="D60" s="295"/>
      <c r="E60" s="292"/>
      <c r="F60" s="295"/>
      <c r="G60" s="292"/>
      <c r="H60" s="295"/>
      <c r="I60" s="292"/>
    </row>
    <row r="61" spans="1:9" x14ac:dyDescent="0.2">
      <c r="A61" s="293" t="s">
        <v>607</v>
      </c>
      <c r="B61" s="294"/>
      <c r="C61" s="303"/>
      <c r="D61" s="295"/>
      <c r="E61" s="292"/>
      <c r="F61" s="295"/>
      <c r="G61" s="292"/>
      <c r="H61" s="295"/>
      <c r="I61" s="292"/>
    </row>
    <row r="62" spans="1:9" x14ac:dyDescent="0.2">
      <c r="A62" s="293" t="s">
        <v>608</v>
      </c>
      <c r="B62" s="294"/>
      <c r="C62" s="303"/>
      <c r="D62" s="295"/>
      <c r="E62" s="292"/>
      <c r="F62" s="295"/>
      <c r="G62" s="292"/>
      <c r="H62" s="295"/>
      <c r="I62" s="292"/>
    </row>
    <row r="63" spans="1:9" x14ac:dyDescent="0.2">
      <c r="A63" s="293" t="s">
        <v>609</v>
      </c>
      <c r="B63" s="294"/>
      <c r="C63" s="303"/>
      <c r="D63" s="298"/>
      <c r="E63" s="292"/>
      <c r="F63" s="298"/>
      <c r="G63" s="292"/>
      <c r="H63" s="295"/>
      <c r="I63" s="292"/>
    </row>
    <row r="64" spans="1:9" x14ac:dyDescent="0.2">
      <c r="A64" s="293" t="s">
        <v>610</v>
      </c>
      <c r="B64" s="294">
        <v>8</v>
      </c>
      <c r="C64" s="303">
        <v>7895</v>
      </c>
      <c r="D64" s="298">
        <v>8</v>
      </c>
      <c r="E64" s="292">
        <v>8145</v>
      </c>
      <c r="F64" s="298">
        <v>8</v>
      </c>
      <c r="G64" s="292">
        <v>8145</v>
      </c>
      <c r="H64" s="295"/>
      <c r="I64" s="292"/>
    </row>
    <row r="65" spans="1:9" x14ac:dyDescent="0.2">
      <c r="A65" s="293" t="s">
        <v>611</v>
      </c>
      <c r="B65" s="294"/>
      <c r="C65" s="303"/>
      <c r="D65" s="298"/>
      <c r="E65" s="292"/>
      <c r="F65" s="298"/>
      <c r="G65" s="292"/>
      <c r="H65" s="295"/>
      <c r="I65" s="292"/>
    </row>
    <row r="66" spans="1:9" x14ac:dyDescent="0.2">
      <c r="A66" s="293" t="s">
        <v>614</v>
      </c>
      <c r="B66" s="294"/>
      <c r="C66" s="303"/>
      <c r="D66" s="84"/>
      <c r="E66" s="85">
        <v>1200</v>
      </c>
      <c r="F66" s="84"/>
      <c r="G66" s="85">
        <v>1200</v>
      </c>
      <c r="H66" s="84"/>
      <c r="I66" s="292"/>
    </row>
    <row r="67" spans="1:9" x14ac:dyDescent="0.2">
      <c r="A67" s="293" t="s">
        <v>615</v>
      </c>
      <c r="B67" s="294"/>
      <c r="C67" s="303"/>
      <c r="D67" s="84"/>
      <c r="E67" s="85">
        <v>3000</v>
      </c>
      <c r="F67" s="84"/>
      <c r="G67" s="85">
        <v>3000</v>
      </c>
      <c r="H67" s="84"/>
      <c r="I67" s="292"/>
    </row>
    <row r="68" spans="1:9" x14ac:dyDescent="0.2">
      <c r="A68" s="293" t="s">
        <v>616</v>
      </c>
      <c r="B68" s="294"/>
      <c r="C68" s="303"/>
      <c r="D68" s="84"/>
      <c r="E68" s="85">
        <v>1982</v>
      </c>
      <c r="F68" s="84"/>
      <c r="G68" s="85">
        <v>1982</v>
      </c>
      <c r="H68" s="84"/>
      <c r="I68" s="292"/>
    </row>
    <row r="69" spans="1:9" x14ac:dyDescent="0.2">
      <c r="A69" s="293" t="s">
        <v>617</v>
      </c>
      <c r="B69" s="294">
        <v>8</v>
      </c>
      <c r="C69" s="303">
        <v>8811</v>
      </c>
      <c r="D69" s="84">
        <v>8</v>
      </c>
      <c r="E69" s="85">
        <v>8810</v>
      </c>
      <c r="F69" s="84">
        <v>8</v>
      </c>
      <c r="G69" s="85">
        <v>8810</v>
      </c>
      <c r="H69" s="84"/>
      <c r="I69" s="292"/>
    </row>
    <row r="70" spans="1:9" ht="12.75" thickBot="1" x14ac:dyDescent="0.25">
      <c r="A70" s="296" t="s">
        <v>618</v>
      </c>
      <c r="B70" s="182">
        <v>8</v>
      </c>
      <c r="C70" s="396">
        <v>481</v>
      </c>
      <c r="D70" s="299">
        <v>8</v>
      </c>
      <c r="E70" s="300">
        <v>912</v>
      </c>
      <c r="F70" s="299">
        <v>8</v>
      </c>
      <c r="G70" s="300">
        <v>912</v>
      </c>
      <c r="H70" s="354"/>
      <c r="I70" s="300"/>
    </row>
    <row r="71" spans="1:9" ht="12.75" thickBot="1" x14ac:dyDescent="0.25">
      <c r="A71" s="269" t="s">
        <v>612</v>
      </c>
      <c r="B71" s="263">
        <v>8</v>
      </c>
      <c r="C71" s="271">
        <f>SUM(C50:C70)</f>
        <v>181612</v>
      </c>
      <c r="D71" s="336">
        <v>8</v>
      </c>
      <c r="E71" s="337">
        <f>SUM(E50:E70)</f>
        <v>191233</v>
      </c>
      <c r="F71" s="336">
        <v>8</v>
      </c>
      <c r="G71" s="337">
        <f>SUM(G50:G70)</f>
        <v>191233</v>
      </c>
      <c r="H71" s="336"/>
      <c r="I71" s="337"/>
    </row>
    <row r="72" spans="1:9" x14ac:dyDescent="0.2">
      <c r="A72" s="244"/>
      <c r="B72" s="244"/>
      <c r="C72" s="246"/>
      <c r="D72" s="244"/>
      <c r="E72" s="246"/>
      <c r="F72" s="244"/>
      <c r="G72" s="246"/>
      <c r="H72" s="244"/>
      <c r="I72" s="246"/>
    </row>
    <row r="73" spans="1:9" x14ac:dyDescent="0.2">
      <c r="A73" s="244"/>
      <c r="B73" s="244"/>
      <c r="C73" s="246"/>
      <c r="D73" s="244"/>
      <c r="E73" s="246"/>
      <c r="F73" s="244"/>
      <c r="G73" s="246"/>
      <c r="H73" s="244"/>
      <c r="I73" s="246"/>
    </row>
    <row r="74" spans="1:9" ht="12.75" thickBot="1" x14ac:dyDescent="0.25">
      <c r="A74" s="259" t="s">
        <v>417</v>
      </c>
      <c r="B74" s="258"/>
      <c r="C74" s="325"/>
      <c r="D74" s="258"/>
      <c r="E74" s="325"/>
      <c r="F74" s="258"/>
      <c r="G74" s="325"/>
      <c r="H74" s="258"/>
      <c r="I74" s="325"/>
    </row>
    <row r="75" spans="1:9" ht="12.75" thickBot="1" x14ac:dyDescent="0.25">
      <c r="A75" s="321" t="s">
        <v>362</v>
      </c>
      <c r="B75" s="1481" t="s">
        <v>590</v>
      </c>
      <c r="C75" s="1481"/>
      <c r="D75" s="1478" t="s">
        <v>591</v>
      </c>
      <c r="E75" s="1479"/>
      <c r="F75" s="1478" t="s">
        <v>592</v>
      </c>
      <c r="G75" s="1480"/>
      <c r="H75" s="1478" t="s">
        <v>593</v>
      </c>
      <c r="I75" s="1480"/>
    </row>
    <row r="76" spans="1:9" ht="24" x14ac:dyDescent="0.2">
      <c r="A76" s="322" t="s">
        <v>365</v>
      </c>
      <c r="B76" s="323" t="s">
        <v>594</v>
      </c>
      <c r="C76" s="326" t="s">
        <v>595</v>
      </c>
      <c r="D76" s="322" t="s">
        <v>594</v>
      </c>
      <c r="E76" s="368" t="s">
        <v>595</v>
      </c>
      <c r="F76" s="322" t="s">
        <v>594</v>
      </c>
      <c r="G76" s="368" t="s">
        <v>595</v>
      </c>
      <c r="H76" s="322" t="s">
        <v>594</v>
      </c>
      <c r="I76" s="368" t="s">
        <v>595</v>
      </c>
    </row>
    <row r="77" spans="1:9" x14ac:dyDescent="0.2">
      <c r="A77" s="291" t="s">
        <v>596</v>
      </c>
      <c r="B77" s="298">
        <v>22</v>
      </c>
      <c r="C77" s="390">
        <v>188286</v>
      </c>
      <c r="D77" s="295">
        <v>22</v>
      </c>
      <c r="E77" s="390">
        <v>188286</v>
      </c>
      <c r="F77" s="295">
        <v>22</v>
      </c>
      <c r="G77" s="371">
        <v>237194.52</v>
      </c>
      <c r="H77" s="295">
        <v>22</v>
      </c>
      <c r="I77" s="292">
        <f>+E77-G77</f>
        <v>-48908.51999999999</v>
      </c>
    </row>
    <row r="78" spans="1:9" x14ac:dyDescent="0.2">
      <c r="A78" s="291" t="s">
        <v>597</v>
      </c>
      <c r="B78" s="298"/>
      <c r="C78" s="390"/>
      <c r="D78" s="295"/>
      <c r="E78" s="390"/>
      <c r="F78" s="295"/>
      <c r="G78" s="371"/>
      <c r="H78" s="295"/>
      <c r="I78" s="292"/>
    </row>
    <row r="79" spans="1:9" x14ac:dyDescent="0.2">
      <c r="A79" s="291" t="s">
        <v>598</v>
      </c>
      <c r="B79" s="298"/>
      <c r="C79" s="390"/>
      <c r="D79" s="295"/>
      <c r="E79" s="390"/>
      <c r="F79" s="295"/>
      <c r="G79" s="371"/>
      <c r="H79" s="295"/>
      <c r="I79" s="292"/>
    </row>
    <row r="80" spans="1:9" x14ac:dyDescent="0.2">
      <c r="A80" s="65" t="s">
        <v>599</v>
      </c>
      <c r="B80" s="298"/>
      <c r="C80" s="390"/>
      <c r="D80" s="295"/>
      <c r="E80" s="390"/>
      <c r="F80" s="295"/>
      <c r="G80" s="371"/>
      <c r="H80" s="295"/>
      <c r="I80" s="292"/>
    </row>
    <row r="81" spans="1:9" x14ac:dyDescent="0.2">
      <c r="A81" s="291" t="s">
        <v>600</v>
      </c>
      <c r="B81" s="298"/>
      <c r="C81" s="390"/>
      <c r="D81" s="295"/>
      <c r="E81" s="390"/>
      <c r="F81" s="295"/>
      <c r="G81" s="371"/>
      <c r="H81" s="295"/>
      <c r="I81" s="292"/>
    </row>
    <row r="82" spans="1:9" x14ac:dyDescent="0.2">
      <c r="A82" s="65" t="s">
        <v>601</v>
      </c>
      <c r="B82" s="298">
        <v>22</v>
      </c>
      <c r="C82" s="390">
        <f>+'[3]PROPUESTA. PAP 2021.5'!$S$42</f>
        <v>22000</v>
      </c>
      <c r="D82" s="295">
        <v>22</v>
      </c>
      <c r="E82" s="390">
        <f>+'[3]PROPUESTA. PAP 2021.5'!$S$42</f>
        <v>22000</v>
      </c>
      <c r="F82" s="295">
        <v>22</v>
      </c>
      <c r="G82" s="371">
        <v>22000</v>
      </c>
      <c r="H82" s="295">
        <v>22</v>
      </c>
      <c r="I82" s="371">
        <v>22000</v>
      </c>
    </row>
    <row r="83" spans="1:9" x14ac:dyDescent="0.2">
      <c r="A83" s="291" t="s">
        <v>602</v>
      </c>
      <c r="B83" s="298"/>
      <c r="C83" s="390"/>
      <c r="D83" s="295"/>
      <c r="E83" s="390"/>
      <c r="F83" s="295"/>
      <c r="G83" s="371"/>
      <c r="H83" s="295"/>
      <c r="I83" s="371"/>
    </row>
    <row r="84" spans="1:9" x14ac:dyDescent="0.2">
      <c r="A84" s="291" t="s">
        <v>603</v>
      </c>
      <c r="B84" s="298"/>
      <c r="C84" s="689">
        <v>3000</v>
      </c>
      <c r="D84" s="295"/>
      <c r="E84" s="689">
        <v>3000</v>
      </c>
      <c r="F84" s="295"/>
      <c r="G84" s="371">
        <v>3000</v>
      </c>
      <c r="H84" s="295"/>
      <c r="I84" s="371">
        <v>3000</v>
      </c>
    </row>
    <row r="85" spans="1:9" x14ac:dyDescent="0.2">
      <c r="A85" s="291" t="s">
        <v>604</v>
      </c>
      <c r="B85" s="298"/>
      <c r="C85" s="390"/>
      <c r="D85" s="295"/>
      <c r="E85" s="390"/>
      <c r="F85" s="295"/>
      <c r="G85" s="371"/>
      <c r="H85" s="295"/>
      <c r="I85" s="371"/>
    </row>
    <row r="86" spans="1:9" x14ac:dyDescent="0.2">
      <c r="A86" s="291" t="s">
        <v>605</v>
      </c>
      <c r="B86" s="298">
        <v>22</v>
      </c>
      <c r="C86" s="390">
        <v>22176</v>
      </c>
      <c r="D86" s="295">
        <v>22</v>
      </c>
      <c r="E86" s="390">
        <v>22176</v>
      </c>
      <c r="F86" s="295">
        <v>22</v>
      </c>
      <c r="G86" s="371">
        <v>22176</v>
      </c>
      <c r="H86" s="295">
        <v>22</v>
      </c>
      <c r="I86" s="371">
        <v>22176</v>
      </c>
    </row>
    <row r="87" spans="1:9" x14ac:dyDescent="0.2">
      <c r="A87" s="291" t="s">
        <v>606</v>
      </c>
      <c r="B87" s="298"/>
      <c r="C87" s="390"/>
      <c r="D87" s="295"/>
      <c r="E87" s="390"/>
      <c r="F87" s="295"/>
      <c r="G87" s="371"/>
      <c r="H87" s="295"/>
      <c r="I87" s="292"/>
    </row>
    <row r="88" spans="1:9" x14ac:dyDescent="0.2">
      <c r="A88" s="291" t="s">
        <v>607</v>
      </c>
      <c r="B88" s="298"/>
      <c r="C88" s="390"/>
      <c r="D88" s="295"/>
      <c r="E88" s="390"/>
      <c r="F88" s="295"/>
      <c r="G88" s="371"/>
      <c r="H88" s="295"/>
      <c r="I88" s="292"/>
    </row>
    <row r="89" spans="1:9" x14ac:dyDescent="0.2">
      <c r="A89" s="291" t="s">
        <v>608</v>
      </c>
      <c r="B89" s="298"/>
      <c r="C89" s="390"/>
      <c r="D89" s="295"/>
      <c r="E89" s="390"/>
      <c r="F89" s="295"/>
      <c r="G89" s="371"/>
      <c r="H89" s="295"/>
      <c r="I89" s="292"/>
    </row>
    <row r="90" spans="1:9" x14ac:dyDescent="0.2">
      <c r="A90" s="291" t="s">
        <v>609</v>
      </c>
      <c r="B90" s="298">
        <v>22</v>
      </c>
      <c r="C90" s="390">
        <v>318018</v>
      </c>
      <c r="D90" s="295">
        <v>22</v>
      </c>
      <c r="E90" s="390">
        <v>318018</v>
      </c>
      <c r="F90" s="295">
        <v>22</v>
      </c>
      <c r="G90" s="371">
        <v>346140</v>
      </c>
      <c r="H90" s="295">
        <v>22</v>
      </c>
      <c r="I90" s="292">
        <f>+E90-G90</f>
        <v>-28122</v>
      </c>
    </row>
    <row r="91" spans="1:9" x14ac:dyDescent="0.2">
      <c r="A91" s="291" t="s">
        <v>610</v>
      </c>
      <c r="B91" s="298">
        <v>22</v>
      </c>
      <c r="C91" s="390">
        <v>27530</v>
      </c>
      <c r="D91" s="295">
        <v>22</v>
      </c>
      <c r="E91" s="390">
        <v>27530</v>
      </c>
      <c r="F91" s="295">
        <v>22</v>
      </c>
      <c r="G91" s="371">
        <v>27530</v>
      </c>
      <c r="H91" s="295">
        <v>22</v>
      </c>
      <c r="I91" s="371">
        <v>27530</v>
      </c>
    </row>
    <row r="92" spans="1:9" ht="12.75" thickBot="1" x14ac:dyDescent="0.25">
      <c r="A92" s="291" t="s">
        <v>611</v>
      </c>
      <c r="B92" s="298">
        <v>22</v>
      </c>
      <c r="C92" s="390">
        <v>30140</v>
      </c>
      <c r="D92" s="295">
        <v>22</v>
      </c>
      <c r="E92" s="390">
        <v>30140</v>
      </c>
      <c r="F92" s="295">
        <v>22</v>
      </c>
      <c r="G92" s="371">
        <v>30140</v>
      </c>
      <c r="H92" s="295">
        <v>22</v>
      </c>
      <c r="I92" s="371">
        <v>30140</v>
      </c>
    </row>
    <row r="93" spans="1:9" ht="12.75" thickBot="1" x14ac:dyDescent="0.25">
      <c r="A93" s="263" t="s">
        <v>612</v>
      </c>
      <c r="B93" s="345">
        <v>22</v>
      </c>
      <c r="C93" s="271">
        <f>SUM(C77:C92)</f>
        <v>611150</v>
      </c>
      <c r="D93" s="336">
        <v>22</v>
      </c>
      <c r="E93" s="337">
        <f>SUM(E77:E92)</f>
        <v>611150</v>
      </c>
      <c r="F93" s="336">
        <v>22</v>
      </c>
      <c r="G93" s="337">
        <f>SUM(G77:G92)</f>
        <v>688180.52</v>
      </c>
      <c r="H93" s="336">
        <v>22</v>
      </c>
      <c r="I93" s="337">
        <f>SUM(I77:I92)</f>
        <v>27815.48000000001</v>
      </c>
    </row>
    <row r="95" spans="1:9" ht="12.75" thickBot="1" x14ac:dyDescent="0.25">
      <c r="A95" s="332" t="s">
        <v>418</v>
      </c>
      <c r="B95" s="341"/>
      <c r="C95" s="370"/>
      <c r="D95" s="341"/>
      <c r="E95" s="370"/>
      <c r="F95" s="341"/>
      <c r="G95" s="370"/>
      <c r="H95" s="341"/>
      <c r="I95" s="370"/>
    </row>
    <row r="96" spans="1:9" ht="12.75" thickBot="1" x14ac:dyDescent="0.25">
      <c r="A96" s="321" t="s">
        <v>362</v>
      </c>
      <c r="B96" s="1478" t="s">
        <v>590</v>
      </c>
      <c r="C96" s="1480"/>
      <c r="D96" s="1478" t="s">
        <v>591</v>
      </c>
      <c r="E96" s="1480"/>
      <c r="F96" s="1478" t="s">
        <v>592</v>
      </c>
      <c r="G96" s="1480"/>
      <c r="H96" s="1478" t="s">
        <v>593</v>
      </c>
      <c r="I96" s="1480"/>
    </row>
    <row r="97" spans="1:9" ht="24" x14ac:dyDescent="0.2">
      <c r="A97" s="322" t="s">
        <v>365</v>
      </c>
      <c r="B97" s="323" t="s">
        <v>594</v>
      </c>
      <c r="C97" s="326" t="s">
        <v>595</v>
      </c>
      <c r="D97" s="322" t="s">
        <v>594</v>
      </c>
      <c r="E97" s="368" t="s">
        <v>595</v>
      </c>
      <c r="F97" s="322" t="s">
        <v>594</v>
      </c>
      <c r="G97" s="368" t="s">
        <v>595</v>
      </c>
      <c r="H97" s="322" t="s">
        <v>594</v>
      </c>
      <c r="I97" s="368" t="s">
        <v>595</v>
      </c>
    </row>
    <row r="98" spans="1:9" x14ac:dyDescent="0.2">
      <c r="A98" s="291" t="s">
        <v>596</v>
      </c>
      <c r="B98" s="298">
        <v>24</v>
      </c>
      <c r="C98" s="304">
        <v>202246</v>
      </c>
      <c r="D98" s="298">
        <v>24</v>
      </c>
      <c r="E98" s="304">
        <v>204708</v>
      </c>
      <c r="F98" s="298">
        <v>24</v>
      </c>
      <c r="G98" s="304">
        <v>204708</v>
      </c>
      <c r="H98" s="295">
        <v>24</v>
      </c>
      <c r="I98" s="292">
        <v>2462</v>
      </c>
    </row>
    <row r="99" spans="1:9" x14ac:dyDescent="0.2">
      <c r="A99" s="291" t="s">
        <v>597</v>
      </c>
      <c r="B99" s="298"/>
      <c r="C99" s="304"/>
      <c r="D99" s="298"/>
      <c r="E99" s="304"/>
      <c r="F99" s="298"/>
      <c r="G99" s="304"/>
      <c r="H99" s="295"/>
      <c r="I99" s="292"/>
    </row>
    <row r="100" spans="1:9" x14ac:dyDescent="0.2">
      <c r="A100" s="291" t="s">
        <v>598</v>
      </c>
      <c r="B100" s="298"/>
      <c r="C100" s="304"/>
      <c r="D100" s="298"/>
      <c r="E100" s="304"/>
      <c r="F100" s="298"/>
      <c r="G100" s="304"/>
      <c r="H100" s="295"/>
      <c r="I100" s="292"/>
    </row>
    <row r="101" spans="1:9" x14ac:dyDescent="0.2">
      <c r="A101" s="65" t="s">
        <v>599</v>
      </c>
      <c r="B101" s="298"/>
      <c r="C101" s="304"/>
      <c r="D101" s="298"/>
      <c r="E101" s="304"/>
      <c r="F101" s="298"/>
      <c r="G101" s="304"/>
      <c r="H101" s="295"/>
      <c r="I101" s="292"/>
    </row>
    <row r="102" spans="1:9" x14ac:dyDescent="0.2">
      <c r="A102" s="291" t="s">
        <v>600</v>
      </c>
      <c r="B102" s="298"/>
      <c r="C102" s="304"/>
      <c r="D102" s="298"/>
      <c r="E102" s="304"/>
      <c r="F102" s="298"/>
      <c r="G102" s="304"/>
      <c r="H102" s="295"/>
      <c r="I102" s="292"/>
    </row>
    <row r="103" spans="1:9" x14ac:dyDescent="0.2">
      <c r="A103" s="65" t="s">
        <v>601</v>
      </c>
      <c r="B103" s="298">
        <v>24</v>
      </c>
      <c r="C103" s="304">
        <v>24000</v>
      </c>
      <c r="D103" s="298">
        <v>24</v>
      </c>
      <c r="E103" s="304">
        <v>24000</v>
      </c>
      <c r="F103" s="298">
        <v>24</v>
      </c>
      <c r="G103" s="304">
        <v>24000</v>
      </c>
      <c r="H103" s="295">
        <v>0</v>
      </c>
      <c r="I103" s="292">
        <v>0</v>
      </c>
    </row>
    <row r="104" spans="1:9" x14ac:dyDescent="0.2">
      <c r="A104" s="291" t="s">
        <v>602</v>
      </c>
      <c r="B104" s="298"/>
      <c r="C104" s="304"/>
      <c r="D104" s="298"/>
      <c r="E104" s="304"/>
      <c r="F104" s="298"/>
      <c r="G104" s="304"/>
      <c r="H104" s="295"/>
      <c r="I104" s="292"/>
    </row>
    <row r="105" spans="1:9" x14ac:dyDescent="0.2">
      <c r="A105" s="291" t="s">
        <v>603</v>
      </c>
      <c r="B105" s="298">
        <v>24</v>
      </c>
      <c r="C105" s="304">
        <v>9880</v>
      </c>
      <c r="D105" s="298">
        <v>24</v>
      </c>
      <c r="E105" s="304">
        <v>9880</v>
      </c>
      <c r="F105" s="298">
        <v>24</v>
      </c>
      <c r="G105" s="304">
        <v>9880</v>
      </c>
      <c r="H105" s="295">
        <v>0</v>
      </c>
      <c r="I105" s="292">
        <v>0</v>
      </c>
    </row>
    <row r="106" spans="1:9" x14ac:dyDescent="0.2">
      <c r="A106" s="291" t="s">
        <v>604</v>
      </c>
      <c r="B106" s="298"/>
      <c r="C106" s="304"/>
      <c r="D106" s="298"/>
      <c r="E106" s="304"/>
      <c r="F106" s="298"/>
      <c r="G106" s="304"/>
      <c r="H106" s="295"/>
      <c r="I106" s="292"/>
    </row>
    <row r="107" spans="1:9" x14ac:dyDescent="0.2">
      <c r="A107" s="291" t="s">
        <v>605</v>
      </c>
      <c r="B107" s="298">
        <v>24</v>
      </c>
      <c r="C107" s="304">
        <v>24106</v>
      </c>
      <c r="D107" s="298">
        <v>24</v>
      </c>
      <c r="E107" s="304">
        <v>24106</v>
      </c>
      <c r="F107" s="298">
        <v>24</v>
      </c>
      <c r="G107" s="304">
        <v>24106</v>
      </c>
      <c r="H107" s="295">
        <v>0</v>
      </c>
      <c r="I107" s="292">
        <v>0</v>
      </c>
    </row>
    <row r="108" spans="1:9" x14ac:dyDescent="0.2">
      <c r="A108" s="291" t="s">
        <v>606</v>
      </c>
      <c r="B108" s="298"/>
      <c r="C108" s="304"/>
      <c r="D108" s="298"/>
      <c r="E108" s="304"/>
      <c r="F108" s="298"/>
      <c r="G108" s="304"/>
      <c r="H108" s="295"/>
      <c r="I108" s="292"/>
    </row>
    <row r="109" spans="1:9" x14ac:dyDescent="0.2">
      <c r="A109" s="291" t="s">
        <v>607</v>
      </c>
      <c r="B109" s="298">
        <v>24</v>
      </c>
      <c r="C109" s="304">
        <v>46662</v>
      </c>
      <c r="D109" s="298">
        <v>24</v>
      </c>
      <c r="E109" s="304">
        <v>46662</v>
      </c>
      <c r="F109" s="298">
        <v>24</v>
      </c>
      <c r="G109" s="304">
        <v>46662</v>
      </c>
      <c r="H109" s="295">
        <v>0</v>
      </c>
      <c r="I109" s="292">
        <v>0</v>
      </c>
    </row>
    <row r="110" spans="1:9" x14ac:dyDescent="0.2">
      <c r="A110" s="291" t="s">
        <v>608</v>
      </c>
      <c r="B110" s="298"/>
      <c r="C110" s="304"/>
      <c r="D110" s="298"/>
      <c r="E110" s="304"/>
      <c r="F110" s="298"/>
      <c r="G110" s="304"/>
      <c r="H110" s="295"/>
      <c r="I110" s="292"/>
    </row>
    <row r="111" spans="1:9" x14ac:dyDescent="0.2">
      <c r="A111" s="291" t="s">
        <v>609</v>
      </c>
      <c r="B111" s="298">
        <v>24</v>
      </c>
      <c r="C111" s="304">
        <v>359304</v>
      </c>
      <c r="D111" s="298">
        <v>24</v>
      </c>
      <c r="E111" s="304">
        <v>359304</v>
      </c>
      <c r="F111" s="298">
        <v>24</v>
      </c>
      <c r="G111" s="304">
        <v>359304</v>
      </c>
      <c r="H111" s="295">
        <v>0</v>
      </c>
      <c r="I111" s="292">
        <v>0</v>
      </c>
    </row>
    <row r="112" spans="1:9" x14ac:dyDescent="0.2">
      <c r="A112" s="291" t="s">
        <v>610</v>
      </c>
      <c r="B112" s="298">
        <v>24</v>
      </c>
      <c r="C112" s="304">
        <v>36000</v>
      </c>
      <c r="D112" s="298">
        <v>24</v>
      </c>
      <c r="E112" s="304">
        <v>36000</v>
      </c>
      <c r="F112" s="298">
        <v>24</v>
      </c>
      <c r="G112" s="304">
        <v>36000</v>
      </c>
      <c r="H112" s="295">
        <v>0</v>
      </c>
      <c r="I112" s="292">
        <v>0</v>
      </c>
    </row>
    <row r="113" spans="1:9" ht="12.75" thickBot="1" x14ac:dyDescent="0.25">
      <c r="A113" s="291" t="s">
        <v>611</v>
      </c>
      <c r="B113" s="298"/>
      <c r="C113" s="304"/>
      <c r="D113" s="298"/>
      <c r="E113" s="304"/>
      <c r="F113" s="298"/>
      <c r="G113" s="304"/>
      <c r="H113" s="295"/>
      <c r="I113" s="292"/>
    </row>
    <row r="114" spans="1:9" ht="12.75" thickBot="1" x14ac:dyDescent="0.25">
      <c r="A114" s="263" t="s">
        <v>612</v>
      </c>
      <c r="B114" s="345">
        <v>24</v>
      </c>
      <c r="C114" s="271">
        <f>SUM(C98:C113)</f>
        <v>702198</v>
      </c>
      <c r="D114" s="345">
        <v>24</v>
      </c>
      <c r="E114" s="271">
        <f>SUM(E98:E113)</f>
        <v>704660</v>
      </c>
      <c r="F114" s="345">
        <v>24</v>
      </c>
      <c r="G114" s="271">
        <f>SUM(G98:G113)</f>
        <v>704660</v>
      </c>
      <c r="H114" s="336"/>
      <c r="I114" s="337"/>
    </row>
    <row r="115" spans="1:9" x14ac:dyDescent="0.2">
      <c r="A115" s="244"/>
      <c r="B115" s="244"/>
      <c r="C115" s="246"/>
      <c r="D115" s="244"/>
      <c r="E115" s="246"/>
      <c r="F115" s="244"/>
      <c r="G115" s="246"/>
      <c r="H115" s="244"/>
      <c r="I115" s="246"/>
    </row>
    <row r="116" spans="1:9" x14ac:dyDescent="0.2">
      <c r="A116" s="244"/>
      <c r="B116" s="244"/>
      <c r="C116" s="246"/>
      <c r="D116" s="244"/>
      <c r="E116" s="246"/>
      <c r="F116" s="244"/>
      <c r="G116" s="246"/>
      <c r="H116" s="244"/>
      <c r="I116" s="246"/>
    </row>
    <row r="117" spans="1:9" ht="12.75" thickBot="1" x14ac:dyDescent="0.25">
      <c r="A117" s="332" t="s">
        <v>426</v>
      </c>
      <c r="B117" s="341"/>
      <c r="C117" s="370"/>
      <c r="D117" s="341"/>
      <c r="E117" s="370"/>
      <c r="F117" s="341"/>
      <c r="G117" s="370"/>
      <c r="H117" s="341"/>
      <c r="I117" s="370"/>
    </row>
    <row r="118" spans="1:9" ht="12.75" thickBot="1" x14ac:dyDescent="0.25">
      <c r="A118" s="321" t="s">
        <v>362</v>
      </c>
      <c r="B118" s="1481" t="s">
        <v>590</v>
      </c>
      <c r="C118" s="1481"/>
      <c r="D118" s="1478" t="s">
        <v>591</v>
      </c>
      <c r="E118" s="1479"/>
      <c r="F118" s="1478" t="s">
        <v>592</v>
      </c>
      <c r="G118" s="1480"/>
      <c r="H118" s="1478" t="s">
        <v>593</v>
      </c>
      <c r="I118" s="1480"/>
    </row>
    <row r="119" spans="1:9" ht="24" x14ac:dyDescent="0.2">
      <c r="A119" s="322" t="s">
        <v>365</v>
      </c>
      <c r="B119" s="323" t="s">
        <v>594</v>
      </c>
      <c r="C119" s="326" t="s">
        <v>595</v>
      </c>
      <c r="D119" s="322" t="s">
        <v>594</v>
      </c>
      <c r="E119" s="368" t="s">
        <v>595</v>
      </c>
      <c r="F119" s="322" t="s">
        <v>594</v>
      </c>
      <c r="G119" s="368" t="s">
        <v>595</v>
      </c>
      <c r="H119" s="322" t="s">
        <v>594</v>
      </c>
      <c r="I119" s="368" t="s">
        <v>595</v>
      </c>
    </row>
    <row r="120" spans="1:9" x14ac:dyDescent="0.2">
      <c r="A120" s="291" t="s">
        <v>596</v>
      </c>
      <c r="B120" s="312">
        <v>23</v>
      </c>
      <c r="C120" s="380">
        <v>198397</v>
      </c>
      <c r="D120" s="311">
        <v>23</v>
      </c>
      <c r="E120" s="380">
        <v>198397</v>
      </c>
      <c r="F120" s="311">
        <v>23</v>
      </c>
      <c r="G120" s="380">
        <v>198397</v>
      </c>
      <c r="H120" s="295">
        <v>0</v>
      </c>
      <c r="I120" s="292">
        <v>0</v>
      </c>
    </row>
    <row r="121" spans="1:9" x14ac:dyDescent="0.2">
      <c r="A121" s="291" t="s">
        <v>597</v>
      </c>
      <c r="B121" s="298"/>
      <c r="C121" s="304"/>
      <c r="D121" s="295"/>
      <c r="E121" s="304"/>
      <c r="F121" s="295"/>
      <c r="G121" s="304"/>
      <c r="H121" s="295"/>
      <c r="I121" s="292">
        <v>0</v>
      </c>
    </row>
    <row r="122" spans="1:9" x14ac:dyDescent="0.2">
      <c r="A122" s="291" t="s">
        <v>598</v>
      </c>
      <c r="B122" s="298"/>
      <c r="C122" s="304"/>
      <c r="D122" s="295"/>
      <c r="E122" s="304"/>
      <c r="F122" s="295"/>
      <c r="G122" s="304"/>
      <c r="H122" s="295"/>
      <c r="I122" s="292">
        <v>0</v>
      </c>
    </row>
    <row r="123" spans="1:9" x14ac:dyDescent="0.2">
      <c r="A123" s="65" t="s">
        <v>599</v>
      </c>
      <c r="B123" s="298"/>
      <c r="C123" s="304"/>
      <c r="D123" s="295"/>
      <c r="E123" s="304"/>
      <c r="F123" s="295"/>
      <c r="G123" s="304"/>
      <c r="H123" s="295"/>
      <c r="I123" s="292">
        <v>0</v>
      </c>
    </row>
    <row r="124" spans="1:9" x14ac:dyDescent="0.2">
      <c r="A124" s="291" t="s">
        <v>600</v>
      </c>
      <c r="B124" s="298"/>
      <c r="C124" s="304"/>
      <c r="D124" s="295"/>
      <c r="E124" s="304"/>
      <c r="F124" s="295"/>
      <c r="G124" s="304"/>
      <c r="H124" s="295"/>
      <c r="I124" s="292">
        <v>0</v>
      </c>
    </row>
    <row r="125" spans="1:9" x14ac:dyDescent="0.2">
      <c r="A125" s="65" t="s">
        <v>601</v>
      </c>
      <c r="B125" s="298"/>
      <c r="C125" s="381">
        <v>23000</v>
      </c>
      <c r="D125" s="295"/>
      <c r="E125" s="381">
        <v>23000</v>
      </c>
      <c r="F125" s="295"/>
      <c r="G125" s="381">
        <v>23000</v>
      </c>
      <c r="H125" s="295"/>
      <c r="I125" s="292">
        <v>0</v>
      </c>
    </row>
    <row r="126" spans="1:9" x14ac:dyDescent="0.2">
      <c r="A126" s="291" t="s">
        <v>602</v>
      </c>
      <c r="B126" s="298"/>
      <c r="C126" s="304"/>
      <c r="D126" s="295"/>
      <c r="E126" s="304"/>
      <c r="F126" s="295"/>
      <c r="G126" s="304"/>
      <c r="H126" s="295"/>
      <c r="I126" s="292">
        <v>0</v>
      </c>
    </row>
    <row r="127" spans="1:9" x14ac:dyDescent="0.2">
      <c r="A127" s="291" t="s">
        <v>603</v>
      </c>
      <c r="B127" s="298"/>
      <c r="C127" s="304"/>
      <c r="D127" s="295"/>
      <c r="E127" s="304"/>
      <c r="F127" s="295"/>
      <c r="G127" s="304"/>
      <c r="H127" s="295"/>
      <c r="I127" s="292">
        <v>0</v>
      </c>
    </row>
    <row r="128" spans="1:9" x14ac:dyDescent="0.2">
      <c r="A128" s="291" t="s">
        <v>604</v>
      </c>
      <c r="B128" s="298"/>
      <c r="C128" s="304"/>
      <c r="D128" s="295"/>
      <c r="E128" s="304"/>
      <c r="F128" s="295"/>
      <c r="G128" s="304"/>
      <c r="H128" s="295"/>
      <c r="I128" s="292">
        <v>0</v>
      </c>
    </row>
    <row r="129" spans="1:9" x14ac:dyDescent="0.2">
      <c r="A129" s="291" t="s">
        <v>605</v>
      </c>
      <c r="B129" s="298"/>
      <c r="C129" s="381">
        <v>21888</v>
      </c>
      <c r="D129" s="295"/>
      <c r="E129" s="381">
        <v>21888</v>
      </c>
      <c r="F129" s="295"/>
      <c r="G129" s="381">
        <v>21888</v>
      </c>
      <c r="H129" s="295"/>
      <c r="I129" s="292">
        <v>0</v>
      </c>
    </row>
    <row r="130" spans="1:9" x14ac:dyDescent="0.2">
      <c r="A130" s="291" t="s">
        <v>606</v>
      </c>
      <c r="B130" s="298"/>
      <c r="C130" s="304"/>
      <c r="D130" s="295"/>
      <c r="E130" s="304"/>
      <c r="F130" s="295"/>
      <c r="G130" s="304"/>
      <c r="H130" s="295"/>
      <c r="I130" s="292">
        <v>0</v>
      </c>
    </row>
    <row r="131" spans="1:9" x14ac:dyDescent="0.2">
      <c r="A131" s="291" t="s">
        <v>607</v>
      </c>
      <c r="B131" s="298"/>
      <c r="C131" s="381">
        <v>34500</v>
      </c>
      <c r="D131" s="295"/>
      <c r="E131" s="381">
        <v>34500</v>
      </c>
      <c r="F131" s="295"/>
      <c r="G131" s="381">
        <v>34500</v>
      </c>
      <c r="H131" s="295"/>
      <c r="I131" s="292">
        <v>0</v>
      </c>
    </row>
    <row r="132" spans="1:9" x14ac:dyDescent="0.2">
      <c r="A132" s="291" t="s">
        <v>608</v>
      </c>
      <c r="B132" s="298"/>
      <c r="C132" s="304"/>
      <c r="D132" s="295"/>
      <c r="E132" s="304"/>
      <c r="F132" s="295"/>
      <c r="G132" s="304"/>
      <c r="H132" s="295"/>
      <c r="I132" s="292">
        <v>0</v>
      </c>
    </row>
    <row r="133" spans="1:9" x14ac:dyDescent="0.2">
      <c r="A133" s="291" t="s">
        <v>609</v>
      </c>
      <c r="B133" s="298"/>
      <c r="C133" s="381">
        <v>471060</v>
      </c>
      <c r="D133" s="295"/>
      <c r="E133" s="381">
        <v>471060</v>
      </c>
      <c r="F133" s="295"/>
      <c r="G133" s="381">
        <v>471060</v>
      </c>
      <c r="H133" s="295"/>
      <c r="I133" s="292">
        <v>0</v>
      </c>
    </row>
    <row r="134" spans="1:9" x14ac:dyDescent="0.2">
      <c r="A134" s="291" t="s">
        <v>610</v>
      </c>
      <c r="B134" s="298"/>
      <c r="C134" s="381">
        <v>34500</v>
      </c>
      <c r="D134" s="295"/>
      <c r="E134" s="381">
        <v>34500</v>
      </c>
      <c r="F134" s="295"/>
      <c r="G134" s="381">
        <v>34500</v>
      </c>
      <c r="H134" s="295"/>
      <c r="I134" s="292">
        <v>0</v>
      </c>
    </row>
    <row r="135" spans="1:9" ht="12.75" thickBot="1" x14ac:dyDescent="0.25">
      <c r="A135" s="291" t="s">
        <v>611</v>
      </c>
      <c r="B135" s="298"/>
      <c r="C135" s="304"/>
      <c r="D135" s="295"/>
      <c r="E135" s="304"/>
      <c r="F135" s="295"/>
      <c r="G135" s="304"/>
      <c r="H135" s="295"/>
      <c r="I135" s="292">
        <v>0</v>
      </c>
    </row>
    <row r="136" spans="1:9" ht="12.75" thickBot="1" x14ac:dyDescent="0.25">
      <c r="A136" s="263" t="s">
        <v>612</v>
      </c>
      <c r="B136" s="345">
        <f>SUM(B120:B135)</f>
        <v>23</v>
      </c>
      <c r="C136" s="271">
        <f t="shared" ref="C136:I136" si="1">SUM(C120:C135)</f>
        <v>783345</v>
      </c>
      <c r="D136" s="345">
        <f t="shared" si="1"/>
        <v>23</v>
      </c>
      <c r="E136" s="271">
        <f t="shared" si="1"/>
        <v>783345</v>
      </c>
      <c r="F136" s="345">
        <f t="shared" si="1"/>
        <v>23</v>
      </c>
      <c r="G136" s="271">
        <f t="shared" si="1"/>
        <v>783345</v>
      </c>
      <c r="H136" s="345">
        <f t="shared" si="1"/>
        <v>0</v>
      </c>
      <c r="I136" s="271">
        <f t="shared" si="1"/>
        <v>0</v>
      </c>
    </row>
    <row r="138" spans="1:9" ht="12.75" thickBot="1" x14ac:dyDescent="0.25">
      <c r="A138" s="332" t="s">
        <v>427</v>
      </c>
      <c r="B138" s="341"/>
      <c r="C138" s="370"/>
      <c r="D138" s="341"/>
      <c r="E138" s="370"/>
      <c r="F138" s="341"/>
      <c r="G138" s="370"/>
      <c r="H138" s="341"/>
      <c r="I138" s="370"/>
    </row>
    <row r="139" spans="1:9" ht="12.75" thickBot="1" x14ac:dyDescent="0.25">
      <c r="A139" s="321" t="s">
        <v>362</v>
      </c>
      <c r="B139" s="1481" t="s">
        <v>590</v>
      </c>
      <c r="C139" s="1481"/>
      <c r="D139" s="1478" t="s">
        <v>591</v>
      </c>
      <c r="E139" s="1479"/>
      <c r="F139" s="1478" t="s">
        <v>592</v>
      </c>
      <c r="G139" s="1480"/>
      <c r="H139" s="1478" t="s">
        <v>593</v>
      </c>
      <c r="I139" s="1480"/>
    </row>
    <row r="140" spans="1:9" ht="24" x14ac:dyDescent="0.2">
      <c r="A140" s="322" t="s">
        <v>365</v>
      </c>
      <c r="B140" s="323" t="s">
        <v>594</v>
      </c>
      <c r="C140" s="326" t="s">
        <v>595</v>
      </c>
      <c r="D140" s="322" t="s">
        <v>594</v>
      </c>
      <c r="E140" s="368" t="s">
        <v>595</v>
      </c>
      <c r="F140" s="322" t="s">
        <v>594</v>
      </c>
      <c r="G140" s="368" t="s">
        <v>595</v>
      </c>
      <c r="H140" s="322" t="s">
        <v>594</v>
      </c>
      <c r="I140" s="368" t="s">
        <v>595</v>
      </c>
    </row>
    <row r="141" spans="1:9" x14ac:dyDescent="0.2">
      <c r="A141" s="291" t="s">
        <v>596</v>
      </c>
      <c r="B141" s="298">
        <v>24</v>
      </c>
      <c r="C141" s="304">
        <v>203113.92</v>
      </c>
      <c r="D141" s="295">
        <v>24</v>
      </c>
      <c r="E141" s="292">
        <v>203113.92</v>
      </c>
      <c r="F141" s="358">
        <v>24</v>
      </c>
      <c r="G141" s="292">
        <v>203113.92</v>
      </c>
      <c r="H141" s="295"/>
      <c r="I141" s="292"/>
    </row>
    <row r="142" spans="1:9" x14ac:dyDescent="0.2">
      <c r="A142" s="291" t="s">
        <v>597</v>
      </c>
      <c r="B142" s="298"/>
      <c r="C142" s="304"/>
      <c r="D142" s="295"/>
      <c r="E142" s="292"/>
      <c r="F142" s="295"/>
      <c r="G142" s="292"/>
      <c r="H142" s="295"/>
      <c r="I142" s="292"/>
    </row>
    <row r="143" spans="1:9" x14ac:dyDescent="0.2">
      <c r="A143" s="291" t="s">
        <v>598</v>
      </c>
      <c r="B143" s="298"/>
      <c r="C143" s="304"/>
      <c r="D143" s="295"/>
      <c r="E143" s="292"/>
      <c r="F143" s="295"/>
      <c r="G143" s="292"/>
      <c r="H143" s="295"/>
      <c r="I143" s="292"/>
    </row>
    <row r="144" spans="1:9" x14ac:dyDescent="0.2">
      <c r="A144" s="65" t="s">
        <v>599</v>
      </c>
      <c r="B144" s="298"/>
      <c r="C144" s="304"/>
      <c r="D144" s="295"/>
      <c r="E144" s="292"/>
      <c r="F144" s="295"/>
      <c r="G144" s="292"/>
      <c r="H144" s="295"/>
      <c r="I144" s="292"/>
    </row>
    <row r="145" spans="1:9" x14ac:dyDescent="0.2">
      <c r="A145" s="291" t="s">
        <v>600</v>
      </c>
      <c r="B145" s="298"/>
      <c r="C145" s="304"/>
      <c r="D145" s="295"/>
      <c r="E145" s="292"/>
      <c r="F145" s="295"/>
      <c r="G145" s="292"/>
      <c r="H145" s="295"/>
      <c r="I145" s="292"/>
    </row>
    <row r="146" spans="1:9" x14ac:dyDescent="0.2">
      <c r="A146" s="65" t="s">
        <v>601</v>
      </c>
      <c r="B146" s="298">
        <v>24</v>
      </c>
      <c r="C146" s="304">
        <v>24000</v>
      </c>
      <c r="D146" s="295">
        <v>24</v>
      </c>
      <c r="E146" s="292">
        <v>24000</v>
      </c>
      <c r="F146" s="359">
        <v>24</v>
      </c>
      <c r="G146" s="292">
        <v>24000</v>
      </c>
      <c r="H146" s="295"/>
      <c r="I146" s="292"/>
    </row>
    <row r="147" spans="1:9" x14ac:dyDescent="0.2">
      <c r="A147" s="291" t="s">
        <v>602</v>
      </c>
      <c r="B147" s="298"/>
      <c r="C147" s="304"/>
      <c r="D147" s="295"/>
      <c r="E147" s="292"/>
      <c r="F147" s="295"/>
      <c r="G147" s="292"/>
      <c r="H147" s="295"/>
      <c r="I147" s="292"/>
    </row>
    <row r="148" spans="1:9" x14ac:dyDescent="0.2">
      <c r="A148" s="291" t="s">
        <v>603</v>
      </c>
      <c r="B148" s="298"/>
      <c r="C148" s="304"/>
      <c r="D148" s="295"/>
      <c r="E148" s="292"/>
      <c r="F148" s="295"/>
      <c r="G148" s="292"/>
      <c r="H148" s="295"/>
      <c r="I148" s="292"/>
    </row>
    <row r="149" spans="1:9" x14ac:dyDescent="0.2">
      <c r="A149" s="291" t="s">
        <v>604</v>
      </c>
      <c r="B149" s="298"/>
      <c r="C149" s="304"/>
      <c r="D149" s="295"/>
      <c r="E149" s="292"/>
      <c r="F149" s="295"/>
      <c r="G149" s="292"/>
      <c r="H149" s="295"/>
      <c r="I149" s="292"/>
    </row>
    <row r="150" spans="1:9" x14ac:dyDescent="0.2">
      <c r="A150" s="291" t="s">
        <v>605</v>
      </c>
      <c r="B150" s="298">
        <v>24</v>
      </c>
      <c r="C150" s="304">
        <v>24105.599999999999</v>
      </c>
      <c r="D150" s="295">
        <v>24</v>
      </c>
      <c r="E150" s="292">
        <v>24105.599999999999</v>
      </c>
      <c r="F150" s="359">
        <v>24</v>
      </c>
      <c r="G150" s="292">
        <v>24105.599999999999</v>
      </c>
      <c r="H150" s="295"/>
      <c r="I150" s="292"/>
    </row>
    <row r="151" spans="1:9" x14ac:dyDescent="0.2">
      <c r="A151" s="291" t="s">
        <v>606</v>
      </c>
      <c r="B151" s="298"/>
      <c r="C151" s="304"/>
      <c r="D151" s="295"/>
      <c r="E151" s="292"/>
      <c r="F151" s="295"/>
      <c r="G151" s="292"/>
      <c r="H151" s="295"/>
      <c r="I151" s="292"/>
    </row>
    <row r="152" spans="1:9" x14ac:dyDescent="0.2">
      <c r="A152" s="291" t="s">
        <v>607</v>
      </c>
      <c r="B152" s="298">
        <v>24</v>
      </c>
      <c r="C152" s="304">
        <v>37999.199999999997</v>
      </c>
      <c r="D152" s="295">
        <v>24</v>
      </c>
      <c r="E152" s="292">
        <v>37999.199999999997</v>
      </c>
      <c r="F152" s="359">
        <v>24</v>
      </c>
      <c r="G152" s="292">
        <v>37999.199999999997</v>
      </c>
      <c r="H152" s="295"/>
      <c r="I152" s="292"/>
    </row>
    <row r="153" spans="1:9" x14ac:dyDescent="0.2">
      <c r="A153" s="291" t="s">
        <v>608</v>
      </c>
      <c r="B153" s="298"/>
      <c r="C153" s="304"/>
      <c r="D153" s="295"/>
      <c r="E153" s="292"/>
      <c r="F153" s="295"/>
      <c r="G153" s="292"/>
      <c r="H153" s="295"/>
      <c r="I153" s="292"/>
    </row>
    <row r="154" spans="1:9" x14ac:dyDescent="0.2">
      <c r="A154" s="291" t="s">
        <v>609</v>
      </c>
      <c r="B154" s="298">
        <v>24</v>
      </c>
      <c r="C154" s="304">
        <v>389072.16</v>
      </c>
      <c r="D154" s="295">
        <v>24</v>
      </c>
      <c r="E154" s="292">
        <v>389072.16</v>
      </c>
      <c r="F154" s="358">
        <v>24</v>
      </c>
      <c r="G154" s="292">
        <v>389072.16</v>
      </c>
      <c r="H154" s="295"/>
      <c r="I154" s="292"/>
    </row>
    <row r="155" spans="1:9" x14ac:dyDescent="0.2">
      <c r="A155" s="291" t="s">
        <v>610</v>
      </c>
      <c r="B155" s="298">
        <v>24</v>
      </c>
      <c r="C155" s="304">
        <v>38000</v>
      </c>
      <c r="D155" s="295">
        <v>24</v>
      </c>
      <c r="E155" s="292">
        <v>36000</v>
      </c>
      <c r="F155" s="359">
        <v>24</v>
      </c>
      <c r="G155" s="292">
        <v>36000</v>
      </c>
      <c r="H155" s="295"/>
      <c r="I155" s="292"/>
    </row>
    <row r="156" spans="1:9" ht="12.75" thickBot="1" x14ac:dyDescent="0.25">
      <c r="A156" s="291" t="s">
        <v>611</v>
      </c>
      <c r="B156" s="298"/>
      <c r="C156" s="304"/>
      <c r="D156" s="295"/>
      <c r="E156" s="292"/>
      <c r="F156" s="295"/>
      <c r="G156" s="292"/>
      <c r="H156" s="295"/>
      <c r="I156" s="292"/>
    </row>
    <row r="157" spans="1:9" ht="12.75" thickBot="1" x14ac:dyDescent="0.25">
      <c r="A157" s="263" t="s">
        <v>612</v>
      </c>
      <c r="B157" s="345">
        <v>24</v>
      </c>
      <c r="C157" s="271">
        <f>SUM(C141:C156)</f>
        <v>716290.88</v>
      </c>
      <c r="D157" s="336">
        <v>24</v>
      </c>
      <c r="E157" s="337">
        <f>SUM(E141:E156)</f>
        <v>714290.88</v>
      </c>
      <c r="F157" s="336">
        <v>24</v>
      </c>
      <c r="G157" s="337">
        <f>SUM(G141:G156)</f>
        <v>714290.88</v>
      </c>
      <c r="H157" s="336"/>
      <c r="I157" s="337"/>
    </row>
    <row r="160" spans="1:9" ht="12.75" thickBot="1" x14ac:dyDescent="0.25">
      <c r="A160" s="332" t="s">
        <v>428</v>
      </c>
      <c r="B160" s="341"/>
      <c r="C160" s="370"/>
      <c r="D160" s="341"/>
      <c r="E160" s="370"/>
      <c r="F160" s="341"/>
      <c r="G160" s="370"/>
      <c r="H160" s="341"/>
      <c r="I160" s="370"/>
    </row>
    <row r="161" spans="1:9" ht="12.75" thickBot="1" x14ac:dyDescent="0.25">
      <c r="A161" s="321" t="s">
        <v>362</v>
      </c>
      <c r="B161" s="1481" t="s">
        <v>590</v>
      </c>
      <c r="C161" s="1481"/>
      <c r="D161" s="1478" t="s">
        <v>591</v>
      </c>
      <c r="E161" s="1479"/>
      <c r="F161" s="1478" t="s">
        <v>592</v>
      </c>
      <c r="G161" s="1480"/>
      <c r="H161" s="1478" t="s">
        <v>593</v>
      </c>
      <c r="I161" s="1480"/>
    </row>
    <row r="162" spans="1:9" ht="24" x14ac:dyDescent="0.2">
      <c r="A162" s="322" t="s">
        <v>365</v>
      </c>
      <c r="B162" s="323" t="s">
        <v>594</v>
      </c>
      <c r="C162" s="326" t="s">
        <v>595</v>
      </c>
      <c r="D162" s="322" t="s">
        <v>594</v>
      </c>
      <c r="E162" s="368" t="s">
        <v>595</v>
      </c>
      <c r="F162" s="322" t="s">
        <v>594</v>
      </c>
      <c r="G162" s="368" t="s">
        <v>595</v>
      </c>
      <c r="H162" s="322" t="s">
        <v>594</v>
      </c>
      <c r="I162" s="368" t="s">
        <v>595</v>
      </c>
    </row>
    <row r="163" spans="1:9" x14ac:dyDescent="0.2">
      <c r="A163" s="291" t="s">
        <v>596</v>
      </c>
      <c r="B163" s="298">
        <v>47</v>
      </c>
      <c r="C163" s="390">
        <v>387483</v>
      </c>
      <c r="D163" s="295">
        <v>44</v>
      </c>
      <c r="E163" s="371">
        <v>388447</v>
      </c>
      <c r="F163" s="295">
        <v>44</v>
      </c>
      <c r="G163" s="292">
        <v>388521</v>
      </c>
      <c r="H163" s="295">
        <f>+B163-D163</f>
        <v>3</v>
      </c>
      <c r="I163" s="292">
        <f>+C163-E163</f>
        <v>-964</v>
      </c>
    </row>
    <row r="164" spans="1:9" x14ac:dyDescent="0.2">
      <c r="A164" s="291" t="s">
        <v>597</v>
      </c>
      <c r="B164" s="298"/>
      <c r="C164" s="304"/>
      <c r="D164" s="295"/>
      <c r="E164" s="292"/>
      <c r="F164" s="295"/>
      <c r="G164" s="292"/>
      <c r="H164" s="295"/>
      <c r="I164" s="292"/>
    </row>
    <row r="165" spans="1:9" x14ac:dyDescent="0.2">
      <c r="A165" s="291" t="s">
        <v>598</v>
      </c>
      <c r="B165" s="298"/>
      <c r="C165" s="304"/>
      <c r="D165" s="295"/>
      <c r="E165" s="292"/>
      <c r="F165" s="295"/>
      <c r="G165" s="292"/>
      <c r="H165" s="295"/>
      <c r="I165" s="292"/>
    </row>
    <row r="166" spans="1:9" x14ac:dyDescent="0.2">
      <c r="A166" s="65" t="s">
        <v>599</v>
      </c>
      <c r="B166" s="298"/>
      <c r="C166" s="304"/>
      <c r="D166" s="295"/>
      <c r="E166" s="292"/>
      <c r="F166" s="295"/>
      <c r="G166" s="292"/>
      <c r="H166" s="295"/>
      <c r="I166" s="292"/>
    </row>
    <row r="167" spans="1:9" x14ac:dyDescent="0.2">
      <c r="A167" s="291" t="s">
        <v>600</v>
      </c>
      <c r="B167" s="298"/>
      <c r="C167" s="304"/>
      <c r="D167" s="295"/>
      <c r="E167" s="292"/>
      <c r="F167" s="295"/>
      <c r="G167" s="292"/>
      <c r="H167" s="295"/>
      <c r="I167" s="292"/>
    </row>
    <row r="168" spans="1:9" x14ac:dyDescent="0.2">
      <c r="A168" s="65" t="s">
        <v>601</v>
      </c>
      <c r="B168" s="298">
        <v>47</v>
      </c>
      <c r="C168" s="390">
        <v>47000</v>
      </c>
      <c r="D168" s="295">
        <v>44</v>
      </c>
      <c r="E168" s="371">
        <v>44000</v>
      </c>
      <c r="F168" s="295">
        <v>44</v>
      </c>
      <c r="G168" s="292">
        <v>44000</v>
      </c>
      <c r="H168" s="295">
        <f>+B168-D168</f>
        <v>3</v>
      </c>
      <c r="I168" s="292">
        <f>+C168-E168</f>
        <v>3000</v>
      </c>
    </row>
    <row r="169" spans="1:9" x14ac:dyDescent="0.2">
      <c r="A169" s="291" t="s">
        <v>602</v>
      </c>
      <c r="B169" s="298"/>
      <c r="C169" s="304"/>
      <c r="D169" s="295"/>
      <c r="E169" s="292"/>
      <c r="F169" s="295"/>
      <c r="G169" s="292"/>
      <c r="H169" s="295"/>
      <c r="I169" s="292"/>
    </row>
    <row r="170" spans="1:9" x14ac:dyDescent="0.2">
      <c r="A170" s="291" t="s">
        <v>603</v>
      </c>
      <c r="B170" s="298"/>
      <c r="C170" s="304"/>
      <c r="D170" s="295"/>
      <c r="E170" s="292"/>
      <c r="F170" s="295"/>
      <c r="G170" s="292"/>
      <c r="H170" s="295"/>
      <c r="I170" s="292"/>
    </row>
    <row r="171" spans="1:9" x14ac:dyDescent="0.2">
      <c r="A171" s="291" t="s">
        <v>604</v>
      </c>
      <c r="B171" s="298"/>
      <c r="C171" s="304"/>
      <c r="D171" s="295"/>
      <c r="E171" s="292"/>
      <c r="F171" s="295"/>
      <c r="G171" s="292"/>
      <c r="H171" s="295"/>
      <c r="I171" s="292"/>
    </row>
    <row r="172" spans="1:9" x14ac:dyDescent="0.2">
      <c r="A172" s="291" t="s">
        <v>605</v>
      </c>
      <c r="B172" s="298">
        <v>47</v>
      </c>
      <c r="C172" s="390">
        <v>47207</v>
      </c>
      <c r="D172" s="295">
        <v>44</v>
      </c>
      <c r="E172" s="371">
        <v>47280</v>
      </c>
      <c r="F172" s="295">
        <v>44</v>
      </c>
      <c r="G172" s="371">
        <v>47207</v>
      </c>
      <c r="H172" s="295">
        <f>+B172-D172</f>
        <v>3</v>
      </c>
      <c r="I172" s="372">
        <f>+C172-E172</f>
        <v>-73</v>
      </c>
    </row>
    <row r="173" spans="1:9" x14ac:dyDescent="0.2">
      <c r="A173" s="291" t="s">
        <v>606</v>
      </c>
      <c r="B173" s="298"/>
      <c r="C173" s="304"/>
      <c r="D173" s="295"/>
      <c r="E173" s="292"/>
      <c r="F173" s="295"/>
      <c r="G173" s="292"/>
      <c r="H173" s="295"/>
      <c r="I173" s="292"/>
    </row>
    <row r="174" spans="1:9" x14ac:dyDescent="0.2">
      <c r="A174" s="291" t="s">
        <v>607</v>
      </c>
      <c r="B174" s="298"/>
      <c r="C174" s="304"/>
      <c r="D174" s="295"/>
      <c r="E174" s="292"/>
      <c r="F174" s="295"/>
      <c r="G174" s="292"/>
      <c r="H174" s="295"/>
      <c r="I174" s="292"/>
    </row>
    <row r="175" spans="1:9" x14ac:dyDescent="0.2">
      <c r="A175" s="291" t="s">
        <v>608</v>
      </c>
      <c r="B175" s="298"/>
      <c r="C175" s="304"/>
      <c r="D175" s="295"/>
      <c r="E175" s="292"/>
      <c r="F175" s="295"/>
      <c r="G175" s="292"/>
      <c r="H175" s="295"/>
      <c r="I175" s="292"/>
    </row>
    <row r="176" spans="1:9" x14ac:dyDescent="0.2">
      <c r="A176" s="291" t="s">
        <v>609</v>
      </c>
      <c r="B176" s="298">
        <v>47</v>
      </c>
      <c r="C176" s="390">
        <v>577488</v>
      </c>
      <c r="D176" s="295">
        <v>44</v>
      </c>
      <c r="E176" s="371">
        <v>586288</v>
      </c>
      <c r="F176" s="295">
        <v>44</v>
      </c>
      <c r="G176" s="371">
        <v>586288</v>
      </c>
      <c r="H176" s="295">
        <f>+B176-D176</f>
        <v>3</v>
      </c>
      <c r="I176" s="292">
        <f>+C176-E176</f>
        <v>-8800</v>
      </c>
    </row>
    <row r="177" spans="1:9" x14ac:dyDescent="0.2">
      <c r="A177" s="291" t="s">
        <v>610</v>
      </c>
      <c r="B177" s="298"/>
      <c r="C177" s="304"/>
      <c r="D177" s="295"/>
      <c r="E177" s="292"/>
      <c r="F177" s="295"/>
      <c r="G177" s="292"/>
      <c r="H177" s="295"/>
      <c r="I177" s="292"/>
    </row>
    <row r="178" spans="1:9" ht="12.75" thickBot="1" x14ac:dyDescent="0.25">
      <c r="A178" s="291" t="s">
        <v>619</v>
      </c>
      <c r="B178" s="298">
        <v>47</v>
      </c>
      <c r="C178" s="390">
        <v>511218</v>
      </c>
      <c r="D178" s="295">
        <v>44</v>
      </c>
      <c r="E178" s="371">
        <v>511218</v>
      </c>
      <c r="F178" s="295">
        <v>44</v>
      </c>
      <c r="G178" s="371">
        <v>834780</v>
      </c>
      <c r="H178" s="295">
        <f>+B178-D178</f>
        <v>3</v>
      </c>
      <c r="I178" s="292">
        <f>+C178-E178</f>
        <v>0</v>
      </c>
    </row>
    <row r="179" spans="1:9" ht="12.75" thickBot="1" x14ac:dyDescent="0.25">
      <c r="A179" s="263" t="s">
        <v>612</v>
      </c>
      <c r="B179" s="345">
        <v>47</v>
      </c>
      <c r="C179" s="271">
        <f>+C163+C168+C172+C176+C178</f>
        <v>1570396</v>
      </c>
      <c r="D179" s="336">
        <v>44</v>
      </c>
      <c r="E179" s="337">
        <f>+E163+E168+E172+E176+E178</f>
        <v>1577233</v>
      </c>
      <c r="F179" s="336">
        <v>44</v>
      </c>
      <c r="G179" s="337">
        <f>+G163+G168+G172+G176+G178</f>
        <v>1900796</v>
      </c>
      <c r="H179" s="336">
        <v>3</v>
      </c>
      <c r="I179" s="337">
        <f>+I163+I168+I172+I176</f>
        <v>-6837</v>
      </c>
    </row>
    <row r="181" spans="1:9" ht="12.75" thickBot="1" x14ac:dyDescent="0.25">
      <c r="A181" s="332" t="s">
        <v>620</v>
      </c>
      <c r="B181" s="341"/>
      <c r="C181" s="370"/>
      <c r="D181" s="341"/>
      <c r="E181" s="370"/>
      <c r="F181" s="341"/>
      <c r="G181" s="370"/>
      <c r="H181" s="341"/>
      <c r="I181" s="370"/>
    </row>
    <row r="182" spans="1:9" ht="12.75" thickBot="1" x14ac:dyDescent="0.25">
      <c r="A182" s="321" t="s">
        <v>362</v>
      </c>
      <c r="B182" s="1481" t="s">
        <v>590</v>
      </c>
      <c r="C182" s="1481"/>
      <c r="D182" s="1478" t="s">
        <v>591</v>
      </c>
      <c r="E182" s="1479"/>
      <c r="F182" s="1478" t="s">
        <v>592</v>
      </c>
      <c r="G182" s="1480"/>
      <c r="H182" s="1478" t="s">
        <v>593</v>
      </c>
      <c r="I182" s="1480"/>
    </row>
    <row r="183" spans="1:9" ht="24" x14ac:dyDescent="0.2">
      <c r="A183" s="322" t="s">
        <v>365</v>
      </c>
      <c r="B183" s="323" t="s">
        <v>594</v>
      </c>
      <c r="C183" s="326" t="s">
        <v>595</v>
      </c>
      <c r="D183" s="322" t="s">
        <v>594</v>
      </c>
      <c r="E183" s="368" t="s">
        <v>595</v>
      </c>
      <c r="F183" s="322" t="s">
        <v>594</v>
      </c>
      <c r="G183" s="368" t="s">
        <v>595</v>
      </c>
      <c r="H183" s="322" t="s">
        <v>594</v>
      </c>
      <c r="I183" s="368" t="s">
        <v>595</v>
      </c>
    </row>
    <row r="184" spans="1:9" x14ac:dyDescent="0.2">
      <c r="A184" s="291" t="s">
        <v>596</v>
      </c>
      <c r="B184" s="298">
        <v>27</v>
      </c>
      <c r="C184" s="292">
        <v>259968</v>
      </c>
      <c r="D184" s="298">
        <v>27</v>
      </c>
      <c r="E184" s="292">
        <v>225651</v>
      </c>
      <c r="F184" s="295">
        <v>27</v>
      </c>
      <c r="G184" s="292">
        <v>259114</v>
      </c>
      <c r="H184" s="295"/>
      <c r="I184" s="292">
        <f>C184-E184</f>
        <v>34317</v>
      </c>
    </row>
    <row r="185" spans="1:9" x14ac:dyDescent="0.2">
      <c r="A185" s="291" t="s">
        <v>597</v>
      </c>
      <c r="B185" s="298"/>
      <c r="C185" s="303"/>
      <c r="D185" s="295"/>
      <c r="E185" s="292"/>
      <c r="F185" s="295"/>
      <c r="G185" s="292"/>
      <c r="H185" s="295"/>
      <c r="I185" s="292"/>
    </row>
    <row r="186" spans="1:9" x14ac:dyDescent="0.2">
      <c r="A186" s="291" t="s">
        <v>598</v>
      </c>
      <c r="B186" s="298"/>
      <c r="C186" s="303"/>
      <c r="D186" s="295"/>
      <c r="E186" s="292"/>
      <c r="F186" s="295"/>
      <c r="G186" s="292"/>
      <c r="H186" s="295"/>
      <c r="I186" s="292"/>
    </row>
    <row r="187" spans="1:9" x14ac:dyDescent="0.2">
      <c r="A187" s="65" t="s">
        <v>599</v>
      </c>
      <c r="B187" s="298"/>
      <c r="C187" s="303"/>
      <c r="D187" s="295"/>
      <c r="E187" s="292"/>
      <c r="F187" s="295"/>
      <c r="G187" s="292"/>
      <c r="H187" s="295"/>
      <c r="I187" s="292"/>
    </row>
    <row r="188" spans="1:9" x14ac:dyDescent="0.2">
      <c r="A188" s="291" t="s">
        <v>600</v>
      </c>
      <c r="B188" s="298"/>
      <c r="C188" s="303"/>
      <c r="D188" s="295"/>
      <c r="E188" s="292"/>
      <c r="F188" s="295"/>
      <c r="G188" s="292"/>
      <c r="H188" s="295"/>
      <c r="I188" s="292"/>
    </row>
    <row r="189" spans="1:9" x14ac:dyDescent="0.2">
      <c r="A189" s="65" t="s">
        <v>601</v>
      </c>
      <c r="B189" s="298">
        <v>27</v>
      </c>
      <c r="C189" s="303">
        <v>27000</v>
      </c>
      <c r="D189" s="295">
        <v>27</v>
      </c>
      <c r="E189" s="292">
        <v>27000</v>
      </c>
      <c r="F189" s="295">
        <v>27</v>
      </c>
      <c r="G189" s="292">
        <v>27000</v>
      </c>
      <c r="H189" s="295"/>
      <c r="I189" s="292">
        <f>C189-E189</f>
        <v>0</v>
      </c>
    </row>
    <row r="190" spans="1:9" x14ac:dyDescent="0.2">
      <c r="A190" s="291" t="s">
        <v>602</v>
      </c>
      <c r="B190" s="298"/>
      <c r="C190" s="303"/>
      <c r="D190" s="295"/>
      <c r="E190" s="292"/>
      <c r="F190" s="295"/>
      <c r="G190" s="292"/>
      <c r="H190" s="295"/>
      <c r="I190" s="292"/>
    </row>
    <row r="191" spans="1:9" x14ac:dyDescent="0.2">
      <c r="A191" s="291" t="s">
        <v>603</v>
      </c>
      <c r="B191" s="298">
        <v>27</v>
      </c>
      <c r="C191" s="303">
        <v>3158</v>
      </c>
      <c r="D191" s="295">
        <v>27</v>
      </c>
      <c r="E191" s="292">
        <v>3158</v>
      </c>
      <c r="F191" s="295">
        <v>27</v>
      </c>
      <c r="G191" s="292">
        <v>3158</v>
      </c>
      <c r="H191" s="295"/>
      <c r="I191" s="292">
        <f>C191-E191</f>
        <v>0</v>
      </c>
    </row>
    <row r="192" spans="1:9" x14ac:dyDescent="0.2">
      <c r="A192" s="291" t="s">
        <v>604</v>
      </c>
      <c r="B192" s="298"/>
      <c r="C192" s="303"/>
      <c r="D192" s="295"/>
      <c r="E192" s="292"/>
      <c r="F192" s="295"/>
      <c r="G192" s="292"/>
      <c r="H192" s="295"/>
      <c r="I192" s="292"/>
    </row>
    <row r="193" spans="1:9" x14ac:dyDescent="0.2">
      <c r="A193" s="291" t="s">
        <v>605</v>
      </c>
      <c r="B193" s="298">
        <v>27</v>
      </c>
      <c r="C193" s="303">
        <v>27119</v>
      </c>
      <c r="D193" s="295">
        <v>27</v>
      </c>
      <c r="E193" s="292">
        <v>27119</v>
      </c>
      <c r="F193" s="295">
        <v>27</v>
      </c>
      <c r="G193" s="292">
        <v>27119</v>
      </c>
      <c r="H193" s="295"/>
      <c r="I193" s="292">
        <f>C193-E193</f>
        <v>0</v>
      </c>
    </row>
    <row r="194" spans="1:9" x14ac:dyDescent="0.2">
      <c r="A194" s="291" t="s">
        <v>606</v>
      </c>
      <c r="B194" s="298"/>
      <c r="C194" s="303"/>
      <c r="D194" s="295"/>
      <c r="E194" s="292"/>
      <c r="F194" s="295"/>
      <c r="G194" s="292"/>
      <c r="H194" s="295"/>
      <c r="I194" s="292"/>
    </row>
    <row r="195" spans="1:9" x14ac:dyDescent="0.2">
      <c r="A195" s="291" t="s">
        <v>607</v>
      </c>
      <c r="B195" s="298">
        <v>27</v>
      </c>
      <c r="C195" s="303">
        <v>37050</v>
      </c>
      <c r="D195" s="295">
        <v>27</v>
      </c>
      <c r="E195" s="292">
        <v>37050</v>
      </c>
      <c r="F195" s="295">
        <v>27</v>
      </c>
      <c r="G195" s="292">
        <v>37050</v>
      </c>
      <c r="H195" s="295"/>
      <c r="I195" s="292">
        <f>C195-E195</f>
        <v>0</v>
      </c>
    </row>
    <row r="196" spans="1:9" x14ac:dyDescent="0.2">
      <c r="A196" s="291" t="s">
        <v>608</v>
      </c>
      <c r="B196" s="298"/>
      <c r="C196" s="303"/>
      <c r="D196" s="295"/>
      <c r="E196" s="292"/>
      <c r="F196" s="295"/>
      <c r="G196" s="292"/>
      <c r="H196" s="295"/>
      <c r="I196" s="292"/>
    </row>
    <row r="197" spans="1:9" x14ac:dyDescent="0.2">
      <c r="A197" s="291" t="s">
        <v>609</v>
      </c>
      <c r="B197" s="298">
        <v>27</v>
      </c>
      <c r="C197" s="303">
        <v>350175</v>
      </c>
      <c r="D197" s="295">
        <v>27</v>
      </c>
      <c r="E197" s="292">
        <v>347775</v>
      </c>
      <c r="F197" s="295">
        <v>27</v>
      </c>
      <c r="G197" s="292">
        <v>398601</v>
      </c>
      <c r="H197" s="295"/>
      <c r="I197" s="292">
        <f>C197-E197</f>
        <v>2400</v>
      </c>
    </row>
    <row r="198" spans="1:9" x14ac:dyDescent="0.2">
      <c r="A198" s="291" t="s">
        <v>610</v>
      </c>
      <c r="B198" s="298">
        <v>27</v>
      </c>
      <c r="C198" s="303">
        <v>10800</v>
      </c>
      <c r="D198" s="295">
        <v>27</v>
      </c>
      <c r="E198" s="292">
        <v>10800</v>
      </c>
      <c r="F198" s="295">
        <v>27</v>
      </c>
      <c r="G198" s="292">
        <v>10800</v>
      </c>
      <c r="H198" s="295"/>
      <c r="I198" s="292">
        <f>C198-E198</f>
        <v>0</v>
      </c>
    </row>
    <row r="199" spans="1:9" x14ac:dyDescent="0.2">
      <c r="A199" s="291" t="s">
        <v>621</v>
      </c>
      <c r="B199" s="298"/>
      <c r="C199" s="303"/>
      <c r="D199" s="295">
        <v>27</v>
      </c>
      <c r="E199" s="292">
        <v>32573</v>
      </c>
      <c r="F199" s="295"/>
      <c r="G199" s="292"/>
      <c r="H199" s="295"/>
      <c r="I199" s="292">
        <f>C199-E199</f>
        <v>-32573</v>
      </c>
    </row>
    <row r="200" spans="1:9" ht="12.75" thickBot="1" x14ac:dyDescent="0.25">
      <c r="A200" s="291" t="s">
        <v>622</v>
      </c>
      <c r="B200" s="91"/>
      <c r="C200" s="306"/>
      <c r="D200" s="354"/>
      <c r="E200" s="247"/>
      <c r="F200" s="295">
        <v>19</v>
      </c>
      <c r="G200" s="292">
        <v>251323</v>
      </c>
      <c r="H200" s="354"/>
      <c r="I200" s="292">
        <f>C200-E200</f>
        <v>0</v>
      </c>
    </row>
    <row r="201" spans="1:9" ht="12.75" thickBot="1" x14ac:dyDescent="0.25">
      <c r="A201" s="263" t="s">
        <v>612</v>
      </c>
      <c r="B201" s="345">
        <v>27</v>
      </c>
      <c r="C201" s="271">
        <f>SUM(C184:C199)</f>
        <v>715270</v>
      </c>
      <c r="D201" s="336">
        <v>27</v>
      </c>
      <c r="E201" s="271">
        <f>SUM(E184:E199)</f>
        <v>711126</v>
      </c>
      <c r="F201" s="336">
        <v>27</v>
      </c>
      <c r="G201" s="337">
        <f>SUM(G184:G200)</f>
        <v>1014165</v>
      </c>
      <c r="H201" s="336"/>
      <c r="I201" s="337">
        <f>SUM(I184:I199)</f>
        <v>4144</v>
      </c>
    </row>
    <row r="203" spans="1:9" ht="12.75" thickBot="1" x14ac:dyDescent="0.25">
      <c r="A203" s="332" t="s">
        <v>623</v>
      </c>
      <c r="B203" s="341"/>
      <c r="C203" s="370"/>
      <c r="D203" s="341"/>
      <c r="E203" s="370"/>
      <c r="F203" s="341"/>
      <c r="G203" s="370"/>
      <c r="H203" s="341"/>
      <c r="I203" s="370"/>
    </row>
    <row r="204" spans="1:9" ht="12.75" thickBot="1" x14ac:dyDescent="0.25">
      <c r="A204" s="321" t="s">
        <v>362</v>
      </c>
      <c r="B204" s="1481" t="s">
        <v>590</v>
      </c>
      <c r="C204" s="1481"/>
      <c r="D204" s="1478" t="s">
        <v>591</v>
      </c>
      <c r="E204" s="1479"/>
      <c r="F204" s="1478" t="s">
        <v>592</v>
      </c>
      <c r="G204" s="1480"/>
      <c r="H204" s="1478" t="s">
        <v>593</v>
      </c>
      <c r="I204" s="1480"/>
    </row>
    <row r="205" spans="1:9" ht="24" x14ac:dyDescent="0.2">
      <c r="A205" s="322" t="s">
        <v>365</v>
      </c>
      <c r="B205" s="322" t="s">
        <v>594</v>
      </c>
      <c r="C205" s="397" t="s">
        <v>595</v>
      </c>
      <c r="D205" s="322" t="s">
        <v>594</v>
      </c>
      <c r="E205" s="391" t="s">
        <v>595</v>
      </c>
      <c r="F205" s="322" t="s">
        <v>594</v>
      </c>
      <c r="G205" s="326" t="s">
        <v>595</v>
      </c>
      <c r="H205" s="322" t="s">
        <v>594</v>
      </c>
      <c r="I205" s="326" t="s">
        <v>595</v>
      </c>
    </row>
    <row r="206" spans="1:9" x14ac:dyDescent="0.2">
      <c r="A206" s="291" t="s">
        <v>596</v>
      </c>
      <c r="B206" s="342">
        <v>29</v>
      </c>
      <c r="C206" s="398">
        <f>19184.55*12</f>
        <v>230214.59999999998</v>
      </c>
      <c r="D206" s="342">
        <v>29</v>
      </c>
      <c r="E206" s="392">
        <f>19184.55*12</f>
        <v>230214.59999999998</v>
      </c>
      <c r="F206" s="342">
        <v>29</v>
      </c>
      <c r="G206" s="382">
        <f>19184.55*12</f>
        <v>230214.59999999998</v>
      </c>
      <c r="H206" s="294"/>
      <c r="I206" s="304">
        <f>C206-E206</f>
        <v>0</v>
      </c>
    </row>
    <row r="207" spans="1:9" x14ac:dyDescent="0.2">
      <c r="A207" s="291" t="s">
        <v>597</v>
      </c>
      <c r="B207" s="342"/>
      <c r="C207" s="398"/>
      <c r="D207" s="342"/>
      <c r="E207" s="392"/>
      <c r="F207" s="342"/>
      <c r="G207" s="383"/>
      <c r="H207" s="294"/>
      <c r="I207" s="304"/>
    </row>
    <row r="208" spans="1:9" x14ac:dyDescent="0.2">
      <c r="A208" s="291" t="s">
        <v>598</v>
      </c>
      <c r="B208" s="342"/>
      <c r="C208" s="398"/>
      <c r="D208" s="342"/>
      <c r="E208" s="392"/>
      <c r="F208" s="342"/>
      <c r="G208" s="383"/>
      <c r="H208" s="294"/>
      <c r="I208" s="304"/>
    </row>
    <row r="209" spans="1:9" x14ac:dyDescent="0.2">
      <c r="A209" s="65" t="s">
        <v>599</v>
      </c>
      <c r="B209" s="342"/>
      <c r="C209" s="398"/>
      <c r="D209" s="342"/>
      <c r="E209" s="392"/>
      <c r="F209" s="342"/>
      <c r="G209" s="383"/>
      <c r="H209" s="294"/>
      <c r="I209" s="304"/>
    </row>
    <row r="210" spans="1:9" x14ac:dyDescent="0.2">
      <c r="A210" s="291" t="s">
        <v>600</v>
      </c>
      <c r="B210" s="342"/>
      <c r="C210" s="398"/>
      <c r="D210" s="342"/>
      <c r="E210" s="392"/>
      <c r="F210" s="342"/>
      <c r="G210" s="383"/>
      <c r="H210" s="294"/>
      <c r="I210" s="304"/>
    </row>
    <row r="211" spans="1:9" x14ac:dyDescent="0.2">
      <c r="A211" s="65" t="s">
        <v>601</v>
      </c>
      <c r="B211" s="342">
        <v>29</v>
      </c>
      <c r="C211" s="398">
        <f>1000*B211</f>
        <v>29000</v>
      </c>
      <c r="D211" s="342">
        <v>29</v>
      </c>
      <c r="E211" s="392">
        <f>1000*D211</f>
        <v>29000</v>
      </c>
      <c r="F211" s="342">
        <v>29</v>
      </c>
      <c r="G211" s="382">
        <f>(1000*F211)</f>
        <v>29000</v>
      </c>
      <c r="H211" s="294"/>
      <c r="I211" s="304">
        <f>C211-E211</f>
        <v>0</v>
      </c>
    </row>
    <row r="212" spans="1:9" x14ac:dyDescent="0.2">
      <c r="A212" s="291" t="s">
        <v>602</v>
      </c>
      <c r="B212" s="342"/>
      <c r="C212" s="398"/>
      <c r="D212" s="342"/>
      <c r="E212" s="392"/>
      <c r="F212" s="342"/>
      <c r="G212" s="383"/>
      <c r="H212" s="294"/>
      <c r="I212" s="304"/>
    </row>
    <row r="213" spans="1:9" x14ac:dyDescent="0.2">
      <c r="A213" s="291" t="s">
        <v>603</v>
      </c>
      <c r="B213" s="342">
        <v>19</v>
      </c>
      <c r="C213" s="398">
        <v>5305</v>
      </c>
      <c r="D213" s="342">
        <v>19</v>
      </c>
      <c r="E213" s="392">
        <v>5305</v>
      </c>
      <c r="F213" s="342">
        <v>19</v>
      </c>
      <c r="G213" s="382">
        <f>(105*12)*F213</f>
        <v>23940</v>
      </c>
      <c r="H213" s="294"/>
      <c r="I213" s="304">
        <f>C213-E213</f>
        <v>0</v>
      </c>
    </row>
    <row r="214" spans="1:9" x14ac:dyDescent="0.2">
      <c r="A214" s="291" t="s">
        <v>604</v>
      </c>
      <c r="B214" s="342"/>
      <c r="C214" s="398"/>
      <c r="D214" s="342"/>
      <c r="E214" s="392"/>
      <c r="F214" s="342"/>
      <c r="G214" s="383"/>
      <c r="H214" s="294"/>
      <c r="I214" s="304"/>
    </row>
    <row r="215" spans="1:9" x14ac:dyDescent="0.2">
      <c r="A215" s="291" t="s">
        <v>605</v>
      </c>
      <c r="B215" s="342">
        <v>29</v>
      </c>
      <c r="C215" s="398">
        <v>29128</v>
      </c>
      <c r="D215" s="342">
        <v>29</v>
      </c>
      <c r="E215" s="392">
        <v>29128</v>
      </c>
      <c r="F215" s="342">
        <v>29</v>
      </c>
      <c r="G215" s="383">
        <v>29128</v>
      </c>
      <c r="H215" s="294"/>
      <c r="I215" s="304">
        <f>C215-E215</f>
        <v>0</v>
      </c>
    </row>
    <row r="216" spans="1:9" x14ac:dyDescent="0.2">
      <c r="A216" s="291" t="s">
        <v>606</v>
      </c>
      <c r="B216" s="342"/>
      <c r="C216" s="398"/>
      <c r="D216" s="342"/>
      <c r="E216" s="392"/>
      <c r="F216" s="342"/>
      <c r="G216" s="383"/>
      <c r="H216" s="294"/>
      <c r="I216" s="304"/>
    </row>
    <row r="217" spans="1:9" x14ac:dyDescent="0.2">
      <c r="A217" s="291" t="s">
        <v>607</v>
      </c>
      <c r="B217" s="343">
        <v>29</v>
      </c>
      <c r="C217" s="399">
        <v>15778</v>
      </c>
      <c r="D217" s="343">
        <v>29</v>
      </c>
      <c r="E217" s="393">
        <v>15778</v>
      </c>
      <c r="F217" s="343">
        <v>29</v>
      </c>
      <c r="G217" s="384">
        <v>15778</v>
      </c>
      <c r="H217" s="294"/>
      <c r="I217" s="304">
        <f>C217-E217</f>
        <v>0</v>
      </c>
    </row>
    <row r="218" spans="1:9" x14ac:dyDescent="0.2">
      <c r="A218" s="291" t="s">
        <v>608</v>
      </c>
      <c r="B218" s="342"/>
      <c r="C218" s="398"/>
      <c r="D218" s="342"/>
      <c r="E218" s="392"/>
      <c r="F218" s="342"/>
      <c r="G218" s="383"/>
      <c r="H218" s="294"/>
      <c r="I218" s="304"/>
    </row>
    <row r="219" spans="1:9" x14ac:dyDescent="0.2">
      <c r="A219" s="301" t="s">
        <v>609</v>
      </c>
      <c r="B219" s="342">
        <v>28</v>
      </c>
      <c r="C219" s="398">
        <f>33054*12</f>
        <v>396648</v>
      </c>
      <c r="D219" s="342">
        <v>28</v>
      </c>
      <c r="E219" s="392">
        <f>33054*12</f>
        <v>396648</v>
      </c>
      <c r="F219" s="342">
        <v>29</v>
      </c>
      <c r="G219" s="383">
        <f>38715.09*12</f>
        <v>464581.07999999996</v>
      </c>
      <c r="H219" s="362"/>
      <c r="I219" s="373">
        <f>C219-E219</f>
        <v>0</v>
      </c>
    </row>
    <row r="220" spans="1:9" x14ac:dyDescent="0.2">
      <c r="A220" s="291" t="s">
        <v>610</v>
      </c>
      <c r="B220" s="342">
        <v>29</v>
      </c>
      <c r="C220" s="398">
        <f>400*29</f>
        <v>11600</v>
      </c>
      <c r="D220" s="342">
        <v>29</v>
      </c>
      <c r="E220" s="392">
        <f>400*29</f>
        <v>11600</v>
      </c>
      <c r="F220" s="342">
        <v>29</v>
      </c>
      <c r="G220" s="383">
        <f>400*29</f>
        <v>11600</v>
      </c>
      <c r="H220" s="294"/>
      <c r="I220" s="304">
        <f>C220-E220</f>
        <v>0</v>
      </c>
    </row>
    <row r="221" spans="1:9" x14ac:dyDescent="0.2">
      <c r="A221" s="291" t="s">
        <v>621</v>
      </c>
      <c r="B221" s="294"/>
      <c r="C221" s="400"/>
      <c r="D221" s="294"/>
      <c r="E221" s="394"/>
      <c r="F221" s="294"/>
      <c r="G221" s="304"/>
      <c r="H221" s="294"/>
      <c r="I221" s="304">
        <f>C221-E221</f>
        <v>0</v>
      </c>
    </row>
    <row r="222" spans="1:9" ht="12.75" thickBot="1" x14ac:dyDescent="0.25">
      <c r="A222" s="291" t="s">
        <v>622</v>
      </c>
      <c r="B222" s="182"/>
      <c r="C222" s="401"/>
      <c r="D222" s="182"/>
      <c r="E222" s="306"/>
      <c r="F222" s="360"/>
      <c r="G222" s="304"/>
      <c r="H222" s="182"/>
      <c r="I222" s="304">
        <f>C222-E222</f>
        <v>0</v>
      </c>
    </row>
    <row r="223" spans="1:9" ht="12.75" thickBot="1" x14ac:dyDescent="0.25">
      <c r="A223" s="263" t="s">
        <v>612</v>
      </c>
      <c r="B223" s="263">
        <v>29</v>
      </c>
      <c r="C223" s="289">
        <f>SUM(C206:C221)</f>
        <v>717673.6</v>
      </c>
      <c r="D223" s="263">
        <v>29</v>
      </c>
      <c r="E223" s="271">
        <f>SUM(E206:E221)</f>
        <v>717673.6</v>
      </c>
      <c r="F223" s="336">
        <v>29</v>
      </c>
      <c r="G223" s="337">
        <f>SUM(G206:G222)</f>
        <v>804241.67999999993</v>
      </c>
      <c r="H223" s="263"/>
      <c r="I223" s="271">
        <f>SUM(I206:I221)</f>
        <v>0</v>
      </c>
    </row>
    <row r="225" spans="1:9" ht="12.75" thickBot="1" x14ac:dyDescent="0.25">
      <c r="A225" s="332" t="s">
        <v>435</v>
      </c>
      <c r="B225" s="341"/>
      <c r="C225" s="370"/>
      <c r="D225" s="341"/>
      <c r="E225" s="370"/>
      <c r="F225" s="341"/>
      <c r="G225" s="370"/>
      <c r="H225" s="341"/>
      <c r="I225" s="370"/>
    </row>
    <row r="226" spans="1:9" ht="12.75" thickBot="1" x14ac:dyDescent="0.25">
      <c r="A226" s="321" t="s">
        <v>362</v>
      </c>
      <c r="B226" s="1481" t="s">
        <v>590</v>
      </c>
      <c r="C226" s="1481"/>
      <c r="D226" s="1478" t="s">
        <v>591</v>
      </c>
      <c r="E226" s="1479"/>
      <c r="F226" s="1478" t="s">
        <v>592</v>
      </c>
      <c r="G226" s="1480"/>
      <c r="H226" s="1478" t="s">
        <v>593</v>
      </c>
      <c r="I226" s="1480"/>
    </row>
    <row r="227" spans="1:9" ht="24" x14ac:dyDescent="0.2">
      <c r="A227" s="322" t="s">
        <v>365</v>
      </c>
      <c r="B227" s="323" t="s">
        <v>594</v>
      </c>
      <c r="C227" s="326" t="s">
        <v>595</v>
      </c>
      <c r="D227" s="322" t="s">
        <v>594</v>
      </c>
      <c r="E227" s="368" t="s">
        <v>595</v>
      </c>
      <c r="F227" s="322" t="s">
        <v>594</v>
      </c>
      <c r="G227" s="368" t="s">
        <v>595</v>
      </c>
      <c r="H227" s="322" t="s">
        <v>594</v>
      </c>
      <c r="I227" s="368" t="s">
        <v>595</v>
      </c>
    </row>
    <row r="228" spans="1:9" x14ac:dyDescent="0.2">
      <c r="A228" s="291" t="s">
        <v>596</v>
      </c>
      <c r="B228" s="298">
        <v>66</v>
      </c>
      <c r="C228" s="304">
        <v>69396.92</v>
      </c>
      <c r="D228" s="298">
        <v>66</v>
      </c>
      <c r="E228" s="304">
        <v>69396.92</v>
      </c>
      <c r="F228" s="298">
        <v>66</v>
      </c>
      <c r="G228" s="304">
        <v>69396.92</v>
      </c>
      <c r="H228" s="295"/>
      <c r="I228" s="292"/>
    </row>
    <row r="229" spans="1:9" x14ac:dyDescent="0.2">
      <c r="A229" s="291" t="s">
        <v>597</v>
      </c>
      <c r="B229" s="298"/>
      <c r="C229" s="304"/>
      <c r="D229" s="298"/>
      <c r="E229" s="304"/>
      <c r="F229" s="298"/>
      <c r="G229" s="304"/>
      <c r="H229" s="295"/>
      <c r="I229" s="292"/>
    </row>
    <row r="230" spans="1:9" x14ac:dyDescent="0.2">
      <c r="A230" s="291" t="s">
        <v>598</v>
      </c>
      <c r="B230" s="298"/>
      <c r="C230" s="304"/>
      <c r="D230" s="298"/>
      <c r="E230" s="304"/>
      <c r="F230" s="298"/>
      <c r="G230" s="304"/>
      <c r="H230" s="295"/>
      <c r="I230" s="292"/>
    </row>
    <row r="231" spans="1:9" x14ac:dyDescent="0.2">
      <c r="A231" s="65" t="s">
        <v>599</v>
      </c>
      <c r="B231" s="298"/>
      <c r="C231" s="304"/>
      <c r="D231" s="298"/>
      <c r="E231" s="304"/>
      <c r="F231" s="298"/>
      <c r="G231" s="304"/>
      <c r="H231" s="295"/>
      <c r="I231" s="292"/>
    </row>
    <row r="232" spans="1:9" x14ac:dyDescent="0.2">
      <c r="A232" s="291" t="s">
        <v>600</v>
      </c>
      <c r="B232" s="298"/>
      <c r="C232" s="304"/>
      <c r="D232" s="298"/>
      <c r="E232" s="304"/>
      <c r="F232" s="298"/>
      <c r="G232" s="304"/>
      <c r="H232" s="295"/>
      <c r="I232" s="292"/>
    </row>
    <row r="233" spans="1:9" x14ac:dyDescent="0.2">
      <c r="A233" s="65" t="s">
        <v>601</v>
      </c>
      <c r="B233" s="298">
        <v>66</v>
      </c>
      <c r="C233" s="304">
        <v>19800</v>
      </c>
      <c r="D233" s="298">
        <v>66</v>
      </c>
      <c r="E233" s="304">
        <v>19800</v>
      </c>
      <c r="F233" s="298">
        <v>66</v>
      </c>
      <c r="G233" s="304">
        <v>19800</v>
      </c>
      <c r="H233" s="295"/>
      <c r="I233" s="292"/>
    </row>
    <row r="234" spans="1:9" x14ac:dyDescent="0.2">
      <c r="A234" s="291" t="s">
        <v>602</v>
      </c>
      <c r="B234" s="298"/>
      <c r="C234" s="304"/>
      <c r="D234" s="298"/>
      <c r="E234" s="304"/>
      <c r="F234" s="298"/>
      <c r="G234" s="304"/>
      <c r="H234" s="295"/>
      <c r="I234" s="292"/>
    </row>
    <row r="235" spans="1:9" x14ac:dyDescent="0.2">
      <c r="A235" s="291" t="s">
        <v>603</v>
      </c>
      <c r="B235" s="298">
        <v>66</v>
      </c>
      <c r="C235" s="304">
        <v>947469.6</v>
      </c>
      <c r="D235" s="298">
        <v>66</v>
      </c>
      <c r="E235" s="304">
        <v>947469.6</v>
      </c>
      <c r="F235" s="298">
        <v>66</v>
      </c>
      <c r="G235" s="304">
        <v>947469.6</v>
      </c>
      <c r="H235" s="295"/>
      <c r="I235" s="292"/>
    </row>
    <row r="236" spans="1:9" x14ac:dyDescent="0.2">
      <c r="A236" s="291" t="s">
        <v>604</v>
      </c>
      <c r="B236" s="298"/>
      <c r="C236" s="304"/>
      <c r="D236" s="298"/>
      <c r="E236" s="304"/>
      <c r="F236" s="298"/>
      <c r="G236" s="304"/>
      <c r="H236" s="295"/>
      <c r="I236" s="292"/>
    </row>
    <row r="237" spans="1:9" x14ac:dyDescent="0.2">
      <c r="A237" s="291" t="s">
        <v>605</v>
      </c>
      <c r="B237" s="298">
        <v>66</v>
      </c>
      <c r="C237" s="304">
        <v>66290.399999999994</v>
      </c>
      <c r="D237" s="298">
        <v>66</v>
      </c>
      <c r="E237" s="304">
        <v>66290.399999999994</v>
      </c>
      <c r="F237" s="298">
        <v>66</v>
      </c>
      <c r="G237" s="304">
        <v>66290.399999999994</v>
      </c>
      <c r="H237" s="295"/>
      <c r="I237" s="292"/>
    </row>
    <row r="238" spans="1:9" x14ac:dyDescent="0.2">
      <c r="A238" s="291" t="s">
        <v>606</v>
      </c>
      <c r="B238" s="298"/>
      <c r="C238" s="304"/>
      <c r="D238" s="298"/>
      <c r="E238" s="304"/>
      <c r="F238" s="298"/>
      <c r="G238" s="304"/>
      <c r="H238" s="295"/>
      <c r="I238" s="292"/>
    </row>
    <row r="239" spans="1:9" x14ac:dyDescent="0.2">
      <c r="A239" s="291" t="s">
        <v>607</v>
      </c>
      <c r="B239" s="298"/>
      <c r="C239" s="304"/>
      <c r="D239" s="298"/>
      <c r="E239" s="304"/>
      <c r="F239" s="298"/>
      <c r="G239" s="304"/>
      <c r="H239" s="295"/>
      <c r="I239" s="292"/>
    </row>
    <row r="240" spans="1:9" x14ac:dyDescent="0.2">
      <c r="A240" s="291" t="s">
        <v>608</v>
      </c>
      <c r="B240" s="298"/>
      <c r="C240" s="304"/>
      <c r="D240" s="298"/>
      <c r="E240" s="304"/>
      <c r="F240" s="298"/>
      <c r="G240" s="304"/>
      <c r="H240" s="295"/>
      <c r="I240" s="292"/>
    </row>
    <row r="241" spans="1:9" x14ac:dyDescent="0.2">
      <c r="A241" s="291" t="s">
        <v>609</v>
      </c>
      <c r="B241" s="298">
        <v>66</v>
      </c>
      <c r="C241" s="304">
        <v>845400</v>
      </c>
      <c r="D241" s="298">
        <v>66</v>
      </c>
      <c r="E241" s="304">
        <v>845400</v>
      </c>
      <c r="F241" s="298">
        <v>66</v>
      </c>
      <c r="G241" s="304">
        <v>845400</v>
      </c>
      <c r="H241" s="295"/>
      <c r="I241" s="292"/>
    </row>
    <row r="242" spans="1:9" x14ac:dyDescent="0.2">
      <c r="A242" s="291" t="s">
        <v>610</v>
      </c>
      <c r="B242" s="298"/>
      <c r="C242" s="304"/>
      <c r="D242" s="298"/>
      <c r="E242" s="304"/>
      <c r="F242" s="298"/>
      <c r="G242" s="304"/>
      <c r="H242" s="295"/>
      <c r="I242" s="292"/>
    </row>
    <row r="243" spans="1:9" ht="12.75" thickBot="1" x14ac:dyDescent="0.25">
      <c r="A243" s="291" t="s">
        <v>611</v>
      </c>
      <c r="B243" s="298"/>
      <c r="C243" s="304"/>
      <c r="D243" s="298"/>
      <c r="E243" s="304"/>
      <c r="F243" s="298"/>
      <c r="G243" s="304"/>
      <c r="H243" s="295"/>
      <c r="I243" s="292"/>
    </row>
    <row r="244" spans="1:9" ht="12.75" thickBot="1" x14ac:dyDescent="0.25">
      <c r="A244" s="263" t="s">
        <v>612</v>
      </c>
      <c r="B244" s="345">
        <v>66</v>
      </c>
      <c r="C244" s="271">
        <f>SUM(C228:C243)</f>
        <v>1948356.92</v>
      </c>
      <c r="D244" s="336">
        <v>66</v>
      </c>
      <c r="E244" s="337">
        <f>SUM(E228:E243)</f>
        <v>1948356.92</v>
      </c>
      <c r="F244" s="336">
        <v>66</v>
      </c>
      <c r="G244" s="337">
        <f>SUM(G228:G243)</f>
        <v>1948356.92</v>
      </c>
      <c r="H244" s="336"/>
      <c r="I244" s="337"/>
    </row>
    <row r="246" spans="1:9" ht="12.75" thickBot="1" x14ac:dyDescent="0.25">
      <c r="A246" s="332" t="s">
        <v>624</v>
      </c>
      <c r="B246" s="341"/>
      <c r="C246" s="370"/>
      <c r="D246" s="341"/>
      <c r="E246" s="370"/>
      <c r="F246" s="341"/>
      <c r="G246" s="370"/>
      <c r="H246" s="341"/>
      <c r="I246" s="370"/>
    </row>
    <row r="247" spans="1:9" ht="12.75" thickBot="1" x14ac:dyDescent="0.25">
      <c r="A247" s="321" t="s">
        <v>362</v>
      </c>
      <c r="B247" s="1481" t="s">
        <v>590</v>
      </c>
      <c r="C247" s="1481"/>
      <c r="D247" s="1478" t="s">
        <v>591</v>
      </c>
      <c r="E247" s="1479"/>
      <c r="F247" s="1478" t="s">
        <v>592</v>
      </c>
      <c r="G247" s="1480"/>
      <c r="H247" s="1478" t="s">
        <v>593</v>
      </c>
      <c r="I247" s="1480"/>
    </row>
    <row r="248" spans="1:9" ht="24" x14ac:dyDescent="0.2">
      <c r="A248" s="322" t="s">
        <v>365</v>
      </c>
      <c r="B248" s="323" t="s">
        <v>594</v>
      </c>
      <c r="C248" s="326" t="s">
        <v>595</v>
      </c>
      <c r="D248" s="322" t="s">
        <v>594</v>
      </c>
      <c r="E248" s="368" t="s">
        <v>595</v>
      </c>
      <c r="F248" s="322" t="s">
        <v>594</v>
      </c>
      <c r="G248" s="368" t="s">
        <v>595</v>
      </c>
      <c r="H248" s="322" t="s">
        <v>594</v>
      </c>
      <c r="I248" s="368" t="s">
        <v>595</v>
      </c>
    </row>
    <row r="249" spans="1:9" x14ac:dyDescent="0.2">
      <c r="A249" s="291" t="s">
        <v>596</v>
      </c>
      <c r="B249" s="298">
        <v>346</v>
      </c>
      <c r="C249" s="304">
        <v>11178214</v>
      </c>
      <c r="D249" s="295">
        <v>346</v>
      </c>
      <c r="E249" s="292">
        <v>11050105</v>
      </c>
      <c r="F249" s="295">
        <v>264</v>
      </c>
      <c r="G249" s="292">
        <v>8209014</v>
      </c>
      <c r="H249" s="295"/>
      <c r="I249" s="292">
        <f>+C249-E264</f>
        <v>7263151</v>
      </c>
    </row>
    <row r="250" spans="1:9" x14ac:dyDescent="0.2">
      <c r="A250" s="291" t="s">
        <v>597</v>
      </c>
      <c r="B250" s="298"/>
      <c r="C250" s="304"/>
      <c r="D250" s="295"/>
      <c r="E250" s="292"/>
      <c r="F250" s="295"/>
      <c r="G250" s="292"/>
      <c r="H250" s="295"/>
      <c r="I250" s="292"/>
    </row>
    <row r="251" spans="1:9" x14ac:dyDescent="0.2">
      <c r="A251" s="291" t="s">
        <v>598</v>
      </c>
      <c r="B251" s="298"/>
      <c r="C251" s="304"/>
      <c r="D251" s="295"/>
      <c r="E251" s="292"/>
      <c r="F251" s="295"/>
      <c r="G251" s="292"/>
      <c r="H251" s="295"/>
      <c r="I251" s="292"/>
    </row>
    <row r="252" spans="1:9" x14ac:dyDescent="0.2">
      <c r="A252" s="65" t="s">
        <v>599</v>
      </c>
      <c r="B252" s="298"/>
      <c r="C252" s="304"/>
      <c r="D252" s="295"/>
      <c r="E252" s="292"/>
      <c r="F252" s="295"/>
      <c r="G252" s="292"/>
      <c r="H252" s="295"/>
      <c r="I252" s="292"/>
    </row>
    <row r="253" spans="1:9" x14ac:dyDescent="0.2">
      <c r="A253" s="291" t="s">
        <v>600</v>
      </c>
      <c r="B253" s="298"/>
      <c r="C253" s="304"/>
      <c r="D253" s="295"/>
      <c r="E253" s="292"/>
      <c r="F253" s="295"/>
      <c r="G253" s="292"/>
      <c r="H253" s="295"/>
      <c r="I253" s="292"/>
    </row>
    <row r="254" spans="1:9" x14ac:dyDescent="0.2">
      <c r="A254" s="65" t="s">
        <v>601</v>
      </c>
      <c r="B254" s="298">
        <v>346</v>
      </c>
      <c r="C254" s="304">
        <v>313200</v>
      </c>
      <c r="D254" s="295">
        <v>346</v>
      </c>
      <c r="E254" s="292">
        <v>280600</v>
      </c>
      <c r="F254" s="295">
        <v>280</v>
      </c>
      <c r="G254" s="292">
        <v>252400</v>
      </c>
      <c r="H254" s="295"/>
      <c r="I254" s="292">
        <v>313200</v>
      </c>
    </row>
    <row r="255" spans="1:9" x14ac:dyDescent="0.2">
      <c r="A255" s="291" t="s">
        <v>602</v>
      </c>
      <c r="B255" s="298"/>
      <c r="C255" s="304"/>
      <c r="D255" s="295"/>
      <c r="E255" s="292"/>
      <c r="F255" s="295"/>
      <c r="G255" s="292"/>
      <c r="H255" s="295"/>
      <c r="I255" s="292"/>
    </row>
    <row r="256" spans="1:9" x14ac:dyDescent="0.2">
      <c r="A256" s="291" t="s">
        <v>603</v>
      </c>
      <c r="B256" s="298"/>
      <c r="C256" s="304">
        <v>60024</v>
      </c>
      <c r="D256" s="295"/>
      <c r="E256" s="292">
        <v>60024</v>
      </c>
      <c r="F256" s="295"/>
      <c r="G256" s="292">
        <v>60024</v>
      </c>
      <c r="H256" s="295"/>
      <c r="I256" s="292">
        <v>60224</v>
      </c>
    </row>
    <row r="257" spans="1:9" x14ac:dyDescent="0.2">
      <c r="A257" s="291" t="s">
        <v>604</v>
      </c>
      <c r="B257" s="298"/>
      <c r="C257" s="304"/>
      <c r="D257" s="295"/>
      <c r="E257" s="292"/>
      <c r="F257" s="295"/>
      <c r="G257" s="292"/>
      <c r="H257" s="295"/>
      <c r="I257" s="292"/>
    </row>
    <row r="258" spans="1:9" x14ac:dyDescent="0.2">
      <c r="A258" s="291" t="s">
        <v>605</v>
      </c>
      <c r="B258" s="298"/>
      <c r="C258" s="304"/>
      <c r="D258" s="295"/>
      <c r="E258" s="292"/>
      <c r="F258" s="295"/>
      <c r="G258" s="292"/>
      <c r="H258" s="295"/>
      <c r="I258" s="292"/>
    </row>
    <row r="259" spans="1:9" x14ac:dyDescent="0.2">
      <c r="A259" s="291" t="s">
        <v>606</v>
      </c>
      <c r="B259" s="298"/>
      <c r="C259" s="304"/>
      <c r="D259" s="295"/>
      <c r="E259" s="292"/>
      <c r="F259" s="295"/>
      <c r="G259" s="292"/>
      <c r="H259" s="295"/>
      <c r="I259" s="292"/>
    </row>
    <row r="260" spans="1:9" x14ac:dyDescent="0.2">
      <c r="A260" s="291" t="s">
        <v>607</v>
      </c>
      <c r="B260" s="298"/>
      <c r="C260" s="304">
        <v>21350</v>
      </c>
      <c r="D260" s="295"/>
      <c r="E260" s="292">
        <v>21350</v>
      </c>
      <c r="F260" s="295"/>
      <c r="G260" s="292">
        <v>21350</v>
      </c>
      <c r="H260" s="295"/>
      <c r="I260" s="292">
        <f>G260:G264</f>
        <v>21350</v>
      </c>
    </row>
    <row r="261" spans="1:9" x14ac:dyDescent="0.2">
      <c r="A261" s="291" t="s">
        <v>625</v>
      </c>
      <c r="B261" s="298"/>
      <c r="C261" s="304">
        <v>807118</v>
      </c>
      <c r="D261" s="295"/>
      <c r="E261" s="292">
        <v>1098603</v>
      </c>
      <c r="F261" s="295"/>
      <c r="G261" s="292">
        <v>919362</v>
      </c>
      <c r="H261" s="295"/>
      <c r="I261" s="292">
        <f t="shared" ref="I261:I264" si="2">G261:G265</f>
        <v>919362</v>
      </c>
    </row>
    <row r="262" spans="1:9" x14ac:dyDescent="0.2">
      <c r="A262" s="291" t="s">
        <v>609</v>
      </c>
      <c r="B262" s="298">
        <v>109</v>
      </c>
      <c r="C262" s="304">
        <v>1388994</v>
      </c>
      <c r="D262" s="295">
        <v>109</v>
      </c>
      <c r="E262" s="292">
        <v>1330278</v>
      </c>
      <c r="F262" s="295"/>
      <c r="G262" s="292">
        <v>1330278</v>
      </c>
      <c r="H262" s="295"/>
      <c r="I262" s="292">
        <f t="shared" si="2"/>
        <v>1330278</v>
      </c>
    </row>
    <row r="263" spans="1:9" x14ac:dyDescent="0.2">
      <c r="A263" s="291" t="s">
        <v>610</v>
      </c>
      <c r="B263" s="298"/>
      <c r="C263" s="304">
        <v>36600</v>
      </c>
      <c r="D263" s="295"/>
      <c r="E263" s="292">
        <v>36600</v>
      </c>
      <c r="F263" s="295"/>
      <c r="G263" s="292">
        <v>36600</v>
      </c>
      <c r="H263" s="295"/>
      <c r="I263" s="292">
        <f t="shared" si="2"/>
        <v>36600</v>
      </c>
    </row>
    <row r="264" spans="1:9" x14ac:dyDescent="0.2">
      <c r="A264" s="291" t="s">
        <v>626</v>
      </c>
      <c r="B264" s="298"/>
      <c r="C264" s="304">
        <v>3915063</v>
      </c>
      <c r="D264" s="295"/>
      <c r="E264" s="292">
        <v>3915063</v>
      </c>
      <c r="F264" s="295"/>
      <c r="G264" s="292">
        <v>3915063</v>
      </c>
      <c r="H264" s="295"/>
      <c r="I264" s="292">
        <f t="shared" si="2"/>
        <v>3915063</v>
      </c>
    </row>
    <row r="265" spans="1:9" ht="12.75" thickBot="1" x14ac:dyDescent="0.25">
      <c r="A265" s="291" t="s">
        <v>627</v>
      </c>
      <c r="B265" s="298"/>
      <c r="C265" s="304">
        <v>403378</v>
      </c>
      <c r="D265" s="295"/>
      <c r="E265" s="292">
        <v>496539</v>
      </c>
      <c r="F265" s="295"/>
      <c r="G265" s="292">
        <v>0</v>
      </c>
      <c r="H265" s="295"/>
      <c r="I265" s="292">
        <v>403708</v>
      </c>
    </row>
    <row r="266" spans="1:9" ht="12.75" thickBot="1" x14ac:dyDescent="0.25">
      <c r="A266" s="263" t="s">
        <v>612</v>
      </c>
      <c r="B266" s="345">
        <v>346</v>
      </c>
      <c r="C266" s="271">
        <f>SUM(C249:C265)</f>
        <v>18123941</v>
      </c>
      <c r="D266" s="336">
        <v>346</v>
      </c>
      <c r="E266" s="271">
        <f>SUM(E249:E265)</f>
        <v>18289162</v>
      </c>
      <c r="F266" s="336">
        <v>280</v>
      </c>
      <c r="G266" s="271">
        <f>SUM(G249:G265)</f>
        <v>14744091</v>
      </c>
      <c r="H266" s="336"/>
      <c r="I266" s="271">
        <f>SUM(I249:I265)</f>
        <v>14262936</v>
      </c>
    </row>
    <row r="269" spans="1:9" ht="12.75" thickBot="1" x14ac:dyDescent="0.25">
      <c r="A269" s="332" t="s">
        <v>628</v>
      </c>
      <c r="B269" s="341"/>
      <c r="C269" s="370"/>
      <c r="D269" s="341"/>
      <c r="E269" s="370"/>
      <c r="F269" s="341"/>
      <c r="G269" s="370"/>
      <c r="H269" s="341"/>
      <c r="I269" s="370"/>
    </row>
    <row r="270" spans="1:9" ht="12.75" thickBot="1" x14ac:dyDescent="0.25">
      <c r="A270" s="321" t="s">
        <v>362</v>
      </c>
      <c r="B270" s="1481" t="s">
        <v>590</v>
      </c>
      <c r="C270" s="1481"/>
      <c r="D270" s="1478" t="s">
        <v>591</v>
      </c>
      <c r="E270" s="1479"/>
      <c r="F270" s="1478" t="s">
        <v>592</v>
      </c>
      <c r="G270" s="1480"/>
      <c r="H270" s="1478" t="s">
        <v>593</v>
      </c>
      <c r="I270" s="1480"/>
    </row>
    <row r="271" spans="1:9" ht="24" x14ac:dyDescent="0.2">
      <c r="A271" s="322" t="s">
        <v>365</v>
      </c>
      <c r="B271" s="323" t="s">
        <v>594</v>
      </c>
      <c r="C271" s="326" t="s">
        <v>595</v>
      </c>
      <c r="D271" s="322" t="s">
        <v>594</v>
      </c>
      <c r="E271" s="368" t="s">
        <v>595</v>
      </c>
      <c r="F271" s="322" t="s">
        <v>594</v>
      </c>
      <c r="G271" s="368" t="s">
        <v>595</v>
      </c>
      <c r="H271" s="322" t="s">
        <v>594</v>
      </c>
      <c r="I271" s="368" t="s">
        <v>595</v>
      </c>
    </row>
    <row r="272" spans="1:9" x14ac:dyDescent="0.2">
      <c r="A272" s="291" t="s">
        <v>596</v>
      </c>
      <c r="B272" s="295">
        <v>638</v>
      </c>
      <c r="C272" s="303">
        <v>25180560</v>
      </c>
      <c r="D272" s="295">
        <v>583</v>
      </c>
      <c r="E272" s="304">
        <v>27851258.440000001</v>
      </c>
      <c r="F272" s="295">
        <f>583+15+2+10</f>
        <v>610</v>
      </c>
      <c r="G272" s="247">
        <f>+E272*15%+E272</f>
        <v>32028947.206</v>
      </c>
      <c r="H272" s="295"/>
      <c r="I272" s="292"/>
    </row>
    <row r="273" spans="1:9" x14ac:dyDescent="0.2">
      <c r="A273" s="291" t="s">
        <v>597</v>
      </c>
      <c r="B273" s="295"/>
      <c r="C273" s="304"/>
      <c r="D273" s="295"/>
      <c r="E273" s="304"/>
      <c r="F273" s="295"/>
      <c r="G273" s="304"/>
      <c r="H273" s="295"/>
      <c r="I273" s="292"/>
    </row>
    <row r="274" spans="1:9" x14ac:dyDescent="0.2">
      <c r="A274" s="291" t="s">
        <v>598</v>
      </c>
      <c r="B274" s="295"/>
      <c r="C274" s="304"/>
      <c r="D274" s="295"/>
      <c r="E274" s="304"/>
      <c r="F274" s="295"/>
      <c r="G274" s="304"/>
      <c r="H274" s="295"/>
      <c r="I274" s="292"/>
    </row>
    <row r="275" spans="1:9" x14ac:dyDescent="0.2">
      <c r="A275" s="65" t="s">
        <v>599</v>
      </c>
      <c r="B275" s="295"/>
      <c r="C275" s="304"/>
      <c r="D275" s="295"/>
      <c r="E275" s="304"/>
      <c r="F275" s="295"/>
      <c r="G275" s="304"/>
      <c r="H275" s="295"/>
      <c r="I275" s="292"/>
    </row>
    <row r="276" spans="1:9" x14ac:dyDescent="0.2">
      <c r="A276" s="291" t="s">
        <v>600</v>
      </c>
      <c r="B276" s="295"/>
      <c r="C276" s="304"/>
      <c r="D276" s="295"/>
      <c r="E276" s="304"/>
      <c r="F276" s="295"/>
      <c r="G276" s="304"/>
      <c r="H276" s="295"/>
      <c r="I276" s="292"/>
    </row>
    <row r="277" spans="1:9" x14ac:dyDescent="0.2">
      <c r="A277" s="65" t="s">
        <v>601</v>
      </c>
      <c r="B277" s="298">
        <f>116+522</f>
        <v>638</v>
      </c>
      <c r="C277" s="304">
        <f>1000*B277</f>
        <v>638000</v>
      </c>
      <c r="D277" s="295">
        <v>583</v>
      </c>
      <c r="E277" s="304">
        <f>1000*D277</f>
        <v>583000</v>
      </c>
      <c r="F277" s="295">
        <v>610</v>
      </c>
      <c r="G277" s="304">
        <f>1000*F277</f>
        <v>610000</v>
      </c>
      <c r="H277" s="295"/>
      <c r="I277" s="292"/>
    </row>
    <row r="278" spans="1:9" x14ac:dyDescent="0.2">
      <c r="A278" s="291" t="s">
        <v>602</v>
      </c>
      <c r="B278" s="295"/>
      <c r="C278" s="304"/>
      <c r="D278" s="295"/>
      <c r="E278" s="304"/>
      <c r="F278" s="295"/>
      <c r="G278" s="304"/>
      <c r="H278" s="295"/>
      <c r="I278" s="292"/>
    </row>
    <row r="279" spans="1:9" x14ac:dyDescent="0.2">
      <c r="A279" s="291" t="s">
        <v>603</v>
      </c>
      <c r="B279" s="295"/>
      <c r="C279" s="304"/>
      <c r="D279" s="295"/>
      <c r="E279" s="304"/>
      <c r="F279" s="295"/>
      <c r="G279" s="304"/>
      <c r="H279" s="295"/>
      <c r="I279" s="292"/>
    </row>
    <row r="280" spans="1:9" x14ac:dyDescent="0.2">
      <c r="A280" s="291" t="s">
        <v>604</v>
      </c>
      <c r="B280" s="295"/>
      <c r="C280" s="304"/>
      <c r="D280" s="295"/>
      <c r="E280" s="304"/>
      <c r="F280" s="295"/>
      <c r="G280" s="304"/>
      <c r="H280" s="295"/>
      <c r="I280" s="292"/>
    </row>
    <row r="281" spans="1:9" x14ac:dyDescent="0.2">
      <c r="A281" s="291" t="s">
        <v>605</v>
      </c>
      <c r="B281" s="295">
        <v>638</v>
      </c>
      <c r="C281" s="304">
        <f>5674.39*12</f>
        <v>68092.680000000008</v>
      </c>
      <c r="D281" s="295">
        <v>583</v>
      </c>
      <c r="E281" s="304">
        <v>1135674.8400000001</v>
      </c>
      <c r="F281" s="295">
        <f>583+15+2+10</f>
        <v>610</v>
      </c>
      <c r="G281" s="292">
        <f>+E281*15%+E281</f>
        <v>1306026.0660000001</v>
      </c>
      <c r="H281" s="295"/>
      <c r="I281" s="292"/>
    </row>
    <row r="282" spans="1:9" x14ac:dyDescent="0.2">
      <c r="A282" s="291" t="s">
        <v>606</v>
      </c>
      <c r="B282" s="295">
        <v>116</v>
      </c>
      <c r="C282" s="304">
        <v>1667040</v>
      </c>
      <c r="D282" s="295">
        <v>122</v>
      </c>
      <c r="E282" s="304">
        <v>1826329</v>
      </c>
      <c r="F282" s="295">
        <v>122</v>
      </c>
      <c r="G282" s="247">
        <f>+E282*15%+E282</f>
        <v>2100278.35</v>
      </c>
      <c r="H282" s="295"/>
      <c r="I282" s="292"/>
    </row>
    <row r="283" spans="1:9" x14ac:dyDescent="0.2">
      <c r="A283" s="291" t="s">
        <v>607</v>
      </c>
      <c r="B283" s="295"/>
      <c r="C283" s="304"/>
      <c r="D283" s="295"/>
      <c r="E283" s="304"/>
      <c r="F283" s="295"/>
      <c r="G283" s="304"/>
      <c r="H283" s="295"/>
      <c r="I283" s="292"/>
    </row>
    <row r="284" spans="1:9" x14ac:dyDescent="0.2">
      <c r="A284" s="291" t="s">
        <v>608</v>
      </c>
      <c r="B284" s="295"/>
      <c r="C284" s="304"/>
      <c r="D284" s="295"/>
      <c r="E284" s="304"/>
      <c r="F284" s="295"/>
      <c r="G284" s="304"/>
      <c r="H284" s="295"/>
      <c r="I284" s="292"/>
    </row>
    <row r="285" spans="1:9" x14ac:dyDescent="0.2">
      <c r="A285" s="291" t="s">
        <v>609</v>
      </c>
      <c r="B285" s="295"/>
      <c r="C285" s="304"/>
      <c r="D285" s="295"/>
      <c r="E285" s="304"/>
      <c r="F285" s="295"/>
      <c r="G285" s="304"/>
      <c r="H285" s="295"/>
      <c r="I285" s="292"/>
    </row>
    <row r="286" spans="1:9" x14ac:dyDescent="0.2">
      <c r="A286" s="291" t="s">
        <v>610</v>
      </c>
      <c r="B286" s="295"/>
      <c r="C286" s="304"/>
      <c r="D286" s="295"/>
      <c r="E286" s="304"/>
      <c r="F286" s="295"/>
      <c r="G286" s="304"/>
      <c r="H286" s="295"/>
      <c r="I286" s="292"/>
    </row>
    <row r="287" spans="1:9" ht="12.75" thickBot="1" x14ac:dyDescent="0.25">
      <c r="A287" s="291" t="s">
        <v>611</v>
      </c>
      <c r="B287" s="295">
        <v>453</v>
      </c>
      <c r="C287" s="304">
        <f>73439.3*12</f>
        <v>881271.60000000009</v>
      </c>
      <c r="D287" s="295">
        <v>461</v>
      </c>
      <c r="E287" s="304">
        <v>921359.6</v>
      </c>
      <c r="F287" s="295">
        <f>461+27</f>
        <v>488</v>
      </c>
      <c r="G287" s="247">
        <f>+E287*15%+E287</f>
        <v>1059563.54</v>
      </c>
      <c r="H287" s="295"/>
      <c r="I287" s="292"/>
    </row>
    <row r="288" spans="1:9" ht="12.75" thickBot="1" x14ac:dyDescent="0.25">
      <c r="A288" s="263" t="s">
        <v>612</v>
      </c>
      <c r="B288" s="345">
        <v>638</v>
      </c>
      <c r="C288" s="271">
        <f>SUM(C272:C287)</f>
        <v>28434964.280000001</v>
      </c>
      <c r="D288" s="336">
        <v>583</v>
      </c>
      <c r="E288" s="337"/>
      <c r="F288" s="336"/>
      <c r="G288" s="337">
        <f>SUM(G272:G287)</f>
        <v>37104815.162</v>
      </c>
      <c r="H288" s="336"/>
      <c r="I288" s="337"/>
    </row>
    <row r="290" spans="1:9" ht="12.75" thickBot="1" x14ac:dyDescent="0.25">
      <c r="A290" s="332" t="s">
        <v>495</v>
      </c>
      <c r="B290" s="341"/>
      <c r="C290" s="370"/>
      <c r="D290" s="341"/>
      <c r="E290" s="370"/>
      <c r="F290" s="341"/>
      <c r="G290" s="370"/>
      <c r="H290" s="341"/>
      <c r="I290" s="370"/>
    </row>
    <row r="291" spans="1:9" ht="12.75" thickBot="1" x14ac:dyDescent="0.25">
      <c r="A291" s="321" t="s">
        <v>362</v>
      </c>
      <c r="B291" s="1482" t="s">
        <v>590</v>
      </c>
      <c r="C291" s="1483"/>
      <c r="D291" s="1479" t="s">
        <v>591</v>
      </c>
      <c r="E291" s="1479"/>
      <c r="F291" s="1478" t="s">
        <v>592</v>
      </c>
      <c r="G291" s="1480"/>
      <c r="H291" s="1478" t="s">
        <v>593</v>
      </c>
      <c r="I291" s="1480"/>
    </row>
    <row r="292" spans="1:9" ht="24" x14ac:dyDescent="0.2">
      <c r="A292" s="322" t="s">
        <v>365</v>
      </c>
      <c r="B292" s="322" t="s">
        <v>594</v>
      </c>
      <c r="C292" s="326" t="s">
        <v>595</v>
      </c>
      <c r="D292" s="323" t="s">
        <v>594</v>
      </c>
      <c r="E292" s="368" t="s">
        <v>595</v>
      </c>
      <c r="F292" s="322" t="s">
        <v>594</v>
      </c>
      <c r="G292" s="368" t="s">
        <v>595</v>
      </c>
      <c r="H292" s="322" t="s">
        <v>594</v>
      </c>
      <c r="I292" s="326" t="s">
        <v>595</v>
      </c>
    </row>
    <row r="293" spans="1:9" x14ac:dyDescent="0.2">
      <c r="A293" s="291" t="s">
        <v>596</v>
      </c>
      <c r="B293" s="295">
        <v>632</v>
      </c>
      <c r="C293" s="304">
        <f>479784+192540+14075444+6486652+4531326</f>
        <v>25765746</v>
      </c>
      <c r="D293" s="298">
        <v>632</v>
      </c>
      <c r="E293" s="292">
        <f>481458+192541+15851268+7223784+4415774</f>
        <v>28164825</v>
      </c>
      <c r="F293" s="298">
        <v>634</v>
      </c>
      <c r="G293" s="292">
        <f>481458+192541+15851268+7223784+4415774+160934</f>
        <v>28325759</v>
      </c>
      <c r="H293" s="294">
        <f>+D293-B293</f>
        <v>0</v>
      </c>
      <c r="I293" s="304">
        <f>+C293-E293</f>
        <v>-2399079</v>
      </c>
    </row>
    <row r="294" spans="1:9" x14ac:dyDescent="0.2">
      <c r="A294" s="291" t="s">
        <v>597</v>
      </c>
      <c r="B294" s="295"/>
      <c r="C294" s="304"/>
      <c r="D294" s="298"/>
      <c r="E294" s="292"/>
      <c r="F294" s="298"/>
      <c r="G294" s="292"/>
      <c r="H294" s="294"/>
      <c r="I294" s="304"/>
    </row>
    <row r="295" spans="1:9" x14ac:dyDescent="0.2">
      <c r="A295" s="291" t="s">
        <v>598</v>
      </c>
      <c r="B295" s="295"/>
      <c r="C295" s="304"/>
      <c r="D295" s="298"/>
      <c r="E295" s="292"/>
      <c r="F295" s="298"/>
      <c r="G295" s="292"/>
      <c r="H295" s="294"/>
      <c r="I295" s="304"/>
    </row>
    <row r="296" spans="1:9" x14ac:dyDescent="0.2">
      <c r="A296" s="65" t="s">
        <v>599</v>
      </c>
      <c r="B296" s="295"/>
      <c r="C296" s="304"/>
      <c r="D296" s="298"/>
      <c r="E296" s="292"/>
      <c r="F296" s="298"/>
      <c r="G296" s="292"/>
      <c r="H296" s="294"/>
      <c r="I296" s="304"/>
    </row>
    <row r="297" spans="1:9" x14ac:dyDescent="0.2">
      <c r="A297" s="291" t="s">
        <v>600</v>
      </c>
      <c r="B297" s="295"/>
      <c r="C297" s="304"/>
      <c r="D297" s="298"/>
      <c r="E297" s="292"/>
      <c r="F297" s="298"/>
      <c r="G297" s="292"/>
      <c r="H297" s="294"/>
      <c r="I297" s="304"/>
    </row>
    <row r="298" spans="1:9" x14ac:dyDescent="0.2">
      <c r="A298" s="65" t="s">
        <v>601</v>
      </c>
      <c r="B298" s="295">
        <v>632</v>
      </c>
      <c r="C298" s="304">
        <f>379200+278200</f>
        <v>657400</v>
      </c>
      <c r="D298" s="298">
        <v>632</v>
      </c>
      <c r="E298" s="292">
        <f>379200+252800</f>
        <v>632000</v>
      </c>
      <c r="F298" s="298">
        <v>634</v>
      </c>
      <c r="G298" s="292">
        <f>+F298*1000</f>
        <v>634000</v>
      </c>
      <c r="H298" s="294">
        <f>+D298-B298</f>
        <v>0</v>
      </c>
      <c r="I298" s="304">
        <f>+C298-E298</f>
        <v>25400</v>
      </c>
    </row>
    <row r="299" spans="1:9" x14ac:dyDescent="0.2">
      <c r="A299" s="291" t="s">
        <v>602</v>
      </c>
      <c r="B299" s="295"/>
      <c r="C299" s="304"/>
      <c r="D299" s="298"/>
      <c r="E299" s="292"/>
      <c r="F299" s="298"/>
      <c r="G299" s="292"/>
      <c r="H299" s="294"/>
      <c r="I299" s="304"/>
    </row>
    <row r="300" spans="1:9" x14ac:dyDescent="0.2">
      <c r="A300" s="291" t="s">
        <v>603</v>
      </c>
      <c r="B300" s="295"/>
      <c r="C300" s="304"/>
      <c r="D300" s="298"/>
      <c r="E300" s="292"/>
      <c r="F300" s="298"/>
      <c r="G300" s="292"/>
      <c r="H300" s="294"/>
      <c r="I300" s="304"/>
    </row>
    <row r="301" spans="1:9" x14ac:dyDescent="0.2">
      <c r="A301" s="291" t="s">
        <v>604</v>
      </c>
      <c r="B301" s="295"/>
      <c r="C301" s="304"/>
      <c r="D301" s="298"/>
      <c r="E301" s="292"/>
      <c r="F301" s="298"/>
      <c r="G301" s="292"/>
      <c r="H301" s="294"/>
      <c r="I301" s="304"/>
    </row>
    <row r="302" spans="1:9" x14ac:dyDescent="0.2">
      <c r="A302" s="291" t="s">
        <v>605</v>
      </c>
      <c r="B302" s="295"/>
      <c r="C302" s="304"/>
      <c r="D302" s="298"/>
      <c r="E302" s="292"/>
      <c r="F302" s="298"/>
      <c r="G302" s="292"/>
      <c r="H302" s="294"/>
      <c r="I302" s="304"/>
    </row>
    <row r="303" spans="1:9" x14ac:dyDescent="0.2">
      <c r="A303" s="291" t="s">
        <v>606</v>
      </c>
      <c r="B303" s="295"/>
      <c r="C303" s="304"/>
      <c r="D303" s="298"/>
      <c r="E303" s="292"/>
      <c r="F303" s="298"/>
      <c r="G303" s="292"/>
      <c r="H303" s="294"/>
      <c r="I303" s="304"/>
    </row>
    <row r="304" spans="1:9" x14ac:dyDescent="0.2">
      <c r="A304" s="291" t="s">
        <v>607</v>
      </c>
      <c r="B304" s="295">
        <v>54</v>
      </c>
      <c r="C304" s="304">
        <v>32400</v>
      </c>
      <c r="D304" s="298">
        <v>54</v>
      </c>
      <c r="E304" s="292">
        <v>37800</v>
      </c>
      <c r="F304" s="298">
        <v>54</v>
      </c>
      <c r="G304" s="292">
        <v>37800</v>
      </c>
      <c r="H304" s="294">
        <f t="shared" ref="H304:H308" si="3">+D304-B304</f>
        <v>0</v>
      </c>
      <c r="I304" s="304">
        <f t="shared" ref="I304:I308" si="4">+C304-E304</f>
        <v>-5400</v>
      </c>
    </row>
    <row r="305" spans="1:9" x14ac:dyDescent="0.2">
      <c r="A305" s="291" t="s">
        <v>629</v>
      </c>
      <c r="B305" s="295">
        <v>632</v>
      </c>
      <c r="C305" s="304">
        <f>1225134+82955</f>
        <v>1308089</v>
      </c>
      <c r="D305" s="298">
        <v>632</v>
      </c>
      <c r="E305" s="292">
        <f>1219688+82304</f>
        <v>1301992</v>
      </c>
      <c r="F305" s="298">
        <v>634</v>
      </c>
      <c r="G305" s="292">
        <f>1219688+82304+7131</f>
        <v>1309123</v>
      </c>
      <c r="H305" s="294">
        <f t="shared" si="3"/>
        <v>0</v>
      </c>
      <c r="I305" s="304">
        <f t="shared" si="4"/>
        <v>6097</v>
      </c>
    </row>
    <row r="306" spans="1:9" x14ac:dyDescent="0.2">
      <c r="A306" s="291" t="s">
        <v>609</v>
      </c>
      <c r="B306" s="295">
        <v>54</v>
      </c>
      <c r="C306" s="304">
        <v>976200</v>
      </c>
      <c r="D306" s="298">
        <v>54</v>
      </c>
      <c r="E306" s="292">
        <v>1343244</v>
      </c>
      <c r="F306" s="298">
        <v>54</v>
      </c>
      <c r="G306" s="292">
        <v>1343244</v>
      </c>
      <c r="H306" s="294">
        <f t="shared" si="3"/>
        <v>0</v>
      </c>
      <c r="I306" s="304">
        <f t="shared" si="4"/>
        <v>-367044</v>
      </c>
    </row>
    <row r="307" spans="1:9" x14ac:dyDescent="0.2">
      <c r="A307" s="291" t="s">
        <v>610</v>
      </c>
      <c r="B307" s="295">
        <v>54</v>
      </c>
      <c r="C307" s="304">
        <v>32400</v>
      </c>
      <c r="D307" s="298">
        <v>54</v>
      </c>
      <c r="E307" s="292">
        <v>37800</v>
      </c>
      <c r="F307" s="298">
        <v>54</v>
      </c>
      <c r="G307" s="292">
        <v>37800</v>
      </c>
      <c r="H307" s="294">
        <f t="shared" si="3"/>
        <v>0</v>
      </c>
      <c r="I307" s="304">
        <f t="shared" si="4"/>
        <v>-5400</v>
      </c>
    </row>
    <row r="308" spans="1:9" ht="12.75" thickBot="1" x14ac:dyDescent="0.25">
      <c r="A308" s="291" t="s">
        <v>611</v>
      </c>
      <c r="B308" s="305">
        <v>578</v>
      </c>
      <c r="C308" s="402">
        <f>1914600+699048+270060+237352</f>
        <v>3121060</v>
      </c>
      <c r="D308" s="298">
        <v>578</v>
      </c>
      <c r="E308" s="292">
        <f>1920696+692952+13862+115706</f>
        <v>2743216</v>
      </c>
      <c r="F308" s="298">
        <f>578+4</f>
        <v>582</v>
      </c>
      <c r="G308" s="292">
        <f>1920696+692952+13862+115706+5688</f>
        <v>2748904</v>
      </c>
      <c r="H308" s="294">
        <f t="shared" si="3"/>
        <v>0</v>
      </c>
      <c r="I308" s="304">
        <f t="shared" si="4"/>
        <v>377844</v>
      </c>
    </row>
    <row r="309" spans="1:9" ht="12.75" thickBot="1" x14ac:dyDescent="0.25">
      <c r="A309" s="12" t="s">
        <v>612</v>
      </c>
      <c r="B309" s="20">
        <v>632</v>
      </c>
      <c r="C309" s="178">
        <f>SUM(C293:C308)</f>
        <v>31893295</v>
      </c>
      <c r="D309" s="20">
        <v>1210</v>
      </c>
      <c r="E309" s="178">
        <f>SUM(E293:E308)</f>
        <v>34260877</v>
      </c>
      <c r="F309" s="20">
        <v>1210</v>
      </c>
      <c r="G309" s="178">
        <f>SUM(G293:G308)</f>
        <v>34436630</v>
      </c>
      <c r="H309" s="20">
        <f>+H293</f>
        <v>0</v>
      </c>
      <c r="I309" s="178">
        <f>SUM(I293:I308)</f>
        <v>-2367582</v>
      </c>
    </row>
    <row r="310" spans="1:9" x14ac:dyDescent="0.2">
      <c r="A310" s="244"/>
      <c r="B310" s="244"/>
      <c r="C310" s="246"/>
      <c r="D310" s="244"/>
      <c r="E310" s="246"/>
      <c r="F310" s="244"/>
      <c r="G310" s="246"/>
      <c r="H310" s="244"/>
      <c r="I310" s="246"/>
    </row>
    <row r="311" spans="1:9" ht="12.75" thickBot="1" x14ac:dyDescent="0.25">
      <c r="A311" s="259" t="s">
        <v>630</v>
      </c>
      <c r="B311" s="258"/>
      <c r="C311" s="325"/>
      <c r="D311" s="258"/>
      <c r="E311" s="325"/>
      <c r="F311" s="258"/>
      <c r="G311" s="325"/>
      <c r="H311" s="258"/>
      <c r="I311" s="325"/>
    </row>
    <row r="312" spans="1:9" ht="12.75" thickBot="1" x14ac:dyDescent="0.25">
      <c r="A312" s="321" t="s">
        <v>362</v>
      </c>
      <c r="B312" s="1481" t="s">
        <v>590</v>
      </c>
      <c r="C312" s="1481"/>
      <c r="D312" s="1478" t="s">
        <v>591</v>
      </c>
      <c r="E312" s="1479"/>
      <c r="F312" s="1478" t="s">
        <v>592</v>
      </c>
      <c r="G312" s="1480"/>
      <c r="H312" s="1478" t="s">
        <v>593</v>
      </c>
      <c r="I312" s="1480"/>
    </row>
    <row r="313" spans="1:9" ht="24" x14ac:dyDescent="0.2">
      <c r="A313" s="322" t="s">
        <v>365</v>
      </c>
      <c r="B313" s="323" t="s">
        <v>594</v>
      </c>
      <c r="C313" s="326" t="s">
        <v>595</v>
      </c>
      <c r="D313" s="322" t="s">
        <v>594</v>
      </c>
      <c r="E313" s="368" t="s">
        <v>595</v>
      </c>
      <c r="F313" s="322" t="s">
        <v>594</v>
      </c>
      <c r="G313" s="368" t="s">
        <v>595</v>
      </c>
      <c r="H313" s="322" t="s">
        <v>594</v>
      </c>
      <c r="I313" s="368" t="s">
        <v>595</v>
      </c>
    </row>
    <row r="314" spans="1:9" x14ac:dyDescent="0.2">
      <c r="A314" s="291" t="s">
        <v>596</v>
      </c>
      <c r="B314" s="298">
        <v>410</v>
      </c>
      <c r="C314" s="304">
        <v>13274155</v>
      </c>
      <c r="D314" s="298">
        <v>410</v>
      </c>
      <c r="E314" s="304">
        <v>14223079</v>
      </c>
      <c r="F314" s="295">
        <v>423</v>
      </c>
      <c r="G314" s="304">
        <v>14531876</v>
      </c>
      <c r="H314" s="295">
        <f>B314-D314</f>
        <v>0</v>
      </c>
      <c r="I314" s="304">
        <f>E314-C314</f>
        <v>948924</v>
      </c>
    </row>
    <row r="315" spans="1:9" x14ac:dyDescent="0.2">
      <c r="A315" s="291" t="s">
        <v>597</v>
      </c>
      <c r="B315" s="298">
        <v>410</v>
      </c>
      <c r="C315" s="304">
        <v>407664</v>
      </c>
      <c r="D315" s="298">
        <v>410</v>
      </c>
      <c r="E315" s="304">
        <v>407664</v>
      </c>
      <c r="F315" s="295">
        <v>423</v>
      </c>
      <c r="G315" s="304">
        <v>852664</v>
      </c>
      <c r="H315" s="295">
        <f t="shared" ref="H315:H329" si="5">B315-D315</f>
        <v>0</v>
      </c>
      <c r="I315" s="304">
        <f t="shared" ref="I315:I329" si="6">E315-C315</f>
        <v>0</v>
      </c>
    </row>
    <row r="316" spans="1:9" x14ac:dyDescent="0.2">
      <c r="A316" s="291" t="s">
        <v>598</v>
      </c>
      <c r="B316" s="298"/>
      <c r="C316" s="304"/>
      <c r="D316" s="298"/>
      <c r="E316" s="304"/>
      <c r="F316" s="295"/>
      <c r="G316" s="304"/>
      <c r="H316" s="295">
        <f t="shared" si="5"/>
        <v>0</v>
      </c>
      <c r="I316" s="304"/>
    </row>
    <row r="317" spans="1:9" x14ac:dyDescent="0.2">
      <c r="A317" s="65" t="s">
        <v>599</v>
      </c>
      <c r="B317" s="298"/>
      <c r="C317" s="304"/>
      <c r="D317" s="298"/>
      <c r="E317" s="304"/>
      <c r="F317" s="295"/>
      <c r="G317" s="304"/>
      <c r="H317" s="295">
        <f t="shared" si="5"/>
        <v>0</v>
      </c>
      <c r="I317" s="304"/>
    </row>
    <row r="318" spans="1:9" x14ac:dyDescent="0.2">
      <c r="A318" s="291" t="s">
        <v>600</v>
      </c>
      <c r="B318" s="298"/>
      <c r="C318" s="304"/>
      <c r="D318" s="298"/>
      <c r="E318" s="304"/>
      <c r="F318" s="295"/>
      <c r="G318" s="304"/>
      <c r="H318" s="295">
        <f t="shared" si="5"/>
        <v>0</v>
      </c>
      <c r="I318" s="304"/>
    </row>
    <row r="319" spans="1:9" x14ac:dyDescent="0.2">
      <c r="A319" s="65" t="s">
        <v>601</v>
      </c>
      <c r="B319" s="298">
        <v>410</v>
      </c>
      <c r="C319" s="304">
        <v>423800</v>
      </c>
      <c r="D319" s="298">
        <v>410</v>
      </c>
      <c r="E319" s="304">
        <v>423800</v>
      </c>
      <c r="F319" s="295">
        <v>423</v>
      </c>
      <c r="G319" s="304">
        <v>404000</v>
      </c>
      <c r="H319" s="295">
        <f t="shared" si="5"/>
        <v>0</v>
      </c>
      <c r="I319" s="304">
        <f t="shared" si="6"/>
        <v>0</v>
      </c>
    </row>
    <row r="320" spans="1:9" x14ac:dyDescent="0.2">
      <c r="A320" s="291" t="s">
        <v>602</v>
      </c>
      <c r="B320" s="298"/>
      <c r="C320" s="304"/>
      <c r="D320" s="298"/>
      <c r="E320" s="304"/>
      <c r="F320" s="295"/>
      <c r="G320" s="304"/>
      <c r="H320" s="295">
        <f t="shared" si="5"/>
        <v>0</v>
      </c>
      <c r="I320" s="304"/>
    </row>
    <row r="321" spans="1:9" x14ac:dyDescent="0.2">
      <c r="A321" s="291" t="s">
        <v>603</v>
      </c>
      <c r="B321" s="298"/>
      <c r="C321" s="304"/>
      <c r="D321" s="298"/>
      <c r="E321" s="304"/>
      <c r="F321" s="295"/>
      <c r="G321" s="304"/>
      <c r="H321" s="295">
        <f t="shared" si="5"/>
        <v>0</v>
      </c>
      <c r="I321" s="304"/>
    </row>
    <row r="322" spans="1:9" x14ac:dyDescent="0.2">
      <c r="A322" s="291" t="s">
        <v>604</v>
      </c>
      <c r="B322" s="298"/>
      <c r="C322" s="304"/>
      <c r="D322" s="298"/>
      <c r="E322" s="304"/>
      <c r="F322" s="295"/>
      <c r="G322" s="304"/>
      <c r="H322" s="295">
        <f t="shared" si="5"/>
        <v>0</v>
      </c>
      <c r="I322" s="304"/>
    </row>
    <row r="323" spans="1:9" x14ac:dyDescent="0.2">
      <c r="A323" s="291" t="s">
        <v>605</v>
      </c>
      <c r="B323" s="298">
        <v>410</v>
      </c>
      <c r="C323" s="304">
        <v>817597</v>
      </c>
      <c r="D323" s="298">
        <v>410</v>
      </c>
      <c r="E323" s="304">
        <v>985401</v>
      </c>
      <c r="F323" s="295">
        <v>423</v>
      </c>
      <c r="G323" s="304">
        <v>952747</v>
      </c>
      <c r="H323" s="295">
        <f t="shared" si="5"/>
        <v>0</v>
      </c>
      <c r="I323" s="304">
        <f t="shared" si="6"/>
        <v>167804</v>
      </c>
    </row>
    <row r="324" spans="1:9" x14ac:dyDescent="0.2">
      <c r="A324" s="291" t="s">
        <v>606</v>
      </c>
      <c r="B324" s="298"/>
      <c r="C324" s="304"/>
      <c r="D324" s="298"/>
      <c r="E324" s="304"/>
      <c r="F324" s="295"/>
      <c r="G324" s="304"/>
      <c r="H324" s="295">
        <f t="shared" si="5"/>
        <v>0</v>
      </c>
      <c r="I324" s="304"/>
    </row>
    <row r="325" spans="1:9" x14ac:dyDescent="0.2">
      <c r="A325" s="291" t="s">
        <v>607</v>
      </c>
      <c r="B325" s="298"/>
      <c r="C325" s="304"/>
      <c r="D325" s="298"/>
      <c r="E325" s="304"/>
      <c r="F325" s="295"/>
      <c r="G325" s="304"/>
      <c r="H325" s="295">
        <f t="shared" si="5"/>
        <v>0</v>
      </c>
      <c r="I325" s="304"/>
    </row>
    <row r="326" spans="1:9" x14ac:dyDescent="0.2">
      <c r="A326" s="291" t="s">
        <v>608</v>
      </c>
      <c r="B326" s="298"/>
      <c r="C326" s="304"/>
      <c r="D326" s="298"/>
      <c r="E326" s="304"/>
      <c r="F326" s="295"/>
      <c r="G326" s="304"/>
      <c r="H326" s="295">
        <f t="shared" si="5"/>
        <v>0</v>
      </c>
      <c r="I326" s="304"/>
    </row>
    <row r="327" spans="1:9" x14ac:dyDescent="0.2">
      <c r="A327" s="291" t="s">
        <v>609</v>
      </c>
      <c r="B327" s="298">
        <v>47</v>
      </c>
      <c r="C327" s="304">
        <v>639492</v>
      </c>
      <c r="D327" s="298">
        <v>47</v>
      </c>
      <c r="E327" s="304">
        <v>639492</v>
      </c>
      <c r="F327" s="295">
        <v>47</v>
      </c>
      <c r="G327" s="304">
        <v>430746</v>
      </c>
      <c r="H327" s="295">
        <f t="shared" si="5"/>
        <v>0</v>
      </c>
      <c r="I327" s="304">
        <f t="shared" si="6"/>
        <v>0</v>
      </c>
    </row>
    <row r="328" spans="1:9" x14ac:dyDescent="0.2">
      <c r="A328" s="291" t="s">
        <v>610</v>
      </c>
      <c r="B328" s="298">
        <v>47</v>
      </c>
      <c r="C328" s="304">
        <v>18800</v>
      </c>
      <c r="D328" s="298">
        <v>47</v>
      </c>
      <c r="E328" s="304">
        <v>18800</v>
      </c>
      <c r="F328" s="295">
        <v>47</v>
      </c>
      <c r="G328" s="304">
        <v>18800</v>
      </c>
      <c r="H328" s="295">
        <f t="shared" si="5"/>
        <v>0</v>
      </c>
      <c r="I328" s="304">
        <f t="shared" si="6"/>
        <v>0</v>
      </c>
    </row>
    <row r="329" spans="1:9" ht="12.75" thickBot="1" x14ac:dyDescent="0.25">
      <c r="A329" s="291" t="s">
        <v>631</v>
      </c>
      <c r="B329" s="298">
        <v>363</v>
      </c>
      <c r="C329" s="304">
        <v>3791915</v>
      </c>
      <c r="D329" s="298">
        <v>363</v>
      </c>
      <c r="E329" s="304">
        <v>4152129</v>
      </c>
      <c r="F329" s="295">
        <v>376</v>
      </c>
      <c r="G329" s="304">
        <v>3687129</v>
      </c>
      <c r="H329" s="295">
        <f t="shared" si="5"/>
        <v>0</v>
      </c>
      <c r="I329" s="304">
        <f t="shared" si="6"/>
        <v>360214</v>
      </c>
    </row>
    <row r="330" spans="1:9" ht="12.75" thickBot="1" x14ac:dyDescent="0.25">
      <c r="A330" s="263" t="s">
        <v>612</v>
      </c>
      <c r="B330" s="344" t="s">
        <v>632</v>
      </c>
      <c r="C330" s="271">
        <f>SUM(C314:C329)</f>
        <v>19373423</v>
      </c>
      <c r="D330" s="355">
        <v>773</v>
      </c>
      <c r="E330" s="271">
        <f>SUM(E314:E329)</f>
        <v>20850365</v>
      </c>
      <c r="F330" s="355">
        <v>773</v>
      </c>
      <c r="G330" s="271">
        <f>SUM(G314:G329)</f>
        <v>20877962</v>
      </c>
      <c r="H330" s="363"/>
      <c r="I330" s="271">
        <f>SUM(I314:I329)</f>
        <v>1476942</v>
      </c>
    </row>
    <row r="331" spans="1:9" x14ac:dyDescent="0.2">
      <c r="A331" s="1" t="s">
        <v>633</v>
      </c>
      <c r="B331" s="91"/>
      <c r="C331" s="306"/>
      <c r="D331" s="91"/>
      <c r="E331" s="306"/>
      <c r="F331" s="91"/>
      <c r="G331" s="306"/>
      <c r="H331" s="91"/>
      <c r="I331" s="306"/>
    </row>
    <row r="332" spans="1:9" x14ac:dyDescent="0.2">
      <c r="A332" s="1"/>
      <c r="B332" s="91"/>
      <c r="C332" s="306"/>
      <c r="D332" s="91"/>
      <c r="E332" s="306"/>
      <c r="F332" s="91"/>
      <c r="G332" s="306"/>
      <c r="H332" s="91"/>
      <c r="I332" s="306"/>
    </row>
    <row r="333" spans="1:9" ht="12.75" thickBot="1" x14ac:dyDescent="0.25">
      <c r="A333" s="259" t="s">
        <v>524</v>
      </c>
      <c r="B333" s="258"/>
      <c r="C333" s="325"/>
      <c r="D333" s="258"/>
      <c r="E333" s="325"/>
      <c r="F333" s="258"/>
      <c r="G333" s="325"/>
      <c r="H333" s="258"/>
      <c r="I333" s="325"/>
    </row>
    <row r="334" spans="1:9" ht="12.75" thickBot="1" x14ac:dyDescent="0.25">
      <c r="A334" s="321" t="s">
        <v>362</v>
      </c>
      <c r="B334" s="1481" t="s">
        <v>590</v>
      </c>
      <c r="C334" s="1481"/>
      <c r="D334" s="1478" t="s">
        <v>591</v>
      </c>
      <c r="E334" s="1479"/>
      <c r="F334" s="1478" t="s">
        <v>592</v>
      </c>
      <c r="G334" s="1480"/>
      <c r="H334" s="1478" t="s">
        <v>593</v>
      </c>
      <c r="I334" s="1480"/>
    </row>
    <row r="335" spans="1:9" ht="24" x14ac:dyDescent="0.2">
      <c r="A335" s="322" t="s">
        <v>365</v>
      </c>
      <c r="B335" s="323" t="s">
        <v>594</v>
      </c>
      <c r="C335" s="326" t="s">
        <v>595</v>
      </c>
      <c r="D335" s="322" t="s">
        <v>594</v>
      </c>
      <c r="E335" s="368" t="s">
        <v>595</v>
      </c>
      <c r="F335" s="322" t="s">
        <v>594</v>
      </c>
      <c r="G335" s="368" t="s">
        <v>595</v>
      </c>
      <c r="H335" s="322" t="s">
        <v>594</v>
      </c>
      <c r="I335" s="368" t="s">
        <v>595</v>
      </c>
    </row>
    <row r="336" spans="1:9" x14ac:dyDescent="0.2">
      <c r="A336" s="291" t="s">
        <v>596</v>
      </c>
      <c r="B336" s="298">
        <v>532</v>
      </c>
      <c r="C336" s="292">
        <v>7794355.8399999999</v>
      </c>
      <c r="D336" s="298">
        <v>532</v>
      </c>
      <c r="E336" s="292">
        <v>7834555.9199999999</v>
      </c>
      <c r="F336" s="298">
        <v>532</v>
      </c>
      <c r="G336" s="292">
        <v>7834555.9199999999</v>
      </c>
      <c r="H336" s="295"/>
      <c r="I336" s="292">
        <f>+C336-E336</f>
        <v>-40200.080000000075</v>
      </c>
    </row>
    <row r="337" spans="1:9" x14ac:dyDescent="0.2">
      <c r="A337" s="291" t="s">
        <v>597</v>
      </c>
      <c r="B337" s="298"/>
      <c r="C337" s="303"/>
      <c r="D337" s="295"/>
      <c r="E337" s="292"/>
      <c r="F337" s="295"/>
      <c r="G337" s="292"/>
      <c r="H337" s="295"/>
      <c r="I337" s="292">
        <f t="shared" ref="I337:I352" si="7">+C337-E337</f>
        <v>0</v>
      </c>
    </row>
    <row r="338" spans="1:9" x14ac:dyDescent="0.2">
      <c r="A338" s="291" t="s">
        <v>598</v>
      </c>
      <c r="B338" s="298"/>
      <c r="C338" s="303"/>
      <c r="D338" s="295"/>
      <c r="E338" s="292"/>
      <c r="F338" s="295"/>
      <c r="G338" s="292"/>
      <c r="H338" s="295"/>
      <c r="I338" s="292">
        <f t="shared" si="7"/>
        <v>0</v>
      </c>
    </row>
    <row r="339" spans="1:9" x14ac:dyDescent="0.2">
      <c r="A339" s="65" t="s">
        <v>599</v>
      </c>
      <c r="B339" s="298"/>
      <c r="C339" s="303"/>
      <c r="D339" s="295"/>
      <c r="E339" s="292"/>
      <c r="F339" s="295"/>
      <c r="G339" s="292"/>
      <c r="H339" s="295"/>
      <c r="I339" s="292">
        <f t="shared" si="7"/>
        <v>0</v>
      </c>
    </row>
    <row r="340" spans="1:9" x14ac:dyDescent="0.2">
      <c r="A340" s="291" t="s">
        <v>600</v>
      </c>
      <c r="B340" s="298"/>
      <c r="C340" s="303"/>
      <c r="D340" s="295"/>
      <c r="E340" s="292"/>
      <c r="F340" s="295"/>
      <c r="G340" s="292"/>
      <c r="H340" s="295"/>
      <c r="I340" s="292">
        <f t="shared" si="7"/>
        <v>0</v>
      </c>
    </row>
    <row r="341" spans="1:9" x14ac:dyDescent="0.2">
      <c r="A341" s="65" t="s">
        <v>601</v>
      </c>
      <c r="B341" s="298"/>
      <c r="C341" s="303">
        <v>532000</v>
      </c>
      <c r="D341" s="295"/>
      <c r="E341" s="303">
        <v>532000</v>
      </c>
      <c r="F341" s="295"/>
      <c r="G341" s="303">
        <v>532000</v>
      </c>
      <c r="H341" s="295"/>
      <c r="I341" s="292">
        <f t="shared" si="7"/>
        <v>0</v>
      </c>
    </row>
    <row r="342" spans="1:9" x14ac:dyDescent="0.2">
      <c r="A342" s="291" t="s">
        <v>602</v>
      </c>
      <c r="B342" s="298"/>
      <c r="C342" s="303"/>
      <c r="D342" s="295"/>
      <c r="E342" s="292"/>
      <c r="F342" s="295"/>
      <c r="G342" s="292"/>
      <c r="H342" s="295"/>
      <c r="I342" s="292">
        <f t="shared" si="7"/>
        <v>0</v>
      </c>
    </row>
    <row r="343" spans="1:9" x14ac:dyDescent="0.2">
      <c r="A343" s="291" t="s">
        <v>603</v>
      </c>
      <c r="B343" s="298"/>
      <c r="C343" s="303"/>
      <c r="D343" s="295"/>
      <c r="E343" s="292"/>
      <c r="F343" s="295"/>
      <c r="G343" s="292"/>
      <c r="H343" s="295"/>
      <c r="I343" s="292">
        <f t="shared" si="7"/>
        <v>0</v>
      </c>
    </row>
    <row r="344" spans="1:9" x14ac:dyDescent="0.2">
      <c r="A344" s="291" t="s">
        <v>604</v>
      </c>
      <c r="B344" s="298"/>
      <c r="C344" s="303"/>
      <c r="D344" s="295"/>
      <c r="E344" s="292"/>
      <c r="F344" s="295"/>
      <c r="G344" s="292"/>
      <c r="H344" s="295"/>
      <c r="I344" s="292">
        <f t="shared" si="7"/>
        <v>0</v>
      </c>
    </row>
    <row r="345" spans="1:9" x14ac:dyDescent="0.2">
      <c r="A345" s="291" t="s">
        <v>605</v>
      </c>
      <c r="B345" s="298"/>
      <c r="C345" s="303"/>
      <c r="D345" s="295"/>
      <c r="E345" s="292"/>
      <c r="F345" s="295"/>
      <c r="G345" s="292"/>
      <c r="H345" s="295"/>
      <c r="I345" s="292">
        <f t="shared" si="7"/>
        <v>0</v>
      </c>
    </row>
    <row r="346" spans="1:9" x14ac:dyDescent="0.2">
      <c r="A346" s="291" t="s">
        <v>606</v>
      </c>
      <c r="B346" s="298"/>
      <c r="C346" s="303"/>
      <c r="D346" s="295"/>
      <c r="E346" s="292"/>
      <c r="F346" s="295"/>
      <c r="G346" s="292"/>
      <c r="H346" s="295"/>
      <c r="I346" s="292">
        <f t="shared" si="7"/>
        <v>0</v>
      </c>
    </row>
    <row r="347" spans="1:9" x14ac:dyDescent="0.2">
      <c r="A347" s="291" t="s">
        <v>607</v>
      </c>
      <c r="B347" s="298"/>
      <c r="C347" s="303"/>
      <c r="D347" s="295"/>
      <c r="E347" s="292"/>
      <c r="F347" s="295"/>
      <c r="G347" s="292"/>
      <c r="H347" s="295"/>
      <c r="I347" s="292">
        <f t="shared" si="7"/>
        <v>0</v>
      </c>
    </row>
    <row r="348" spans="1:9" x14ac:dyDescent="0.2">
      <c r="A348" s="291" t="s">
        <v>608</v>
      </c>
      <c r="B348" s="298"/>
      <c r="C348" s="303"/>
      <c r="D348" s="295"/>
      <c r="E348" s="292"/>
      <c r="F348" s="295"/>
      <c r="G348" s="292"/>
      <c r="H348" s="295"/>
      <c r="I348" s="292">
        <f t="shared" si="7"/>
        <v>0</v>
      </c>
    </row>
    <row r="349" spans="1:9" x14ac:dyDescent="0.2">
      <c r="A349" s="291" t="s">
        <v>609</v>
      </c>
      <c r="B349" s="298"/>
      <c r="C349" s="303">
        <v>6206500</v>
      </c>
      <c r="D349" s="295"/>
      <c r="E349" s="292">
        <v>6206652</v>
      </c>
      <c r="F349" s="295"/>
      <c r="G349" s="292">
        <v>6206652</v>
      </c>
      <c r="H349" s="295"/>
      <c r="I349" s="292">
        <f t="shared" si="7"/>
        <v>-152</v>
      </c>
    </row>
    <row r="350" spans="1:9" x14ac:dyDescent="0.2">
      <c r="A350" s="291" t="s">
        <v>610</v>
      </c>
      <c r="B350" s="298"/>
      <c r="C350" s="303">
        <v>31607</v>
      </c>
      <c r="D350" s="295"/>
      <c r="E350" s="292">
        <v>31607</v>
      </c>
      <c r="F350" s="295"/>
      <c r="G350" s="292">
        <v>31607</v>
      </c>
      <c r="H350" s="295"/>
      <c r="I350" s="292">
        <f t="shared" si="7"/>
        <v>0</v>
      </c>
    </row>
    <row r="351" spans="1:9" x14ac:dyDescent="0.2">
      <c r="A351" s="291" t="s">
        <v>621</v>
      </c>
      <c r="B351" s="298"/>
      <c r="C351" s="303"/>
      <c r="D351" s="295"/>
      <c r="E351" s="292"/>
      <c r="F351" s="295"/>
      <c r="G351" s="292"/>
      <c r="H351" s="295"/>
      <c r="I351" s="292">
        <f t="shared" si="7"/>
        <v>0</v>
      </c>
    </row>
    <row r="352" spans="1:9" ht="12.75" thickBot="1" x14ac:dyDescent="0.25">
      <c r="A352" s="291" t="s">
        <v>622</v>
      </c>
      <c r="B352" s="305"/>
      <c r="C352" s="306"/>
      <c r="D352" s="354"/>
      <c r="E352" s="247"/>
      <c r="F352" s="354"/>
      <c r="G352" s="247"/>
      <c r="H352" s="354"/>
      <c r="I352" s="292">
        <f t="shared" si="7"/>
        <v>0</v>
      </c>
    </row>
    <row r="353" spans="1:9" ht="12.75" thickBot="1" x14ac:dyDescent="0.25">
      <c r="A353" s="263" t="s">
        <v>612</v>
      </c>
      <c r="B353" s="345">
        <v>532</v>
      </c>
      <c r="C353" s="271">
        <f>SUM(C336:C351)</f>
        <v>14564462.84</v>
      </c>
      <c r="D353" s="336"/>
      <c r="E353" s="271">
        <f>SUM(E336:E351)</f>
        <v>14604814.92</v>
      </c>
      <c r="F353" s="336">
        <v>532</v>
      </c>
      <c r="G353" s="271">
        <f>SUM(G336:G351)</f>
        <v>14604814.92</v>
      </c>
      <c r="H353" s="336"/>
      <c r="I353" s="338">
        <f>SUM(I336:I352)</f>
        <v>-40352.080000000075</v>
      </c>
    </row>
    <row r="354" spans="1:9" x14ac:dyDescent="0.2">
      <c r="A354" s="1"/>
      <c r="B354" s="91"/>
      <c r="C354" s="306"/>
      <c r="D354" s="91"/>
      <c r="E354" s="306"/>
      <c r="F354" s="91"/>
      <c r="G354" s="306"/>
      <c r="H354" s="91"/>
      <c r="I354" s="306"/>
    </row>
    <row r="355" spans="1:9" ht="12.75" thickBot="1" x14ac:dyDescent="0.25">
      <c r="A355" s="259" t="s">
        <v>525</v>
      </c>
      <c r="B355" s="258"/>
      <c r="C355" s="325"/>
      <c r="D355" s="258"/>
      <c r="E355" s="325"/>
      <c r="F355" s="258"/>
      <c r="G355" s="325"/>
      <c r="H355" s="258"/>
      <c r="I355" s="325"/>
    </row>
    <row r="356" spans="1:9" ht="12.75" thickBot="1" x14ac:dyDescent="0.25">
      <c r="A356" s="321" t="s">
        <v>362</v>
      </c>
      <c r="B356" s="1481" t="s">
        <v>590</v>
      </c>
      <c r="C356" s="1481"/>
      <c r="D356" s="1478" t="s">
        <v>591</v>
      </c>
      <c r="E356" s="1479"/>
      <c r="F356" s="1478" t="s">
        <v>592</v>
      </c>
      <c r="G356" s="1480"/>
      <c r="H356" s="1478" t="s">
        <v>634</v>
      </c>
      <c r="I356" s="1480"/>
    </row>
    <row r="357" spans="1:9" ht="24" x14ac:dyDescent="0.2">
      <c r="A357" s="322" t="s">
        <v>365</v>
      </c>
      <c r="B357" s="323" t="s">
        <v>594</v>
      </c>
      <c r="C357" s="326" t="s">
        <v>595</v>
      </c>
      <c r="D357" s="322" t="s">
        <v>594</v>
      </c>
      <c r="E357" s="368" t="s">
        <v>595</v>
      </c>
      <c r="F357" s="322" t="s">
        <v>594</v>
      </c>
      <c r="G357" s="368" t="s">
        <v>595</v>
      </c>
      <c r="H357" s="322" t="s">
        <v>594</v>
      </c>
      <c r="I357" s="368" t="s">
        <v>595</v>
      </c>
    </row>
    <row r="358" spans="1:9" x14ac:dyDescent="0.2">
      <c r="A358" s="291" t="s">
        <v>596</v>
      </c>
      <c r="B358" s="298" t="e">
        <f>'[4]F-09'!K450</f>
        <v>#REF!</v>
      </c>
      <c r="C358" s="304">
        <v>720813.84</v>
      </c>
      <c r="D358" s="295">
        <v>37</v>
      </c>
      <c r="E358" s="292">
        <v>751910.04</v>
      </c>
      <c r="F358" s="295">
        <v>37</v>
      </c>
      <c r="G358" s="292">
        <v>833649.36</v>
      </c>
      <c r="H358" s="295">
        <f>+F358-D358</f>
        <v>0</v>
      </c>
      <c r="I358" s="292">
        <f>+G358-E358</f>
        <v>81739.319999999949</v>
      </c>
    </row>
    <row r="359" spans="1:9" x14ac:dyDescent="0.2">
      <c r="A359" s="291" t="s">
        <v>597</v>
      </c>
      <c r="B359" s="298"/>
      <c r="C359" s="304"/>
      <c r="D359" s="295"/>
      <c r="E359" s="292"/>
      <c r="F359" s="295"/>
      <c r="G359" s="292"/>
      <c r="H359" s="295"/>
      <c r="I359" s="292"/>
    </row>
    <row r="360" spans="1:9" x14ac:dyDescent="0.2">
      <c r="A360" s="291" t="s">
        <v>598</v>
      </c>
      <c r="B360" s="298"/>
      <c r="C360" s="304"/>
      <c r="D360" s="295"/>
      <c r="E360" s="292"/>
      <c r="F360" s="295"/>
      <c r="G360" s="292"/>
      <c r="H360" s="295"/>
      <c r="I360" s="292"/>
    </row>
    <row r="361" spans="1:9" x14ac:dyDescent="0.2">
      <c r="A361" s="65" t="s">
        <v>599</v>
      </c>
      <c r="B361" s="298"/>
      <c r="C361" s="304"/>
      <c r="D361" s="295"/>
      <c r="E361" s="292"/>
      <c r="F361" s="295"/>
      <c r="G361" s="292"/>
      <c r="H361" s="295"/>
      <c r="I361" s="292"/>
    </row>
    <row r="362" spans="1:9" x14ac:dyDescent="0.2">
      <c r="A362" s="291" t="s">
        <v>600</v>
      </c>
      <c r="B362" s="298"/>
      <c r="C362" s="304"/>
      <c r="D362" s="295"/>
      <c r="E362" s="292"/>
      <c r="F362" s="295"/>
      <c r="G362" s="292"/>
      <c r="H362" s="295"/>
      <c r="I362" s="292"/>
    </row>
    <row r="363" spans="1:9" x14ac:dyDescent="0.2">
      <c r="A363" s="65" t="s">
        <v>601</v>
      </c>
      <c r="B363" s="298">
        <v>36</v>
      </c>
      <c r="C363" s="304">
        <v>36000</v>
      </c>
      <c r="D363" s="295">
        <v>37</v>
      </c>
      <c r="E363" s="292">
        <v>37000</v>
      </c>
      <c r="F363" s="295">
        <v>37</v>
      </c>
      <c r="G363" s="292">
        <v>37000</v>
      </c>
      <c r="H363" s="295">
        <f>+F363-D363</f>
        <v>0</v>
      </c>
      <c r="I363" s="292">
        <f t="shared" ref="I363:I372" si="8">+G363-E363</f>
        <v>0</v>
      </c>
    </row>
    <row r="364" spans="1:9" x14ac:dyDescent="0.2">
      <c r="A364" s="291" t="s">
        <v>602</v>
      </c>
      <c r="B364" s="298"/>
      <c r="C364" s="304"/>
      <c r="D364" s="295"/>
      <c r="E364" s="292"/>
      <c r="F364" s="295"/>
      <c r="G364" s="292"/>
      <c r="H364" s="295"/>
      <c r="I364" s="292"/>
    </row>
    <row r="365" spans="1:9" x14ac:dyDescent="0.2">
      <c r="A365" s="291" t="s">
        <v>603</v>
      </c>
      <c r="B365" s="298"/>
      <c r="C365" s="304"/>
      <c r="D365" s="295"/>
      <c r="E365" s="292"/>
      <c r="F365" s="295"/>
      <c r="G365" s="292"/>
      <c r="H365" s="295"/>
      <c r="I365" s="292"/>
    </row>
    <row r="366" spans="1:9" x14ac:dyDescent="0.2">
      <c r="A366" s="291" t="s">
        <v>604</v>
      </c>
      <c r="B366" s="298"/>
      <c r="C366" s="304"/>
      <c r="D366" s="295"/>
      <c r="E366" s="292"/>
      <c r="F366" s="295"/>
      <c r="G366" s="292"/>
      <c r="H366" s="295"/>
      <c r="I366" s="292"/>
    </row>
    <row r="367" spans="1:9" x14ac:dyDescent="0.2">
      <c r="A367" s="291" t="s">
        <v>605</v>
      </c>
      <c r="B367" s="298">
        <v>36</v>
      </c>
      <c r="C367" s="304">
        <v>37848.239999999998</v>
      </c>
      <c r="D367" s="295">
        <v>37</v>
      </c>
      <c r="E367" s="292">
        <v>38973.480000000003</v>
      </c>
      <c r="F367" s="295">
        <v>37</v>
      </c>
      <c r="G367" s="292">
        <v>37162.800000000003</v>
      </c>
      <c r="H367" s="295">
        <f>+F367-D367</f>
        <v>0</v>
      </c>
      <c r="I367" s="292">
        <f t="shared" si="8"/>
        <v>-1810.6800000000003</v>
      </c>
    </row>
    <row r="368" spans="1:9" x14ac:dyDescent="0.2">
      <c r="A368" s="291" t="s">
        <v>606</v>
      </c>
      <c r="B368" s="298"/>
      <c r="C368" s="304"/>
      <c r="D368" s="295"/>
      <c r="E368" s="292"/>
      <c r="F368" s="295"/>
      <c r="G368" s="292"/>
      <c r="H368" s="295"/>
      <c r="I368" s="292"/>
    </row>
    <row r="369" spans="1:9" x14ac:dyDescent="0.2">
      <c r="A369" s="291" t="s">
        <v>607</v>
      </c>
      <c r="B369" s="298"/>
      <c r="C369" s="304"/>
      <c r="D369" s="295"/>
      <c r="E369" s="292"/>
      <c r="F369" s="295"/>
      <c r="G369" s="292"/>
      <c r="H369" s="295"/>
      <c r="I369" s="292"/>
    </row>
    <row r="370" spans="1:9" x14ac:dyDescent="0.2">
      <c r="A370" s="291" t="s">
        <v>635</v>
      </c>
      <c r="B370" s="298"/>
      <c r="C370" s="304"/>
      <c r="D370" s="295"/>
      <c r="E370" s="292"/>
      <c r="F370" s="295"/>
      <c r="G370" s="292"/>
      <c r="H370" s="295"/>
      <c r="I370" s="292"/>
    </row>
    <row r="371" spans="1:9" x14ac:dyDescent="0.2">
      <c r="A371" s="291" t="s">
        <v>609</v>
      </c>
      <c r="B371" s="298">
        <v>36</v>
      </c>
      <c r="C371" s="304">
        <v>468480</v>
      </c>
      <c r="D371" s="295">
        <v>37</v>
      </c>
      <c r="E371" s="292">
        <v>483000</v>
      </c>
      <c r="F371" s="295">
        <v>37</v>
      </c>
      <c r="G371" s="292">
        <v>527280</v>
      </c>
      <c r="H371" s="295">
        <f>+F371-D371</f>
        <v>0</v>
      </c>
      <c r="I371" s="292">
        <f t="shared" si="8"/>
        <v>44280</v>
      </c>
    </row>
    <row r="372" spans="1:9" x14ac:dyDescent="0.2">
      <c r="A372" s="291" t="s">
        <v>610</v>
      </c>
      <c r="B372" s="298">
        <v>19</v>
      </c>
      <c r="C372" s="304">
        <v>11600</v>
      </c>
      <c r="D372" s="295">
        <v>20</v>
      </c>
      <c r="E372" s="292">
        <v>12000</v>
      </c>
      <c r="F372" s="295">
        <v>20</v>
      </c>
      <c r="G372" s="292">
        <v>12000</v>
      </c>
      <c r="H372" s="295">
        <f>+F372-D372</f>
        <v>0</v>
      </c>
      <c r="I372" s="292">
        <f t="shared" si="8"/>
        <v>0</v>
      </c>
    </row>
    <row r="373" spans="1:9" ht="12.75" thickBot="1" x14ac:dyDescent="0.25">
      <c r="A373" s="291" t="s">
        <v>611</v>
      </c>
      <c r="B373" s="298"/>
      <c r="C373" s="304"/>
      <c r="D373" s="295"/>
      <c r="E373" s="292"/>
      <c r="F373" s="295"/>
      <c r="G373" s="292"/>
      <c r="H373" s="295"/>
      <c r="I373" s="292"/>
    </row>
    <row r="374" spans="1:9" ht="12.75" thickBot="1" x14ac:dyDescent="0.25">
      <c r="A374" s="263" t="s">
        <v>612</v>
      </c>
      <c r="B374" s="345">
        <v>36</v>
      </c>
      <c r="C374" s="337">
        <f>SUM(C358:C373)</f>
        <v>1274742.08</v>
      </c>
      <c r="D374" s="356"/>
      <c r="E374" s="337">
        <f>SUM(E358:E373)</f>
        <v>1322883.52</v>
      </c>
      <c r="F374" s="355">
        <v>37</v>
      </c>
      <c r="G374" s="337">
        <f>SUM(G358:G373)</f>
        <v>1447092.1600000001</v>
      </c>
      <c r="H374" s="356"/>
      <c r="I374" s="337">
        <f>SUM(I358:I373)</f>
        <v>124208.63999999996</v>
      </c>
    </row>
    <row r="375" spans="1:9" x14ac:dyDescent="0.2">
      <c r="A375" s="244"/>
      <c r="B375" s="244"/>
      <c r="C375" s="246"/>
      <c r="D375" s="244"/>
      <c r="E375" s="246"/>
      <c r="F375" s="244"/>
      <c r="G375" s="246"/>
      <c r="H375" s="244"/>
      <c r="I375" s="246"/>
    </row>
    <row r="376" spans="1:9" x14ac:dyDescent="0.2">
      <c r="A376" s="333"/>
      <c r="B376" s="346"/>
      <c r="C376" s="374"/>
      <c r="D376" s="346"/>
      <c r="E376" s="374"/>
      <c r="F376" s="346"/>
      <c r="G376" s="374"/>
      <c r="H376" s="346"/>
      <c r="I376" s="374"/>
    </row>
    <row r="377" spans="1:9" ht="12.75" thickBot="1" x14ac:dyDescent="0.25">
      <c r="A377" s="332" t="s">
        <v>530</v>
      </c>
      <c r="B377" s="341"/>
      <c r="C377" s="370"/>
      <c r="D377" s="341"/>
      <c r="E377" s="370"/>
      <c r="F377" s="341"/>
      <c r="G377" s="370"/>
      <c r="H377" s="341"/>
      <c r="I377" s="370"/>
    </row>
    <row r="378" spans="1:9" ht="12.75" thickBot="1" x14ac:dyDescent="0.25">
      <c r="A378" s="321" t="s">
        <v>362</v>
      </c>
      <c r="B378" s="1478" t="s">
        <v>590</v>
      </c>
      <c r="C378" s="1480"/>
      <c r="D378" s="1478" t="s">
        <v>591</v>
      </c>
      <c r="E378" s="1480"/>
      <c r="F378" s="1478" t="s">
        <v>592</v>
      </c>
      <c r="G378" s="1480"/>
      <c r="H378" s="1478" t="s">
        <v>593</v>
      </c>
      <c r="I378" s="1480"/>
    </row>
    <row r="379" spans="1:9" ht="24" x14ac:dyDescent="0.2">
      <c r="A379" s="322" t="s">
        <v>365</v>
      </c>
      <c r="B379" s="323" t="s">
        <v>594</v>
      </c>
      <c r="C379" s="326" t="s">
        <v>595</v>
      </c>
      <c r="D379" s="322" t="s">
        <v>594</v>
      </c>
      <c r="E379" s="368" t="s">
        <v>595</v>
      </c>
      <c r="F379" s="322" t="s">
        <v>594</v>
      </c>
      <c r="G379" s="368" t="s">
        <v>595</v>
      </c>
      <c r="H379" s="322" t="s">
        <v>594</v>
      </c>
      <c r="I379" s="368" t="s">
        <v>595</v>
      </c>
    </row>
    <row r="380" spans="1:9" x14ac:dyDescent="0.2">
      <c r="A380" s="291" t="s">
        <v>596</v>
      </c>
      <c r="B380" s="295">
        <v>195</v>
      </c>
      <c r="C380" s="292">
        <v>4663484</v>
      </c>
      <c r="D380" s="295">
        <v>195</v>
      </c>
      <c r="E380" s="292">
        <v>4663484</v>
      </c>
      <c r="F380" s="295">
        <v>195</v>
      </c>
      <c r="G380" s="292"/>
      <c r="H380" s="295">
        <f>+D380-F380</f>
        <v>0</v>
      </c>
      <c r="I380" s="292">
        <f>+E380-G380</f>
        <v>4663484</v>
      </c>
    </row>
    <row r="381" spans="1:9" x14ac:dyDescent="0.2">
      <c r="A381" s="291" t="s">
        <v>597</v>
      </c>
      <c r="B381" s="295"/>
      <c r="C381" s="292"/>
      <c r="D381" s="295"/>
      <c r="E381" s="292"/>
      <c r="F381" s="295"/>
      <c r="G381" s="292"/>
      <c r="H381" s="295">
        <f t="shared" ref="H381:I395" si="9">+D381-F381</f>
        <v>0</v>
      </c>
      <c r="I381" s="292">
        <f t="shared" si="9"/>
        <v>0</v>
      </c>
    </row>
    <row r="382" spans="1:9" x14ac:dyDescent="0.2">
      <c r="A382" s="291" t="s">
        <v>598</v>
      </c>
      <c r="B382" s="295"/>
      <c r="C382" s="292">
        <v>56181</v>
      </c>
      <c r="D382" s="295"/>
      <c r="E382" s="292">
        <v>56181</v>
      </c>
      <c r="F382" s="295"/>
      <c r="G382" s="292"/>
      <c r="H382" s="295">
        <f t="shared" si="9"/>
        <v>0</v>
      </c>
      <c r="I382" s="292">
        <f t="shared" si="9"/>
        <v>56181</v>
      </c>
    </row>
    <row r="383" spans="1:9" x14ac:dyDescent="0.2">
      <c r="A383" s="65" t="s">
        <v>599</v>
      </c>
      <c r="B383" s="295"/>
      <c r="C383" s="292"/>
      <c r="D383" s="295"/>
      <c r="E383" s="292"/>
      <c r="F383" s="295"/>
      <c r="G383" s="292"/>
      <c r="H383" s="295">
        <f t="shared" si="9"/>
        <v>0</v>
      </c>
      <c r="I383" s="292">
        <f t="shared" si="9"/>
        <v>0</v>
      </c>
    </row>
    <row r="384" spans="1:9" x14ac:dyDescent="0.2">
      <c r="A384" s="291" t="s">
        <v>600</v>
      </c>
      <c r="B384" s="295"/>
      <c r="C384" s="292"/>
      <c r="D384" s="295"/>
      <c r="E384" s="292"/>
      <c r="F384" s="295"/>
      <c r="G384" s="292"/>
      <c r="H384" s="295">
        <f t="shared" si="9"/>
        <v>0</v>
      </c>
      <c r="I384" s="292">
        <f t="shared" si="9"/>
        <v>0</v>
      </c>
    </row>
    <row r="385" spans="1:9" x14ac:dyDescent="0.2">
      <c r="A385" s="65" t="s">
        <v>601</v>
      </c>
      <c r="B385" s="295"/>
      <c r="C385" s="292">
        <v>142200</v>
      </c>
      <c r="D385" s="295"/>
      <c r="E385" s="292">
        <v>142200</v>
      </c>
      <c r="F385" s="295"/>
      <c r="G385" s="292"/>
      <c r="H385" s="295">
        <f t="shared" si="9"/>
        <v>0</v>
      </c>
      <c r="I385" s="292">
        <f t="shared" si="9"/>
        <v>142200</v>
      </c>
    </row>
    <row r="386" spans="1:9" x14ac:dyDescent="0.2">
      <c r="A386" s="291" t="s">
        <v>602</v>
      </c>
      <c r="B386" s="295"/>
      <c r="C386" s="292"/>
      <c r="D386" s="295"/>
      <c r="E386" s="292"/>
      <c r="F386" s="295"/>
      <c r="G386" s="292"/>
      <c r="H386" s="295">
        <f t="shared" si="9"/>
        <v>0</v>
      </c>
      <c r="I386" s="292">
        <f t="shared" si="9"/>
        <v>0</v>
      </c>
    </row>
    <row r="387" spans="1:9" x14ac:dyDescent="0.2">
      <c r="A387" s="291" t="s">
        <v>603</v>
      </c>
      <c r="B387" s="295"/>
      <c r="C387" s="292">
        <v>23925</v>
      </c>
      <c r="D387" s="295"/>
      <c r="E387" s="292">
        <v>23925</v>
      </c>
      <c r="F387" s="295"/>
      <c r="G387" s="292"/>
      <c r="H387" s="295">
        <f t="shared" si="9"/>
        <v>0</v>
      </c>
      <c r="I387" s="292">
        <f t="shared" si="9"/>
        <v>23925</v>
      </c>
    </row>
    <row r="388" spans="1:9" x14ac:dyDescent="0.2">
      <c r="A388" s="291" t="s">
        <v>604</v>
      </c>
      <c r="B388" s="295"/>
      <c r="C388" s="292"/>
      <c r="D388" s="295"/>
      <c r="E388" s="292"/>
      <c r="F388" s="295"/>
      <c r="G388" s="292"/>
      <c r="H388" s="295">
        <f t="shared" si="9"/>
        <v>0</v>
      </c>
      <c r="I388" s="292">
        <f t="shared" si="9"/>
        <v>0</v>
      </c>
    </row>
    <row r="389" spans="1:9" x14ac:dyDescent="0.2">
      <c r="A389" s="291" t="s">
        <v>605</v>
      </c>
      <c r="B389" s="295"/>
      <c r="C389" s="292">
        <v>279209</v>
      </c>
      <c r="D389" s="295"/>
      <c r="E389" s="292">
        <v>279209</v>
      </c>
      <c r="F389" s="295"/>
      <c r="G389" s="292"/>
      <c r="H389" s="295">
        <f t="shared" si="9"/>
        <v>0</v>
      </c>
      <c r="I389" s="292">
        <f t="shared" si="9"/>
        <v>279209</v>
      </c>
    </row>
    <row r="390" spans="1:9" x14ac:dyDescent="0.2">
      <c r="A390" s="291" t="s">
        <v>606</v>
      </c>
      <c r="B390" s="295"/>
      <c r="C390" s="292">
        <v>20677</v>
      </c>
      <c r="D390" s="295"/>
      <c r="E390" s="292">
        <v>20677</v>
      </c>
      <c r="F390" s="295"/>
      <c r="G390" s="292"/>
      <c r="H390" s="295">
        <f t="shared" si="9"/>
        <v>0</v>
      </c>
      <c r="I390" s="292">
        <f t="shared" si="9"/>
        <v>20677</v>
      </c>
    </row>
    <row r="391" spans="1:9" x14ac:dyDescent="0.2">
      <c r="A391" s="291" t="s">
        <v>607</v>
      </c>
      <c r="B391" s="295"/>
      <c r="C391" s="292">
        <v>9100</v>
      </c>
      <c r="D391" s="295"/>
      <c r="E391" s="292">
        <v>9100</v>
      </c>
      <c r="F391" s="295"/>
      <c r="G391" s="292"/>
      <c r="H391" s="295">
        <f t="shared" si="9"/>
        <v>0</v>
      </c>
      <c r="I391" s="292">
        <f t="shared" si="9"/>
        <v>9100</v>
      </c>
    </row>
    <row r="392" spans="1:9" x14ac:dyDescent="0.2">
      <c r="A392" s="291" t="s">
        <v>608</v>
      </c>
      <c r="B392" s="295"/>
      <c r="C392" s="292">
        <v>127778</v>
      </c>
      <c r="D392" s="295"/>
      <c r="E392" s="292">
        <v>127778</v>
      </c>
      <c r="F392" s="295"/>
      <c r="G392" s="292"/>
      <c r="H392" s="295">
        <f t="shared" si="9"/>
        <v>0</v>
      </c>
      <c r="I392" s="292">
        <f t="shared" si="9"/>
        <v>127778</v>
      </c>
    </row>
    <row r="393" spans="1:9" x14ac:dyDescent="0.2">
      <c r="A393" s="291" t="s">
        <v>609</v>
      </c>
      <c r="B393" s="295"/>
      <c r="C393" s="292">
        <v>262802</v>
      </c>
      <c r="D393" s="295"/>
      <c r="E393" s="292">
        <v>262802</v>
      </c>
      <c r="F393" s="295"/>
      <c r="G393" s="292"/>
      <c r="H393" s="295">
        <f t="shared" si="9"/>
        <v>0</v>
      </c>
      <c r="I393" s="292">
        <f t="shared" si="9"/>
        <v>262802</v>
      </c>
    </row>
    <row r="394" spans="1:9" x14ac:dyDescent="0.2">
      <c r="A394" s="291" t="s">
        <v>610</v>
      </c>
      <c r="B394" s="295"/>
      <c r="C394" s="292">
        <v>10400</v>
      </c>
      <c r="D394" s="295"/>
      <c r="E394" s="292">
        <v>10400</v>
      </c>
      <c r="F394" s="295"/>
      <c r="G394" s="292"/>
      <c r="H394" s="295">
        <f t="shared" si="9"/>
        <v>0</v>
      </c>
      <c r="I394" s="292">
        <f t="shared" si="9"/>
        <v>10400</v>
      </c>
    </row>
    <row r="395" spans="1:9" ht="12.75" thickBot="1" x14ac:dyDescent="0.25">
      <c r="A395" s="291" t="s">
        <v>611</v>
      </c>
      <c r="B395" s="295"/>
      <c r="C395" s="292">
        <v>5400</v>
      </c>
      <c r="D395" s="295"/>
      <c r="E395" s="292">
        <v>5400</v>
      </c>
      <c r="F395" s="295"/>
      <c r="G395" s="292"/>
      <c r="H395" s="295">
        <f t="shared" si="9"/>
        <v>0</v>
      </c>
      <c r="I395" s="292">
        <f t="shared" si="9"/>
        <v>5400</v>
      </c>
    </row>
    <row r="396" spans="1:9" ht="12.75" thickBot="1" x14ac:dyDescent="0.25">
      <c r="A396" s="263" t="s">
        <v>612</v>
      </c>
      <c r="B396" s="336">
        <f t="shared" ref="B396:I396" si="10">SUM(B380:B395)</f>
        <v>195</v>
      </c>
      <c r="C396" s="337">
        <f t="shared" si="10"/>
        <v>5601156</v>
      </c>
      <c r="D396" s="336">
        <f t="shared" si="10"/>
        <v>195</v>
      </c>
      <c r="E396" s="337">
        <f t="shared" si="10"/>
        <v>5601156</v>
      </c>
      <c r="F396" s="336">
        <f t="shared" si="10"/>
        <v>195</v>
      </c>
      <c r="G396" s="337">
        <f t="shared" si="10"/>
        <v>0</v>
      </c>
      <c r="H396" s="336">
        <f t="shared" si="10"/>
        <v>0</v>
      </c>
      <c r="I396" s="337">
        <f t="shared" si="10"/>
        <v>5601156</v>
      </c>
    </row>
    <row r="398" spans="1:9" ht="12.75" thickBot="1" x14ac:dyDescent="0.25">
      <c r="A398" s="332" t="s">
        <v>549</v>
      </c>
      <c r="B398" s="341"/>
      <c r="C398" s="370"/>
      <c r="D398" s="341"/>
      <c r="E398" s="370"/>
      <c r="F398" s="341"/>
      <c r="G398" s="370"/>
      <c r="H398" s="341"/>
      <c r="I398" s="370"/>
    </row>
    <row r="399" spans="1:9" ht="12.75" thickBot="1" x14ac:dyDescent="0.25">
      <c r="A399" s="321" t="s">
        <v>362</v>
      </c>
      <c r="B399" s="1481" t="s">
        <v>590</v>
      </c>
      <c r="C399" s="1481"/>
      <c r="D399" s="1478" t="s">
        <v>591</v>
      </c>
      <c r="E399" s="1479"/>
      <c r="F399" s="1478" t="s">
        <v>592</v>
      </c>
      <c r="G399" s="1480"/>
      <c r="H399" s="1478" t="s">
        <v>593</v>
      </c>
      <c r="I399" s="1480"/>
    </row>
    <row r="400" spans="1:9" ht="24" x14ac:dyDescent="0.2">
      <c r="A400" s="322" t="s">
        <v>365</v>
      </c>
      <c r="B400" s="323" t="s">
        <v>594</v>
      </c>
      <c r="C400" s="326" t="s">
        <v>595</v>
      </c>
      <c r="D400" s="322" t="s">
        <v>594</v>
      </c>
      <c r="E400" s="368" t="s">
        <v>595</v>
      </c>
      <c r="F400" s="322" t="s">
        <v>594</v>
      </c>
      <c r="G400" s="368" t="s">
        <v>595</v>
      </c>
      <c r="H400" s="322" t="s">
        <v>594</v>
      </c>
      <c r="I400" s="368" t="s">
        <v>595</v>
      </c>
    </row>
    <row r="401" spans="1:9" x14ac:dyDescent="0.2">
      <c r="A401" s="291" t="s">
        <v>596</v>
      </c>
      <c r="B401" s="347">
        <v>1241</v>
      </c>
      <c r="C401" s="690">
        <v>37645257</v>
      </c>
      <c r="D401" s="347">
        <v>1379</v>
      </c>
      <c r="E401" s="304">
        <v>44461867</v>
      </c>
      <c r="F401" s="361">
        <v>1410</v>
      </c>
      <c r="G401" s="292">
        <v>50320321</v>
      </c>
      <c r="H401" s="361">
        <f>B401-D401</f>
        <v>-138</v>
      </c>
      <c r="I401" s="292">
        <f>C401-E401</f>
        <v>-6816610</v>
      </c>
    </row>
    <row r="402" spans="1:9" x14ac:dyDescent="0.2">
      <c r="A402" s="291" t="s">
        <v>597</v>
      </c>
      <c r="B402" s="347"/>
      <c r="C402" s="304"/>
      <c r="D402" s="347"/>
      <c r="E402" s="304"/>
      <c r="F402" s="361"/>
      <c r="G402" s="292"/>
      <c r="H402" s="361"/>
      <c r="I402" s="292"/>
    </row>
    <row r="403" spans="1:9" x14ac:dyDescent="0.2">
      <c r="A403" s="291" t="s">
        <v>598</v>
      </c>
      <c r="B403" s="347"/>
      <c r="C403" s="304"/>
      <c r="D403" s="347"/>
      <c r="E403" s="304"/>
      <c r="F403" s="361"/>
      <c r="G403" s="292"/>
      <c r="H403" s="361"/>
      <c r="I403" s="292"/>
    </row>
    <row r="404" spans="1:9" x14ac:dyDescent="0.2">
      <c r="A404" s="65" t="s">
        <v>599</v>
      </c>
      <c r="B404" s="347"/>
      <c r="C404" s="304"/>
      <c r="D404" s="347"/>
      <c r="E404" s="304"/>
      <c r="F404" s="361"/>
      <c r="G404" s="292"/>
      <c r="H404" s="361"/>
      <c r="I404" s="292"/>
    </row>
    <row r="405" spans="1:9" x14ac:dyDescent="0.2">
      <c r="A405" s="291" t="s">
        <v>600</v>
      </c>
      <c r="B405" s="347"/>
      <c r="C405" s="304"/>
      <c r="D405" s="347"/>
      <c r="E405" s="304"/>
      <c r="F405" s="361"/>
      <c r="G405" s="292"/>
      <c r="H405" s="361"/>
      <c r="I405" s="292"/>
    </row>
    <row r="406" spans="1:9" x14ac:dyDescent="0.2">
      <c r="A406" s="65" t="s">
        <v>601</v>
      </c>
      <c r="B406" s="347">
        <v>1241</v>
      </c>
      <c r="C406" s="690">
        <v>976620</v>
      </c>
      <c r="D406" s="347">
        <v>1379</v>
      </c>
      <c r="E406" s="690">
        <v>961260</v>
      </c>
      <c r="F406" s="361">
        <v>1410</v>
      </c>
      <c r="G406" s="292">
        <v>1200000</v>
      </c>
      <c r="H406" s="361">
        <f>B406-D406</f>
        <v>-138</v>
      </c>
      <c r="I406" s="292">
        <f>C406-E406</f>
        <v>15360</v>
      </c>
    </row>
    <row r="407" spans="1:9" x14ac:dyDescent="0.2">
      <c r="A407" s="291" t="s">
        <v>602</v>
      </c>
      <c r="B407" s="347"/>
      <c r="C407" s="304"/>
      <c r="D407" s="347"/>
      <c r="E407" s="304"/>
      <c r="F407" s="361"/>
      <c r="G407" s="292"/>
      <c r="H407" s="361"/>
      <c r="I407" s="292"/>
    </row>
    <row r="408" spans="1:9" x14ac:dyDescent="0.2">
      <c r="A408" s="291" t="s">
        <v>603</v>
      </c>
      <c r="B408" s="347"/>
      <c r="C408" s="304"/>
      <c r="D408" s="347"/>
      <c r="E408" s="304"/>
      <c r="F408" s="361"/>
      <c r="G408" s="292"/>
      <c r="H408" s="361"/>
      <c r="I408" s="292"/>
    </row>
    <row r="409" spans="1:9" x14ac:dyDescent="0.2">
      <c r="A409" s="291" t="s">
        <v>604</v>
      </c>
      <c r="B409" s="347"/>
      <c r="C409" s="304"/>
      <c r="D409" s="347"/>
      <c r="E409" s="304"/>
      <c r="F409" s="361"/>
      <c r="G409" s="292"/>
      <c r="H409" s="361"/>
      <c r="I409" s="292"/>
    </row>
    <row r="410" spans="1:9" x14ac:dyDescent="0.2">
      <c r="A410" s="291" t="s">
        <v>605</v>
      </c>
      <c r="B410" s="347">
        <v>1241</v>
      </c>
      <c r="C410" s="690">
        <v>1921790</v>
      </c>
      <c r="D410" s="347">
        <v>1379</v>
      </c>
      <c r="E410" s="690">
        <v>2096278</v>
      </c>
      <c r="F410" s="361">
        <v>1410</v>
      </c>
      <c r="G410" s="292">
        <v>2202130</v>
      </c>
      <c r="H410" s="361">
        <f>B410-D410</f>
        <v>-138</v>
      </c>
      <c r="I410" s="292">
        <f>C410-E410</f>
        <v>-174488</v>
      </c>
    </row>
    <row r="411" spans="1:9" x14ac:dyDescent="0.2">
      <c r="A411" s="291" t="s">
        <v>606</v>
      </c>
      <c r="B411" s="347"/>
      <c r="C411" s="304"/>
      <c r="D411" s="347"/>
      <c r="E411" s="304"/>
      <c r="F411" s="361"/>
      <c r="G411" s="292"/>
      <c r="H411" s="361"/>
      <c r="I411" s="292"/>
    </row>
    <row r="412" spans="1:9" x14ac:dyDescent="0.2">
      <c r="A412" s="291" t="s">
        <v>607</v>
      </c>
      <c r="B412" s="347">
        <v>25</v>
      </c>
      <c r="C412" s="690">
        <v>12950</v>
      </c>
      <c r="D412" s="347">
        <v>25</v>
      </c>
      <c r="E412" s="690">
        <v>12950</v>
      </c>
      <c r="F412" s="361">
        <v>25</v>
      </c>
      <c r="G412" s="292">
        <v>12950</v>
      </c>
      <c r="H412" s="361">
        <f>B412-D412</f>
        <v>0</v>
      </c>
      <c r="I412" s="292">
        <f>C412-E412</f>
        <v>0</v>
      </c>
    </row>
    <row r="413" spans="1:9" x14ac:dyDescent="0.2">
      <c r="A413" s="291" t="s">
        <v>608</v>
      </c>
      <c r="B413" s="347"/>
      <c r="C413" s="304"/>
      <c r="D413" s="347"/>
      <c r="E413" s="304"/>
      <c r="F413" s="361"/>
      <c r="G413" s="292"/>
      <c r="H413" s="361"/>
      <c r="I413" s="292"/>
    </row>
    <row r="414" spans="1:9" x14ac:dyDescent="0.2">
      <c r="A414" s="291" t="s">
        <v>609</v>
      </c>
      <c r="B414" s="347">
        <v>50</v>
      </c>
      <c r="C414" s="690">
        <v>614055</v>
      </c>
      <c r="D414" s="347">
        <v>50</v>
      </c>
      <c r="E414" s="690">
        <v>614055</v>
      </c>
      <c r="F414" s="361">
        <v>50</v>
      </c>
      <c r="G414" s="292">
        <f>E414+60000</f>
        <v>674055</v>
      </c>
      <c r="H414" s="361">
        <f>B414-D414</f>
        <v>0</v>
      </c>
      <c r="I414" s="292">
        <f>C414-E414</f>
        <v>0</v>
      </c>
    </row>
    <row r="415" spans="1:9" x14ac:dyDescent="0.2">
      <c r="A415" s="291" t="s">
        <v>610</v>
      </c>
      <c r="B415" s="347">
        <v>25</v>
      </c>
      <c r="C415" s="690">
        <v>14800</v>
      </c>
      <c r="D415" s="347">
        <v>25</v>
      </c>
      <c r="E415" s="690">
        <v>14800</v>
      </c>
      <c r="F415" s="361">
        <v>25</v>
      </c>
      <c r="G415" s="292">
        <v>14800</v>
      </c>
      <c r="H415" s="361">
        <f>B415-D415</f>
        <v>0</v>
      </c>
      <c r="I415" s="292">
        <f>C415-E415</f>
        <v>0</v>
      </c>
    </row>
    <row r="416" spans="1:9" ht="12.75" thickBot="1" x14ac:dyDescent="0.25">
      <c r="A416" s="291" t="s">
        <v>611</v>
      </c>
      <c r="B416" s="347"/>
      <c r="C416" s="304"/>
      <c r="D416" s="347"/>
      <c r="E416" s="304"/>
      <c r="F416" s="361"/>
      <c r="G416" s="292"/>
      <c r="H416" s="361"/>
      <c r="I416" s="292"/>
    </row>
    <row r="417" spans="1:9" ht="12.75" thickBot="1" x14ac:dyDescent="0.25">
      <c r="A417" s="263" t="s">
        <v>612</v>
      </c>
      <c r="B417" s="345">
        <v>1241</v>
      </c>
      <c r="C417" s="271">
        <f>SUM(C401:C416)</f>
        <v>41185472</v>
      </c>
      <c r="D417" s="345">
        <v>1379</v>
      </c>
      <c r="E417" s="271">
        <f>SUM(E401:E416)</f>
        <v>48161210</v>
      </c>
      <c r="F417" s="336"/>
      <c r="G417" s="337">
        <f>SUM(G401:G416)</f>
        <v>54424256</v>
      </c>
      <c r="H417" s="336"/>
      <c r="I417" s="337">
        <f>SUM(I401:I416)</f>
        <v>-6975738</v>
      </c>
    </row>
    <row r="419" spans="1:9" ht="12.75" thickBot="1" x14ac:dyDescent="0.25">
      <c r="A419" s="332" t="s">
        <v>551</v>
      </c>
      <c r="B419" s="341"/>
      <c r="C419" s="370"/>
      <c r="D419" s="341"/>
      <c r="E419" s="370"/>
      <c r="F419" s="341"/>
      <c r="G419" s="370"/>
      <c r="H419" s="341"/>
      <c r="I419" s="370"/>
    </row>
    <row r="420" spans="1:9" ht="12.75" thickBot="1" x14ac:dyDescent="0.25">
      <c r="A420" s="321" t="s">
        <v>362</v>
      </c>
      <c r="B420" s="1481" t="s">
        <v>590</v>
      </c>
      <c r="C420" s="1481"/>
      <c r="D420" s="1478" t="s">
        <v>591</v>
      </c>
      <c r="E420" s="1479"/>
      <c r="F420" s="1478" t="s">
        <v>592</v>
      </c>
      <c r="G420" s="1480"/>
      <c r="H420" s="1482" t="s">
        <v>593</v>
      </c>
      <c r="I420" s="1483"/>
    </row>
    <row r="421" spans="1:9" ht="24.75" thickBot="1" x14ac:dyDescent="0.25">
      <c r="A421" s="327" t="s">
        <v>365</v>
      </c>
      <c r="B421" s="328" t="s">
        <v>594</v>
      </c>
      <c r="C421" s="403" t="s">
        <v>595</v>
      </c>
      <c r="D421" s="327" t="s">
        <v>594</v>
      </c>
      <c r="E421" s="395" t="s">
        <v>595</v>
      </c>
      <c r="F421" s="327" t="s">
        <v>594</v>
      </c>
      <c r="G421" s="385" t="s">
        <v>595</v>
      </c>
      <c r="H421" s="329" t="s">
        <v>594</v>
      </c>
      <c r="I421" s="375" t="s">
        <v>595</v>
      </c>
    </row>
    <row r="422" spans="1:9" x14ac:dyDescent="0.2">
      <c r="A422" s="307" t="s">
        <v>596</v>
      </c>
      <c r="B422" s="308">
        <v>485</v>
      </c>
      <c r="C422" s="404">
        <f>24862277-C427</f>
        <v>24358677</v>
      </c>
      <c r="D422" s="309">
        <v>485</v>
      </c>
      <c r="E422" s="376">
        <f>29053323-E427</f>
        <v>28558323</v>
      </c>
      <c r="F422" s="310">
        <v>497</v>
      </c>
      <c r="G422" s="386">
        <f>26002551+701063.08</f>
        <v>26703614.079999998</v>
      </c>
      <c r="H422" s="309">
        <f>B422-D422</f>
        <v>0</v>
      </c>
      <c r="I422" s="376">
        <f>C422-E422</f>
        <v>-4199646</v>
      </c>
    </row>
    <row r="423" spans="1:9" x14ac:dyDescent="0.2">
      <c r="A423" s="291" t="s">
        <v>597</v>
      </c>
      <c r="B423" s="312"/>
      <c r="C423" s="304"/>
      <c r="D423" s="311"/>
      <c r="E423" s="292"/>
      <c r="F423" s="311"/>
      <c r="G423" s="387"/>
      <c r="H423" s="311"/>
      <c r="I423" s="292"/>
    </row>
    <row r="424" spans="1:9" x14ac:dyDescent="0.2">
      <c r="A424" s="291" t="s">
        <v>598</v>
      </c>
      <c r="B424" s="312"/>
      <c r="C424" s="304"/>
      <c r="D424" s="311"/>
      <c r="E424" s="292"/>
      <c r="F424" s="311"/>
      <c r="G424" s="387"/>
      <c r="H424" s="311"/>
      <c r="I424" s="292"/>
    </row>
    <row r="425" spans="1:9" x14ac:dyDescent="0.2">
      <c r="A425" s="65" t="s">
        <v>599</v>
      </c>
      <c r="B425" s="312"/>
      <c r="C425" s="304"/>
      <c r="D425" s="311"/>
      <c r="E425" s="292"/>
      <c r="F425" s="311"/>
      <c r="G425" s="387"/>
      <c r="H425" s="311"/>
      <c r="I425" s="292"/>
    </row>
    <row r="426" spans="1:9" x14ac:dyDescent="0.2">
      <c r="A426" s="291" t="s">
        <v>600</v>
      </c>
      <c r="B426" s="312"/>
      <c r="C426" s="304"/>
      <c r="D426" s="311"/>
      <c r="E426" s="292"/>
      <c r="F426" s="311"/>
      <c r="G426" s="387"/>
      <c r="H426" s="311"/>
      <c r="I426" s="292"/>
    </row>
    <row r="427" spans="1:9" x14ac:dyDescent="0.2">
      <c r="A427" s="65" t="s">
        <v>601</v>
      </c>
      <c r="B427" s="312">
        <v>485</v>
      </c>
      <c r="C427" s="390">
        <v>503600</v>
      </c>
      <c r="D427" s="311">
        <v>485</v>
      </c>
      <c r="E427" s="371">
        <v>495000</v>
      </c>
      <c r="F427" s="311">
        <v>497</v>
      </c>
      <c r="G427" s="387">
        <f>485000+12000</f>
        <v>497000</v>
      </c>
      <c r="H427" s="311">
        <f t="shared" ref="H427:I427" si="11">B427-D427</f>
        <v>0</v>
      </c>
      <c r="I427" s="371">
        <f t="shared" si="11"/>
        <v>8600</v>
      </c>
    </row>
    <row r="428" spans="1:9" x14ac:dyDescent="0.2">
      <c r="A428" s="291" t="s">
        <v>602</v>
      </c>
      <c r="B428" s="298"/>
      <c r="C428" s="304"/>
      <c r="D428" s="295"/>
      <c r="E428" s="292"/>
      <c r="F428" s="295"/>
      <c r="G428" s="388"/>
      <c r="H428" s="311"/>
      <c r="I428" s="292"/>
    </row>
    <row r="429" spans="1:9" x14ac:dyDescent="0.2">
      <c r="A429" s="291" t="s">
        <v>603</v>
      </c>
      <c r="B429" s="298"/>
      <c r="C429" s="304"/>
      <c r="D429" s="295"/>
      <c r="E429" s="292"/>
      <c r="F429" s="295"/>
      <c r="G429" s="388"/>
      <c r="H429" s="295"/>
      <c r="I429" s="292"/>
    </row>
    <row r="430" spans="1:9" x14ac:dyDescent="0.2">
      <c r="A430" s="291" t="s">
        <v>604</v>
      </c>
      <c r="B430" s="298"/>
      <c r="C430" s="304"/>
      <c r="D430" s="295"/>
      <c r="E430" s="292"/>
      <c r="F430" s="295"/>
      <c r="G430" s="388"/>
      <c r="H430" s="295"/>
      <c r="I430" s="292"/>
    </row>
    <row r="431" spans="1:9" x14ac:dyDescent="0.2">
      <c r="A431" s="291" t="s">
        <v>605</v>
      </c>
      <c r="B431" s="298"/>
      <c r="C431" s="304"/>
      <c r="D431" s="295"/>
      <c r="E431" s="292"/>
      <c r="F431" s="295"/>
      <c r="G431" s="388"/>
      <c r="H431" s="295"/>
      <c r="I431" s="292"/>
    </row>
    <row r="432" spans="1:9" x14ac:dyDescent="0.2">
      <c r="A432" s="291" t="s">
        <v>606</v>
      </c>
      <c r="B432" s="298"/>
      <c r="C432" s="304"/>
      <c r="D432" s="295"/>
      <c r="E432" s="292"/>
      <c r="F432" s="295"/>
      <c r="G432" s="388"/>
      <c r="H432" s="295"/>
      <c r="I432" s="292"/>
    </row>
    <row r="433" spans="1:9" x14ac:dyDescent="0.2">
      <c r="A433" s="291" t="s">
        <v>607</v>
      </c>
      <c r="B433" s="298"/>
      <c r="C433" s="304"/>
      <c r="D433" s="295"/>
      <c r="E433" s="292"/>
      <c r="F433" s="295"/>
      <c r="G433" s="388"/>
      <c r="H433" s="295"/>
      <c r="I433" s="292"/>
    </row>
    <row r="434" spans="1:9" x14ac:dyDescent="0.2">
      <c r="A434" s="291" t="s">
        <v>608</v>
      </c>
      <c r="B434" s="298"/>
      <c r="C434" s="304"/>
      <c r="D434" s="295"/>
      <c r="E434" s="292"/>
      <c r="F434" s="295"/>
      <c r="G434" s="388"/>
      <c r="H434" s="295"/>
      <c r="I434" s="292"/>
    </row>
    <row r="435" spans="1:9" x14ac:dyDescent="0.2">
      <c r="A435" s="291" t="s">
        <v>609</v>
      </c>
      <c r="B435" s="298"/>
      <c r="C435" s="304"/>
      <c r="D435" s="295"/>
      <c r="E435" s="292"/>
      <c r="F435" s="295"/>
      <c r="G435" s="388"/>
      <c r="H435" s="295"/>
      <c r="I435" s="292"/>
    </row>
    <row r="436" spans="1:9" x14ac:dyDescent="0.2">
      <c r="A436" s="291" t="s">
        <v>610</v>
      </c>
      <c r="B436" s="298"/>
      <c r="C436" s="304"/>
      <c r="D436" s="295"/>
      <c r="E436" s="292"/>
      <c r="F436" s="295"/>
      <c r="G436" s="388"/>
      <c r="H436" s="295"/>
      <c r="I436" s="292"/>
    </row>
    <row r="437" spans="1:9" ht="12.75" thickBot="1" x14ac:dyDescent="0.25">
      <c r="A437" s="291" t="s">
        <v>611</v>
      </c>
      <c r="B437" s="298"/>
      <c r="C437" s="304"/>
      <c r="D437" s="295"/>
      <c r="E437" s="292"/>
      <c r="F437" s="295"/>
      <c r="G437" s="388"/>
      <c r="H437" s="305"/>
      <c r="I437" s="377"/>
    </row>
    <row r="438" spans="1:9" ht="12.75" thickBot="1" x14ac:dyDescent="0.25">
      <c r="A438" s="263" t="s">
        <v>612</v>
      </c>
      <c r="B438" s="345">
        <v>485</v>
      </c>
      <c r="C438" s="271">
        <f>SUM(C422:C437)</f>
        <v>24862277</v>
      </c>
      <c r="D438" s="336"/>
      <c r="E438" s="337">
        <f>SUM(E422:E437)</f>
        <v>29053323</v>
      </c>
      <c r="F438" s="336">
        <v>497</v>
      </c>
      <c r="G438" s="337">
        <f>SUM(G422:G437)</f>
        <v>27200614.079999998</v>
      </c>
      <c r="H438" s="364"/>
      <c r="I438" s="378">
        <f>SUM(I422:I437)</f>
        <v>-4191046</v>
      </c>
    </row>
    <row r="440" spans="1:9" ht="12.75" thickBot="1" x14ac:dyDescent="0.25">
      <c r="A440" s="332" t="s">
        <v>552</v>
      </c>
      <c r="B440" s="341"/>
      <c r="C440" s="370"/>
      <c r="D440" s="341"/>
      <c r="E440" s="370"/>
      <c r="F440" s="341"/>
      <c r="G440" s="370"/>
      <c r="H440" s="341"/>
      <c r="I440" s="370"/>
    </row>
    <row r="441" spans="1:9" ht="12.75" thickBot="1" x14ac:dyDescent="0.25">
      <c r="A441" s="321" t="s">
        <v>362</v>
      </c>
      <c r="B441" s="1481" t="s">
        <v>590</v>
      </c>
      <c r="C441" s="1481"/>
      <c r="D441" s="1478" t="s">
        <v>591</v>
      </c>
      <c r="E441" s="1479"/>
      <c r="F441" s="1478" t="s">
        <v>592</v>
      </c>
      <c r="G441" s="1480"/>
      <c r="H441" s="1478" t="s">
        <v>593</v>
      </c>
      <c r="I441" s="1480"/>
    </row>
    <row r="442" spans="1:9" ht="24" x14ac:dyDescent="0.2">
      <c r="A442" s="330" t="s">
        <v>365</v>
      </c>
      <c r="B442" s="323" t="s">
        <v>594</v>
      </c>
      <c r="C442" s="405" t="s">
        <v>595</v>
      </c>
      <c r="D442" s="322" t="s">
        <v>594</v>
      </c>
      <c r="E442" s="368" t="s">
        <v>595</v>
      </c>
      <c r="F442" s="322" t="s">
        <v>594</v>
      </c>
      <c r="G442" s="368" t="s">
        <v>595</v>
      </c>
      <c r="H442" s="322" t="s">
        <v>594</v>
      </c>
      <c r="I442" s="368" t="s">
        <v>595</v>
      </c>
    </row>
    <row r="443" spans="1:9" x14ac:dyDescent="0.2">
      <c r="A443" s="313" t="s">
        <v>596</v>
      </c>
      <c r="B443" s="298">
        <v>180</v>
      </c>
      <c r="C443" s="304">
        <v>5823976.5600000061</v>
      </c>
      <c r="D443" s="298">
        <v>180</v>
      </c>
      <c r="E443" s="304">
        <v>5823976.5600000061</v>
      </c>
      <c r="F443" s="298">
        <v>180</v>
      </c>
      <c r="G443" s="304">
        <v>5823976.5600000061</v>
      </c>
      <c r="H443" s="295"/>
      <c r="I443" s="292"/>
    </row>
    <row r="444" spans="1:9" x14ac:dyDescent="0.2">
      <c r="A444" s="313" t="s">
        <v>597</v>
      </c>
      <c r="B444" s="298">
        <v>180</v>
      </c>
      <c r="C444" s="304">
        <v>2501448</v>
      </c>
      <c r="D444" s="298">
        <v>180</v>
      </c>
      <c r="E444" s="304">
        <v>2501448</v>
      </c>
      <c r="F444" s="298">
        <v>180</v>
      </c>
      <c r="G444" s="304">
        <v>2501448</v>
      </c>
      <c r="H444" s="295"/>
      <c r="I444" s="292"/>
    </row>
    <row r="445" spans="1:9" x14ac:dyDescent="0.2">
      <c r="A445" s="313" t="s">
        <v>598</v>
      </c>
      <c r="B445" s="298"/>
      <c r="C445" s="304"/>
      <c r="D445" s="298"/>
      <c r="E445" s="304"/>
      <c r="F445" s="298"/>
      <c r="G445" s="304"/>
      <c r="H445" s="295"/>
      <c r="I445" s="292"/>
    </row>
    <row r="446" spans="1:9" x14ac:dyDescent="0.2">
      <c r="A446" s="314" t="s">
        <v>599</v>
      </c>
      <c r="B446" s="298"/>
      <c r="C446" s="304"/>
      <c r="D446" s="298"/>
      <c r="E446" s="304"/>
      <c r="F446" s="298"/>
      <c r="G446" s="304"/>
      <c r="H446" s="295"/>
      <c r="I446" s="292"/>
    </row>
    <row r="447" spans="1:9" x14ac:dyDescent="0.2">
      <c r="A447" s="313" t="s">
        <v>600</v>
      </c>
      <c r="B447" s="298"/>
      <c r="C447" s="304"/>
      <c r="D447" s="298"/>
      <c r="E447" s="304"/>
      <c r="F447" s="298"/>
      <c r="G447" s="304"/>
      <c r="H447" s="295"/>
      <c r="I447" s="292"/>
    </row>
    <row r="448" spans="1:9" x14ac:dyDescent="0.2">
      <c r="A448" s="314" t="s">
        <v>601</v>
      </c>
      <c r="B448" s="298">
        <v>180</v>
      </c>
      <c r="C448" s="304">
        <v>2160000</v>
      </c>
      <c r="D448" s="298">
        <v>180</v>
      </c>
      <c r="E448" s="304">
        <v>2160000</v>
      </c>
      <c r="F448" s="298">
        <v>180</v>
      </c>
      <c r="G448" s="304">
        <v>2160000</v>
      </c>
      <c r="H448" s="295"/>
      <c r="I448" s="292"/>
    </row>
    <row r="449" spans="1:9" x14ac:dyDescent="0.2">
      <c r="A449" s="313" t="s">
        <v>602</v>
      </c>
      <c r="B449" s="298"/>
      <c r="C449" s="304"/>
      <c r="D449" s="298"/>
      <c r="E449" s="304"/>
      <c r="F449" s="298"/>
      <c r="G449" s="304"/>
      <c r="H449" s="295"/>
      <c r="I449" s="292"/>
    </row>
    <row r="450" spans="1:9" x14ac:dyDescent="0.2">
      <c r="A450" s="313" t="s">
        <v>603</v>
      </c>
      <c r="B450" s="298"/>
      <c r="C450" s="304"/>
      <c r="D450" s="298"/>
      <c r="E450" s="304"/>
      <c r="F450" s="298"/>
      <c r="G450" s="304"/>
      <c r="H450" s="295"/>
      <c r="I450" s="292"/>
    </row>
    <row r="451" spans="1:9" x14ac:dyDescent="0.2">
      <c r="A451" s="313" t="s">
        <v>604</v>
      </c>
      <c r="B451" s="298"/>
      <c r="C451" s="304"/>
      <c r="D451" s="298"/>
      <c r="E451" s="304"/>
      <c r="F451" s="298"/>
      <c r="G451" s="304"/>
      <c r="H451" s="295"/>
      <c r="I451" s="292"/>
    </row>
    <row r="452" spans="1:9" x14ac:dyDescent="0.2">
      <c r="A452" s="313" t="s">
        <v>605</v>
      </c>
      <c r="B452" s="298">
        <v>180</v>
      </c>
      <c r="C452" s="304">
        <v>347251.31999999989</v>
      </c>
      <c r="D452" s="298">
        <v>180</v>
      </c>
      <c r="E452" s="304">
        <v>347251.31999999989</v>
      </c>
      <c r="F452" s="298">
        <v>180</v>
      </c>
      <c r="G452" s="304">
        <v>347251.31999999989</v>
      </c>
      <c r="H452" s="295"/>
      <c r="I452" s="292"/>
    </row>
    <row r="453" spans="1:9" x14ac:dyDescent="0.2">
      <c r="A453" s="313" t="s">
        <v>606</v>
      </c>
      <c r="B453" s="298"/>
      <c r="C453" s="304"/>
      <c r="D453" s="298"/>
      <c r="E453" s="304"/>
      <c r="F453" s="298"/>
      <c r="G453" s="304"/>
      <c r="H453" s="295"/>
      <c r="I453" s="292"/>
    </row>
    <row r="454" spans="1:9" x14ac:dyDescent="0.2">
      <c r="A454" s="313" t="s">
        <v>607</v>
      </c>
      <c r="B454" s="298"/>
      <c r="C454" s="304"/>
      <c r="D454" s="298"/>
      <c r="E454" s="304"/>
      <c r="F454" s="298"/>
      <c r="G454" s="304"/>
      <c r="H454" s="295"/>
      <c r="I454" s="292"/>
    </row>
    <row r="455" spans="1:9" x14ac:dyDescent="0.2">
      <c r="A455" s="313" t="s">
        <v>608</v>
      </c>
      <c r="B455" s="298"/>
      <c r="C455" s="304"/>
      <c r="D455" s="298"/>
      <c r="E455" s="304"/>
      <c r="F455" s="298"/>
      <c r="G455" s="304"/>
      <c r="H455" s="295"/>
      <c r="I455" s="292"/>
    </row>
    <row r="456" spans="1:9" x14ac:dyDescent="0.2">
      <c r="A456" s="313" t="s">
        <v>609</v>
      </c>
      <c r="B456" s="298">
        <v>8</v>
      </c>
      <c r="C456" s="304">
        <v>367495.92</v>
      </c>
      <c r="D456" s="298">
        <v>8</v>
      </c>
      <c r="E456" s="304">
        <v>367495.92</v>
      </c>
      <c r="F456" s="298">
        <v>8</v>
      </c>
      <c r="G456" s="304">
        <v>367495.92</v>
      </c>
      <c r="H456" s="295"/>
      <c r="I456" s="292"/>
    </row>
    <row r="457" spans="1:9" x14ac:dyDescent="0.2">
      <c r="A457" s="313" t="s">
        <v>610</v>
      </c>
      <c r="B457" s="298">
        <v>8</v>
      </c>
      <c r="C457" s="304">
        <v>38400</v>
      </c>
      <c r="D457" s="298">
        <v>8</v>
      </c>
      <c r="E457" s="304">
        <v>38400</v>
      </c>
      <c r="F457" s="298">
        <v>8</v>
      </c>
      <c r="G457" s="304">
        <v>38400</v>
      </c>
      <c r="H457" s="295"/>
      <c r="I457" s="292"/>
    </row>
    <row r="458" spans="1:9" ht="12.75" thickBot="1" x14ac:dyDescent="0.25">
      <c r="A458" s="313" t="s">
        <v>611</v>
      </c>
      <c r="B458" s="298"/>
      <c r="C458" s="304"/>
      <c r="D458" s="295"/>
      <c r="E458" s="292"/>
      <c r="F458" s="295"/>
      <c r="G458" s="292"/>
      <c r="H458" s="295"/>
      <c r="I458" s="292"/>
    </row>
    <row r="459" spans="1:9" ht="12.75" thickBot="1" x14ac:dyDescent="0.25">
      <c r="A459" s="336" t="s">
        <v>612</v>
      </c>
      <c r="B459" s="345">
        <v>180</v>
      </c>
      <c r="C459" s="271">
        <f>SUM(C443:C458)</f>
        <v>11238571.800000006</v>
      </c>
      <c r="D459" s="336"/>
      <c r="E459" s="337">
        <f>SUM(E443:E458)</f>
        <v>11238571.800000006</v>
      </c>
      <c r="F459" s="336"/>
      <c r="G459" s="337">
        <f>SUM(G443:G458)</f>
        <v>11238571.800000006</v>
      </c>
      <c r="H459" s="336"/>
      <c r="I459" s="337"/>
    </row>
    <row r="462" spans="1:9" ht="12.75" thickBot="1" x14ac:dyDescent="0.25">
      <c r="A462" s="332" t="s">
        <v>636</v>
      </c>
      <c r="B462" s="341"/>
      <c r="C462" s="370"/>
      <c r="D462" s="341"/>
      <c r="E462" s="370"/>
      <c r="F462" s="341"/>
      <c r="G462" s="370"/>
      <c r="H462" s="341"/>
      <c r="I462" s="370"/>
    </row>
    <row r="463" spans="1:9" ht="12.75" thickBot="1" x14ac:dyDescent="0.25">
      <c r="A463" s="321" t="s">
        <v>362</v>
      </c>
      <c r="B463" s="1481" t="s">
        <v>590</v>
      </c>
      <c r="C463" s="1481"/>
      <c r="D463" s="1478" t="s">
        <v>591</v>
      </c>
      <c r="E463" s="1479"/>
      <c r="F463" s="1478" t="s">
        <v>592</v>
      </c>
      <c r="G463" s="1480"/>
      <c r="H463" s="1478" t="s">
        <v>593</v>
      </c>
      <c r="I463" s="1480"/>
    </row>
    <row r="464" spans="1:9" ht="24" x14ac:dyDescent="0.2">
      <c r="A464" s="322" t="s">
        <v>365</v>
      </c>
      <c r="B464" s="323" t="s">
        <v>594</v>
      </c>
      <c r="C464" s="326" t="s">
        <v>595</v>
      </c>
      <c r="D464" s="322" t="s">
        <v>594</v>
      </c>
      <c r="E464" s="368" t="s">
        <v>595</v>
      </c>
      <c r="F464" s="322" t="s">
        <v>594</v>
      </c>
      <c r="G464" s="368" t="s">
        <v>595</v>
      </c>
      <c r="H464" s="322" t="s">
        <v>594</v>
      </c>
      <c r="I464" s="368" t="s">
        <v>595</v>
      </c>
    </row>
    <row r="465" spans="1:9" x14ac:dyDescent="0.2">
      <c r="A465" s="315" t="s">
        <v>596</v>
      </c>
      <c r="B465" s="348">
        <v>126</v>
      </c>
      <c r="C465" s="316">
        <v>5985456</v>
      </c>
      <c r="D465" s="348">
        <v>129</v>
      </c>
      <c r="E465" s="316">
        <v>6212385</v>
      </c>
      <c r="F465" s="348">
        <v>129</v>
      </c>
      <c r="G465" s="316">
        <v>6212385</v>
      </c>
      <c r="H465" s="365">
        <f>+B465-F465</f>
        <v>-3</v>
      </c>
      <c r="I465" s="316">
        <f>+C465-E465</f>
        <v>-226929</v>
      </c>
    </row>
    <row r="466" spans="1:9" x14ac:dyDescent="0.2">
      <c r="A466" s="315" t="s">
        <v>597</v>
      </c>
      <c r="B466" s="348">
        <v>0</v>
      </c>
      <c r="C466" s="316">
        <v>0</v>
      </c>
      <c r="D466" s="348">
        <v>0</v>
      </c>
      <c r="E466" s="316">
        <v>0</v>
      </c>
      <c r="F466" s="348">
        <v>0</v>
      </c>
      <c r="G466" s="316">
        <v>0</v>
      </c>
      <c r="H466" s="365">
        <f t="shared" ref="H466:H483" si="12">+B466-F466</f>
        <v>0</v>
      </c>
      <c r="I466" s="316">
        <f t="shared" ref="I466:I482" si="13">+C466-E466</f>
        <v>0</v>
      </c>
    </row>
    <row r="467" spans="1:9" x14ac:dyDescent="0.2">
      <c r="A467" s="315" t="s">
        <v>598</v>
      </c>
      <c r="B467" s="348">
        <v>0</v>
      </c>
      <c r="C467" s="316">
        <v>0</v>
      </c>
      <c r="D467" s="348">
        <v>0</v>
      </c>
      <c r="E467" s="316">
        <v>0</v>
      </c>
      <c r="F467" s="348">
        <v>0</v>
      </c>
      <c r="G467" s="316">
        <v>0</v>
      </c>
      <c r="H467" s="365">
        <f t="shared" si="12"/>
        <v>0</v>
      </c>
      <c r="I467" s="316">
        <f t="shared" si="13"/>
        <v>0</v>
      </c>
    </row>
    <row r="468" spans="1:9" x14ac:dyDescent="0.2">
      <c r="A468" s="317" t="s">
        <v>599</v>
      </c>
      <c r="B468" s="348">
        <v>0</v>
      </c>
      <c r="C468" s="316">
        <v>0</v>
      </c>
      <c r="D468" s="348">
        <v>0</v>
      </c>
      <c r="E468" s="316">
        <v>0</v>
      </c>
      <c r="F468" s="348">
        <v>0</v>
      </c>
      <c r="G468" s="316">
        <v>0</v>
      </c>
      <c r="H468" s="365">
        <f t="shared" si="12"/>
        <v>0</v>
      </c>
      <c r="I468" s="316">
        <f t="shared" si="13"/>
        <v>0</v>
      </c>
    </row>
    <row r="469" spans="1:9" x14ac:dyDescent="0.2">
      <c r="A469" s="315" t="s">
        <v>600</v>
      </c>
      <c r="B469" s="348">
        <v>0</v>
      </c>
      <c r="C469" s="316">
        <v>0</v>
      </c>
      <c r="D469" s="348">
        <v>0</v>
      </c>
      <c r="E469" s="316">
        <v>0</v>
      </c>
      <c r="F469" s="348">
        <v>0</v>
      </c>
      <c r="G469" s="316">
        <v>0</v>
      </c>
      <c r="H469" s="365">
        <f t="shared" si="12"/>
        <v>0</v>
      </c>
      <c r="I469" s="316">
        <f t="shared" si="13"/>
        <v>0</v>
      </c>
    </row>
    <row r="470" spans="1:9" ht="24" x14ac:dyDescent="0.2">
      <c r="A470" s="318" t="s">
        <v>637</v>
      </c>
      <c r="B470" s="349" t="s">
        <v>638</v>
      </c>
      <c r="C470" s="319">
        <v>301080</v>
      </c>
      <c r="D470" s="357" t="s">
        <v>639</v>
      </c>
      <c r="E470" s="319">
        <v>364490</v>
      </c>
      <c r="F470" s="357" t="s">
        <v>639</v>
      </c>
      <c r="G470" s="319">
        <v>364490</v>
      </c>
      <c r="H470" s="365">
        <f t="shared" si="12"/>
        <v>-1</v>
      </c>
      <c r="I470" s="316">
        <f t="shared" si="13"/>
        <v>-63410</v>
      </c>
    </row>
    <row r="471" spans="1:9" ht="24" x14ac:dyDescent="0.2">
      <c r="A471" s="318" t="s">
        <v>640</v>
      </c>
      <c r="B471" s="350">
        <v>17</v>
      </c>
      <c r="C471" s="316">
        <v>897299</v>
      </c>
      <c r="D471" s="348">
        <v>19</v>
      </c>
      <c r="E471" s="316">
        <v>685465</v>
      </c>
      <c r="F471" s="348">
        <v>19</v>
      </c>
      <c r="G471" s="316">
        <v>685465</v>
      </c>
      <c r="H471" s="365">
        <f t="shared" si="12"/>
        <v>-2</v>
      </c>
      <c r="I471" s="316">
        <f t="shared" si="13"/>
        <v>211834</v>
      </c>
    </row>
    <row r="472" spans="1:9" x14ac:dyDescent="0.2">
      <c r="A472" s="320" t="s">
        <v>601</v>
      </c>
      <c r="B472" s="350">
        <v>126</v>
      </c>
      <c r="C472" s="316">
        <f>50400+75600</f>
        <v>126000</v>
      </c>
      <c r="D472" s="348">
        <v>129</v>
      </c>
      <c r="E472" s="316">
        <f>75600+50400</f>
        <v>126000</v>
      </c>
      <c r="F472" s="348">
        <v>129</v>
      </c>
      <c r="G472" s="316">
        <v>129000</v>
      </c>
      <c r="H472" s="365">
        <f t="shared" si="12"/>
        <v>-3</v>
      </c>
      <c r="I472" s="316">
        <f t="shared" si="13"/>
        <v>0</v>
      </c>
    </row>
    <row r="473" spans="1:9" x14ac:dyDescent="0.2">
      <c r="A473" s="315" t="s">
        <v>602</v>
      </c>
      <c r="B473" s="348">
        <v>0</v>
      </c>
      <c r="C473" s="316">
        <v>0</v>
      </c>
      <c r="D473" s="348">
        <v>0</v>
      </c>
      <c r="E473" s="316">
        <v>0</v>
      </c>
      <c r="F473" s="348">
        <v>0</v>
      </c>
      <c r="G473" s="316">
        <v>0</v>
      </c>
      <c r="H473" s="365">
        <f t="shared" si="12"/>
        <v>0</v>
      </c>
      <c r="I473" s="316">
        <f t="shared" si="13"/>
        <v>0</v>
      </c>
    </row>
    <row r="474" spans="1:9" x14ac:dyDescent="0.2">
      <c r="A474" s="315" t="s">
        <v>603</v>
      </c>
      <c r="B474" s="348">
        <v>0</v>
      </c>
      <c r="C474" s="316">
        <v>0</v>
      </c>
      <c r="D474" s="348">
        <v>0</v>
      </c>
      <c r="E474" s="316">
        <v>0</v>
      </c>
      <c r="F474" s="348">
        <v>0</v>
      </c>
      <c r="G474" s="316">
        <v>0</v>
      </c>
      <c r="H474" s="365">
        <f t="shared" si="12"/>
        <v>0</v>
      </c>
      <c r="I474" s="316">
        <f t="shared" si="13"/>
        <v>0</v>
      </c>
    </row>
    <row r="475" spans="1:9" x14ac:dyDescent="0.2">
      <c r="A475" s="315" t="s">
        <v>604</v>
      </c>
      <c r="B475" s="348">
        <v>0</v>
      </c>
      <c r="C475" s="316">
        <v>0</v>
      </c>
      <c r="D475" s="348">
        <v>0</v>
      </c>
      <c r="E475" s="316">
        <v>0</v>
      </c>
      <c r="F475" s="348">
        <v>0</v>
      </c>
      <c r="G475" s="316">
        <v>0</v>
      </c>
      <c r="H475" s="365">
        <f t="shared" si="12"/>
        <v>0</v>
      </c>
      <c r="I475" s="316">
        <f t="shared" si="13"/>
        <v>0</v>
      </c>
    </row>
    <row r="476" spans="1:9" x14ac:dyDescent="0.2">
      <c r="A476" s="315" t="s">
        <v>605</v>
      </c>
      <c r="B476" s="348">
        <v>126</v>
      </c>
      <c r="C476" s="316">
        <f>208513+6739</f>
        <v>215252</v>
      </c>
      <c r="D476" s="348">
        <v>129</v>
      </c>
      <c r="E476" s="316">
        <f>208513+6739</f>
        <v>215252</v>
      </c>
      <c r="F476" s="348">
        <v>129</v>
      </c>
      <c r="G476" s="316">
        <f>208513+6739+46212</f>
        <v>261464</v>
      </c>
      <c r="H476" s="365">
        <f t="shared" si="12"/>
        <v>-3</v>
      </c>
      <c r="I476" s="316">
        <f t="shared" si="13"/>
        <v>0</v>
      </c>
    </row>
    <row r="477" spans="1:9" x14ac:dyDescent="0.2">
      <c r="A477" s="315" t="s">
        <v>606</v>
      </c>
      <c r="B477" s="348">
        <v>0</v>
      </c>
      <c r="C477" s="316">
        <v>0</v>
      </c>
      <c r="D477" s="348">
        <v>0</v>
      </c>
      <c r="E477" s="316">
        <v>0</v>
      </c>
      <c r="F477" s="348">
        <v>0</v>
      </c>
      <c r="G477" s="316">
        <v>0</v>
      </c>
      <c r="H477" s="365">
        <f t="shared" si="12"/>
        <v>0</v>
      </c>
      <c r="I477" s="316">
        <f t="shared" si="13"/>
        <v>0</v>
      </c>
    </row>
    <row r="478" spans="1:9" x14ac:dyDescent="0.2">
      <c r="A478" s="315" t="s">
        <v>607</v>
      </c>
      <c r="B478" s="348">
        <v>9</v>
      </c>
      <c r="C478" s="316">
        <v>9000</v>
      </c>
      <c r="D478" s="348">
        <v>9</v>
      </c>
      <c r="E478" s="316">
        <v>9000</v>
      </c>
      <c r="F478" s="348">
        <v>9</v>
      </c>
      <c r="G478" s="316">
        <v>9000</v>
      </c>
      <c r="H478" s="365">
        <f t="shared" si="12"/>
        <v>0</v>
      </c>
      <c r="I478" s="316">
        <f t="shared" si="13"/>
        <v>0</v>
      </c>
    </row>
    <row r="479" spans="1:9" x14ac:dyDescent="0.2">
      <c r="A479" s="315" t="s">
        <v>608</v>
      </c>
      <c r="B479" s="348">
        <v>0</v>
      </c>
      <c r="C479" s="316">
        <v>0</v>
      </c>
      <c r="D479" s="348">
        <v>0</v>
      </c>
      <c r="E479" s="316">
        <v>0</v>
      </c>
      <c r="F479" s="348">
        <v>0</v>
      </c>
      <c r="G479" s="316">
        <v>0</v>
      </c>
      <c r="H479" s="365">
        <f t="shared" si="12"/>
        <v>0</v>
      </c>
      <c r="I479" s="316">
        <f t="shared" si="13"/>
        <v>0</v>
      </c>
    </row>
    <row r="480" spans="1:9" x14ac:dyDescent="0.2">
      <c r="A480" s="315" t="s">
        <v>609</v>
      </c>
      <c r="B480" s="348">
        <v>9</v>
      </c>
      <c r="C480" s="316">
        <f>199920+4800</f>
        <v>204720</v>
      </c>
      <c r="D480" s="348">
        <v>9</v>
      </c>
      <c r="E480" s="316">
        <f>199920+4800</f>
        <v>204720</v>
      </c>
      <c r="F480" s="348">
        <v>9</v>
      </c>
      <c r="G480" s="316">
        <f>199920+4800</f>
        <v>204720</v>
      </c>
      <c r="H480" s="365">
        <f t="shared" si="12"/>
        <v>0</v>
      </c>
      <c r="I480" s="316">
        <f t="shared" si="13"/>
        <v>0</v>
      </c>
    </row>
    <row r="481" spans="1:9" x14ac:dyDescent="0.2">
      <c r="A481" s="315" t="s">
        <v>610</v>
      </c>
      <c r="B481" s="348">
        <v>9</v>
      </c>
      <c r="C481" s="316">
        <v>11004</v>
      </c>
      <c r="D481" s="348">
        <v>9</v>
      </c>
      <c r="E481" s="316">
        <v>11004</v>
      </c>
      <c r="F481" s="348">
        <v>9</v>
      </c>
      <c r="G481" s="316">
        <v>11004</v>
      </c>
      <c r="H481" s="365">
        <f t="shared" si="12"/>
        <v>0</v>
      </c>
      <c r="I481" s="316">
        <f t="shared" si="13"/>
        <v>0</v>
      </c>
    </row>
    <row r="482" spans="1:9" ht="12.75" thickBot="1" x14ac:dyDescent="0.25">
      <c r="A482" s="315" t="s">
        <v>611</v>
      </c>
      <c r="B482" s="348">
        <v>126</v>
      </c>
      <c r="C482" s="316">
        <f>8532+10000</f>
        <v>18532</v>
      </c>
      <c r="D482" s="348">
        <v>129</v>
      </c>
      <c r="E482" s="316">
        <f>8532+10000</f>
        <v>18532</v>
      </c>
      <c r="F482" s="348">
        <v>129</v>
      </c>
      <c r="G482" s="316">
        <f>8532+10000</f>
        <v>18532</v>
      </c>
      <c r="H482" s="365">
        <f t="shared" si="12"/>
        <v>-3</v>
      </c>
      <c r="I482" s="316">
        <f t="shared" si="13"/>
        <v>0</v>
      </c>
    </row>
    <row r="483" spans="1:9" ht="12.75" thickBot="1" x14ac:dyDescent="0.25">
      <c r="A483" s="263" t="s">
        <v>612</v>
      </c>
      <c r="B483" s="351">
        <v>126</v>
      </c>
      <c r="C483" s="271">
        <f>SUM(C465:C482)</f>
        <v>7768343</v>
      </c>
      <c r="D483" s="336">
        <v>129</v>
      </c>
      <c r="E483" s="271">
        <f>SUM(E465:E482)</f>
        <v>7846848</v>
      </c>
      <c r="F483" s="336">
        <v>129</v>
      </c>
      <c r="G483" s="271">
        <f>SUM(G465:G482)</f>
        <v>7896060</v>
      </c>
      <c r="H483" s="366">
        <f t="shared" si="12"/>
        <v>-3</v>
      </c>
      <c r="I483" s="271">
        <f>SUM(I465:I482)</f>
        <v>-78505</v>
      </c>
    </row>
    <row r="484" spans="1:9" s="335" customFormat="1" ht="32.25" customHeight="1" thickBot="1" x14ac:dyDescent="0.25">
      <c r="A484" s="334" t="s">
        <v>584</v>
      </c>
      <c r="B484" s="352">
        <f t="shared" ref="B484:I484" si="14">B23+B45+B71+B93+B114+B136+B157+B179+B201+B223+B244+B266+B288+B309+B330+B353+B374+B396+B417+B438+B459+B483</f>
        <v>5313</v>
      </c>
      <c r="C484" s="379">
        <f t="shared" si="14"/>
        <v>223366356.80000001</v>
      </c>
      <c r="D484" s="352">
        <f t="shared" si="14"/>
        <v>5096</v>
      </c>
      <c r="E484" s="379">
        <f t="shared" si="14"/>
        <v>210433976.04000002</v>
      </c>
      <c r="F484" s="352">
        <f t="shared" si="14"/>
        <v>4142</v>
      </c>
      <c r="G484" s="379">
        <f t="shared" si="14"/>
        <v>243969872.52200001</v>
      </c>
      <c r="H484" s="352">
        <f t="shared" si="14"/>
        <v>22</v>
      </c>
      <c r="I484" s="379">
        <f t="shared" si="14"/>
        <v>8075995.2400000021</v>
      </c>
    </row>
    <row r="486" spans="1:9" x14ac:dyDescent="0.2">
      <c r="A486" s="1" t="s">
        <v>633</v>
      </c>
      <c r="B486" s="91"/>
      <c r="C486" s="306"/>
      <c r="D486" s="91"/>
      <c r="E486" s="306"/>
      <c r="F486" s="91"/>
    </row>
    <row r="487" spans="1:9" x14ac:dyDescent="0.2">
      <c r="A487" s="1" t="s">
        <v>641</v>
      </c>
      <c r="B487" s="91"/>
      <c r="C487" s="306"/>
      <c r="D487" s="91"/>
      <c r="E487" s="306"/>
      <c r="F487" s="91"/>
    </row>
    <row r="700" spans="1:6" x14ac:dyDescent="0.2">
      <c r="A700" s="1"/>
      <c r="B700" s="91"/>
      <c r="C700" s="306"/>
      <c r="D700" s="91"/>
      <c r="E700" s="306"/>
      <c r="F700" s="91"/>
    </row>
  </sheetData>
  <sortState xmlns:xlrd2="http://schemas.microsoft.com/office/spreadsheetml/2017/richdata2" ref="A8:A23">
    <sortCondition ref="A8:A23"/>
  </sortState>
  <mergeCells count="91">
    <mergeCell ref="B399:C399"/>
    <mergeCell ref="D399:E399"/>
    <mergeCell ref="F399:G399"/>
    <mergeCell ref="H399:I399"/>
    <mergeCell ref="B463:C463"/>
    <mergeCell ref="D463:E463"/>
    <mergeCell ref="F463:G463"/>
    <mergeCell ref="H463:I463"/>
    <mergeCell ref="B420:C420"/>
    <mergeCell ref="D420:E420"/>
    <mergeCell ref="F420:G420"/>
    <mergeCell ref="H420:I420"/>
    <mergeCell ref="B441:C441"/>
    <mergeCell ref="D441:E441"/>
    <mergeCell ref="F441:G441"/>
    <mergeCell ref="H441:I441"/>
    <mergeCell ref="B356:C356"/>
    <mergeCell ref="D356:E356"/>
    <mergeCell ref="F356:G356"/>
    <mergeCell ref="H356:I356"/>
    <mergeCell ref="H378:I378"/>
    <mergeCell ref="B378:C378"/>
    <mergeCell ref="D378:E378"/>
    <mergeCell ref="F378:G378"/>
    <mergeCell ref="B312:C312"/>
    <mergeCell ref="D312:E312"/>
    <mergeCell ref="F312:G312"/>
    <mergeCell ref="H312:I312"/>
    <mergeCell ref="B334:C334"/>
    <mergeCell ref="D334:E334"/>
    <mergeCell ref="F334:G334"/>
    <mergeCell ref="H334:I334"/>
    <mergeCell ref="B270:C270"/>
    <mergeCell ref="D270:E270"/>
    <mergeCell ref="F270:G270"/>
    <mergeCell ref="H270:I270"/>
    <mergeCell ref="B291:C291"/>
    <mergeCell ref="D291:E291"/>
    <mergeCell ref="F291:G291"/>
    <mergeCell ref="H291:I291"/>
    <mergeCell ref="B226:C226"/>
    <mergeCell ref="D226:E226"/>
    <mergeCell ref="F226:G226"/>
    <mergeCell ref="H226:I226"/>
    <mergeCell ref="B247:C247"/>
    <mergeCell ref="D247:E247"/>
    <mergeCell ref="F247:G247"/>
    <mergeCell ref="H247:I247"/>
    <mergeCell ref="B182:C182"/>
    <mergeCell ref="D182:E182"/>
    <mergeCell ref="F182:G182"/>
    <mergeCell ref="H182:I182"/>
    <mergeCell ref="B204:C204"/>
    <mergeCell ref="D204:E204"/>
    <mergeCell ref="F204:G204"/>
    <mergeCell ref="H204:I204"/>
    <mergeCell ref="B139:C139"/>
    <mergeCell ref="D139:E139"/>
    <mergeCell ref="F139:G139"/>
    <mergeCell ref="H139:I139"/>
    <mergeCell ref="B161:C161"/>
    <mergeCell ref="D161:E161"/>
    <mergeCell ref="F161:G161"/>
    <mergeCell ref="H161:I161"/>
    <mergeCell ref="B96:C96"/>
    <mergeCell ref="D96:E96"/>
    <mergeCell ref="F96:G96"/>
    <mergeCell ref="H96:I96"/>
    <mergeCell ref="B118:C118"/>
    <mergeCell ref="D118:E118"/>
    <mergeCell ref="F118:G118"/>
    <mergeCell ref="H118:I118"/>
    <mergeCell ref="B48:C48"/>
    <mergeCell ref="D48:E48"/>
    <mergeCell ref="F48:G48"/>
    <mergeCell ref="H48:I48"/>
    <mergeCell ref="B75:C75"/>
    <mergeCell ref="D75:E75"/>
    <mergeCell ref="F75:G75"/>
    <mergeCell ref="H75:I75"/>
    <mergeCell ref="A26:C26"/>
    <mergeCell ref="B27:C27"/>
    <mergeCell ref="D27:E27"/>
    <mergeCell ref="F27:G27"/>
    <mergeCell ref="H27:I27"/>
    <mergeCell ref="A1:I1"/>
    <mergeCell ref="B5:C5"/>
    <mergeCell ref="D5:E5"/>
    <mergeCell ref="F5:G5"/>
    <mergeCell ref="H5:I5"/>
    <mergeCell ref="A2:D2"/>
  </mergeCells>
  <phoneticPr fontId="0" type="noConversion"/>
  <printOptions horizontalCentered="1"/>
  <pageMargins left="0.23622047244094491" right="0.23622047244094491" top="0.74803149606299213" bottom="0.74803149606299213" header="0.31496062992125984" footer="0.31496062992125984"/>
  <pageSetup paperSize="9" scale="80"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9" tint="-0.249977111117893"/>
  </sheetPr>
  <dimension ref="A1:AI1573"/>
  <sheetViews>
    <sheetView topLeftCell="A1511" zoomScaleNormal="100" zoomScaleSheetLayoutView="80" zoomScalePageLayoutView="85" workbookViewId="0">
      <selection activeCell="K1544" sqref="K1544"/>
    </sheetView>
  </sheetViews>
  <sheetFormatPr baseColWidth="10" defaultColWidth="11.42578125" defaultRowHeight="12" x14ac:dyDescent="0.2"/>
  <cols>
    <col min="1" max="1" width="26.5703125" style="852" customWidth="1"/>
    <col min="2" max="2" width="7.7109375" style="18" customWidth="1"/>
    <col min="3" max="3" width="15.42578125" style="750" customWidth="1"/>
    <col min="4" max="4" width="12.42578125" style="750" customWidth="1"/>
    <col min="5" max="7" width="11.85546875" style="750" customWidth="1"/>
    <col min="8" max="8" width="10.42578125" style="750" customWidth="1"/>
    <col min="9" max="9" width="11.85546875" style="750" customWidth="1"/>
    <col min="10" max="10" width="13.5703125" style="750" customWidth="1"/>
    <col min="11" max="12" width="15.5703125" style="750" customWidth="1"/>
    <col min="13" max="13" width="14.42578125" style="750" customWidth="1"/>
    <col min="14" max="14" width="15.5703125" style="750" customWidth="1"/>
    <col min="15" max="15" width="17.7109375" style="750" customWidth="1"/>
    <col min="16" max="16" width="18.85546875" style="750" customWidth="1"/>
    <col min="17" max="17" width="13.42578125" style="17" customWidth="1"/>
    <col min="18" max="18" width="15.5703125" style="750" customWidth="1"/>
    <col min="19" max="21" width="12.7109375" style="750" customWidth="1"/>
    <col min="22" max="22" width="10.5703125" style="750" customWidth="1"/>
    <col min="23" max="23" width="7.5703125" style="750" customWidth="1"/>
    <col min="24" max="29" width="15.5703125" style="750" customWidth="1"/>
    <col min="30" max="32" width="17.42578125" style="750" customWidth="1"/>
    <col min="33" max="33" width="17.42578125" style="18" customWidth="1"/>
    <col min="34" max="34" width="13.42578125" style="18" customWidth="1"/>
    <col min="35" max="35" width="18.5703125" style="750" customWidth="1"/>
    <col min="36" max="36" width="5.7109375" style="17" customWidth="1"/>
    <col min="37" max="16384" width="11.42578125" style="17"/>
  </cols>
  <sheetData>
    <row r="1" spans="1:35" s="726" customFormat="1" ht="18" x14ac:dyDescent="0.25">
      <c r="A1" s="1484" t="s">
        <v>642</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c r="Y1" s="1484"/>
      <c r="Z1" s="1484"/>
      <c r="AA1" s="1484"/>
      <c r="AB1" s="1484"/>
      <c r="AC1" s="1484"/>
      <c r="AD1" s="1484"/>
      <c r="AE1" s="1484"/>
      <c r="AF1" s="1484"/>
      <c r="AG1" s="1484"/>
      <c r="AH1" s="1484"/>
      <c r="AI1" s="1484"/>
    </row>
    <row r="2" spans="1:35" s="726" customFormat="1" x14ac:dyDescent="0.2">
      <c r="A2" s="1443" t="s">
        <v>43</v>
      </c>
      <c r="B2" s="1443"/>
      <c r="C2" s="1443"/>
      <c r="D2" s="1443"/>
      <c r="E2" s="727"/>
      <c r="F2" s="727"/>
      <c r="G2" s="727"/>
      <c r="H2" s="727"/>
      <c r="I2" s="727"/>
      <c r="J2" s="727"/>
      <c r="K2" s="727"/>
      <c r="L2" s="727"/>
      <c r="M2" s="727"/>
      <c r="N2" s="727"/>
      <c r="O2" s="727"/>
      <c r="P2" s="727"/>
      <c r="Q2" s="702"/>
      <c r="R2" s="727"/>
      <c r="S2" s="727"/>
      <c r="T2" s="727"/>
      <c r="U2" s="727"/>
      <c r="V2" s="727"/>
      <c r="W2" s="727"/>
      <c r="X2" s="727"/>
      <c r="Y2" s="727"/>
      <c r="Z2" s="727"/>
      <c r="AA2" s="727"/>
      <c r="AB2" s="727"/>
      <c r="AC2" s="727"/>
      <c r="AD2" s="727"/>
      <c r="AE2" s="728"/>
      <c r="AF2" s="728"/>
      <c r="AG2" s="729"/>
      <c r="AH2" s="729"/>
      <c r="AI2" s="728"/>
    </row>
    <row r="3" spans="1:35" s="726" customFormat="1" x14ac:dyDescent="0.2">
      <c r="A3" s="850"/>
      <c r="B3" s="730"/>
      <c r="C3" s="727"/>
      <c r="D3" s="727"/>
      <c r="E3" s="727"/>
      <c r="F3" s="727"/>
      <c r="G3" s="727"/>
      <c r="H3" s="727"/>
      <c r="I3" s="727"/>
      <c r="J3" s="727"/>
      <c r="K3" s="727"/>
      <c r="L3" s="727"/>
      <c r="M3" s="727"/>
      <c r="N3" s="727"/>
      <c r="O3" s="727"/>
      <c r="P3" s="727"/>
      <c r="Q3" s="702"/>
      <c r="R3" s="727"/>
      <c r="S3" s="727"/>
      <c r="T3" s="727"/>
      <c r="U3" s="727"/>
      <c r="V3" s="727"/>
      <c r="W3" s="727"/>
      <c r="X3" s="727"/>
      <c r="Y3" s="727"/>
      <c r="Z3" s="727"/>
      <c r="AA3" s="727"/>
      <c r="AB3" s="727"/>
      <c r="AC3" s="727"/>
      <c r="AD3" s="727"/>
      <c r="AE3" s="728"/>
      <c r="AF3" s="728"/>
      <c r="AG3" s="729"/>
      <c r="AH3" s="729"/>
      <c r="AI3" s="728"/>
    </row>
    <row r="4" spans="1:35" s="732" customFormat="1" x14ac:dyDescent="0.2">
      <c r="A4" s="706" t="s">
        <v>643</v>
      </c>
      <c r="B4" s="555"/>
      <c r="C4" s="731"/>
      <c r="D4" s="731"/>
      <c r="E4" s="731"/>
      <c r="F4" s="731"/>
      <c r="G4" s="731"/>
      <c r="H4" s="731"/>
      <c r="I4" s="731"/>
      <c r="J4" s="731"/>
      <c r="K4" s="731"/>
      <c r="L4" s="731"/>
      <c r="M4" s="731"/>
      <c r="N4" s="731"/>
      <c r="O4" s="731"/>
      <c r="P4" s="731"/>
      <c r="Q4" s="703"/>
      <c r="R4" s="731"/>
      <c r="S4" s="731"/>
      <c r="T4" s="731"/>
      <c r="U4" s="731"/>
      <c r="V4" s="731"/>
      <c r="W4" s="731"/>
      <c r="X4" s="731"/>
      <c r="Y4" s="731"/>
      <c r="Z4" s="731"/>
      <c r="AA4" s="731"/>
      <c r="AB4" s="731"/>
      <c r="AC4" s="731"/>
      <c r="AD4" s="731"/>
      <c r="AE4" s="731"/>
      <c r="AF4" s="731"/>
      <c r="AG4" s="555"/>
      <c r="AH4" s="555"/>
      <c r="AI4" s="731"/>
    </row>
    <row r="5" spans="1:35" ht="30.75" customHeight="1" x14ac:dyDescent="0.2">
      <c r="A5" s="1485" t="s">
        <v>644</v>
      </c>
      <c r="B5" s="1487" t="s">
        <v>645</v>
      </c>
      <c r="C5" s="1487"/>
      <c r="D5" s="1487"/>
      <c r="E5" s="1487"/>
      <c r="F5" s="1487"/>
      <c r="G5" s="1487"/>
      <c r="H5" s="1487"/>
      <c r="I5" s="1487"/>
      <c r="J5" s="1487"/>
      <c r="K5" s="1487"/>
      <c r="L5" s="1487"/>
      <c r="M5" s="1487"/>
      <c r="N5" s="1487"/>
      <c r="O5" s="1487"/>
      <c r="P5" s="1487"/>
      <c r="Q5" s="1487" t="s">
        <v>646</v>
      </c>
      <c r="R5" s="1487"/>
      <c r="S5" s="1487"/>
      <c r="T5" s="1487"/>
      <c r="U5" s="1487"/>
      <c r="V5" s="1487"/>
      <c r="W5" s="1487"/>
      <c r="X5" s="1487"/>
      <c r="Y5" s="1487"/>
      <c r="Z5" s="1487"/>
      <c r="AA5" s="1487"/>
      <c r="AB5" s="1487"/>
      <c r="AC5" s="1487"/>
      <c r="AD5" s="1487"/>
      <c r="AE5" s="1487"/>
      <c r="AF5" s="1487" t="s">
        <v>647</v>
      </c>
      <c r="AG5" s="1487"/>
      <c r="AH5" s="1487" t="s">
        <v>648</v>
      </c>
      <c r="AI5" s="1487"/>
    </row>
    <row r="6" spans="1:35" ht="120.75" customHeight="1" x14ac:dyDescent="0.2">
      <c r="A6" s="1485"/>
      <c r="B6" s="691" t="s">
        <v>649</v>
      </c>
      <c r="C6" s="692" t="s">
        <v>650</v>
      </c>
      <c r="D6" s="692" t="s">
        <v>651</v>
      </c>
      <c r="E6" s="692" t="s">
        <v>652</v>
      </c>
      <c r="F6" s="692" t="s">
        <v>653</v>
      </c>
      <c r="G6" s="692" t="s">
        <v>654</v>
      </c>
      <c r="H6" s="692" t="s">
        <v>655</v>
      </c>
      <c r="I6" s="692" t="s">
        <v>656</v>
      </c>
      <c r="J6" s="692" t="s">
        <v>657</v>
      </c>
      <c r="K6" s="692" t="s">
        <v>658</v>
      </c>
      <c r="L6" s="692" t="s">
        <v>659</v>
      </c>
      <c r="M6" s="692" t="s">
        <v>660</v>
      </c>
      <c r="N6" s="692" t="s">
        <v>661</v>
      </c>
      <c r="O6" s="692" t="s">
        <v>662</v>
      </c>
      <c r="P6" s="692" t="s">
        <v>663</v>
      </c>
      <c r="Q6" s="691" t="s">
        <v>649</v>
      </c>
      <c r="R6" s="692" t="s">
        <v>650</v>
      </c>
      <c r="S6" s="692" t="s">
        <v>651</v>
      </c>
      <c r="T6" s="692" t="s">
        <v>652</v>
      </c>
      <c r="U6" s="692" t="s">
        <v>653</v>
      </c>
      <c r="V6" s="692" t="s">
        <v>654</v>
      </c>
      <c r="W6" s="692" t="s">
        <v>655</v>
      </c>
      <c r="X6" s="692" t="s">
        <v>656</v>
      </c>
      <c r="Y6" s="692" t="s">
        <v>657</v>
      </c>
      <c r="Z6" s="692" t="s">
        <v>658</v>
      </c>
      <c r="AA6" s="692" t="s">
        <v>659</v>
      </c>
      <c r="AB6" s="692" t="s">
        <v>660</v>
      </c>
      <c r="AC6" s="692" t="s">
        <v>661</v>
      </c>
      <c r="AD6" s="692" t="s">
        <v>662</v>
      </c>
      <c r="AE6" s="692" t="s">
        <v>663</v>
      </c>
      <c r="AF6" s="692" t="s">
        <v>664</v>
      </c>
      <c r="AG6" s="691" t="s">
        <v>665</v>
      </c>
      <c r="AH6" s="691" t="s">
        <v>649</v>
      </c>
      <c r="AI6" s="692" t="s">
        <v>666</v>
      </c>
    </row>
    <row r="7" spans="1:35" ht="15.75" customHeight="1" x14ac:dyDescent="0.2">
      <c r="A7" s="1486"/>
      <c r="B7" s="555" t="s">
        <v>667</v>
      </c>
      <c r="C7" s="733" t="s">
        <v>668</v>
      </c>
      <c r="D7" s="733" t="s">
        <v>669</v>
      </c>
      <c r="E7" s="733" t="s">
        <v>670</v>
      </c>
      <c r="F7" s="734" t="s">
        <v>671</v>
      </c>
      <c r="G7" s="734" t="s">
        <v>672</v>
      </c>
      <c r="H7" s="734" t="s">
        <v>673</v>
      </c>
      <c r="I7" s="734" t="s">
        <v>674</v>
      </c>
      <c r="J7" s="734" t="s">
        <v>675</v>
      </c>
      <c r="K7" s="734" t="s">
        <v>676</v>
      </c>
      <c r="L7" s="734" t="s">
        <v>677</v>
      </c>
      <c r="M7" s="734" t="s">
        <v>678</v>
      </c>
      <c r="N7" s="734" t="s">
        <v>679</v>
      </c>
      <c r="O7" s="734" t="s">
        <v>680</v>
      </c>
      <c r="P7" s="734" t="s">
        <v>681</v>
      </c>
      <c r="Q7" s="555" t="s">
        <v>667</v>
      </c>
      <c r="R7" s="733" t="s">
        <v>668</v>
      </c>
      <c r="S7" s="733" t="s">
        <v>669</v>
      </c>
      <c r="T7" s="733" t="s">
        <v>670</v>
      </c>
      <c r="U7" s="734" t="s">
        <v>671</v>
      </c>
      <c r="V7" s="734" t="s">
        <v>672</v>
      </c>
      <c r="W7" s="734" t="s">
        <v>673</v>
      </c>
      <c r="X7" s="734" t="s">
        <v>674</v>
      </c>
      <c r="Y7" s="734" t="s">
        <v>675</v>
      </c>
      <c r="Z7" s="734" t="s">
        <v>676</v>
      </c>
      <c r="AA7" s="734" t="s">
        <v>677</v>
      </c>
      <c r="AB7" s="734" t="s">
        <v>678</v>
      </c>
      <c r="AC7" s="734" t="s">
        <v>679</v>
      </c>
      <c r="AD7" s="734" t="s">
        <v>680</v>
      </c>
      <c r="AE7" s="734" t="s">
        <v>681</v>
      </c>
      <c r="AF7" s="733"/>
      <c r="AG7" s="555"/>
      <c r="AH7" s="555"/>
      <c r="AI7" s="733"/>
    </row>
    <row r="8" spans="1:35" x14ac:dyDescent="0.2">
      <c r="A8" s="704"/>
      <c r="B8" s="711"/>
      <c r="C8" s="735"/>
      <c r="D8" s="735"/>
      <c r="E8" s="735"/>
      <c r="F8" s="735"/>
      <c r="G8" s="735"/>
      <c r="H8" s="735"/>
      <c r="I8" s="735"/>
      <c r="J8" s="735"/>
      <c r="K8" s="735"/>
      <c r="L8" s="735"/>
      <c r="M8" s="735"/>
      <c r="N8" s="735"/>
      <c r="O8" s="735"/>
      <c r="P8" s="735"/>
      <c r="Q8" s="421"/>
      <c r="R8" s="735"/>
      <c r="S8" s="735"/>
      <c r="T8" s="735"/>
      <c r="U8" s="735"/>
      <c r="V8" s="735"/>
      <c r="W8" s="735"/>
      <c r="X8" s="735"/>
      <c r="Y8" s="735"/>
      <c r="Z8" s="735"/>
      <c r="AA8" s="735"/>
      <c r="AB8" s="735"/>
      <c r="AC8" s="735"/>
      <c r="AD8" s="735"/>
      <c r="AE8" s="735"/>
      <c r="AF8" s="735"/>
      <c r="AG8" s="711"/>
      <c r="AH8" s="711"/>
      <c r="AI8" s="735"/>
    </row>
    <row r="9" spans="1:35" x14ac:dyDescent="0.2">
      <c r="A9" s="704" t="s">
        <v>379</v>
      </c>
      <c r="B9" s="736">
        <v>1</v>
      </c>
      <c r="C9" s="737">
        <v>835.28</v>
      </c>
      <c r="D9" s="737"/>
      <c r="E9" s="737"/>
      <c r="F9" s="737"/>
      <c r="G9" s="737"/>
      <c r="H9" s="737"/>
      <c r="I9" s="737"/>
      <c r="J9" s="737">
        <v>13464.72</v>
      </c>
      <c r="K9" s="737">
        <f>SUM(C9:J9)</f>
        <v>14300</v>
      </c>
      <c r="L9" s="737">
        <v>1000</v>
      </c>
      <c r="M9" s="737"/>
      <c r="N9" s="737">
        <f>L9+M9</f>
        <v>1000</v>
      </c>
      <c r="O9" s="737">
        <f>K9*12+N9</f>
        <v>172600</v>
      </c>
      <c r="P9" s="737">
        <f>B9*O9</f>
        <v>172600</v>
      </c>
      <c r="Q9" s="737">
        <v>1</v>
      </c>
      <c r="R9" s="737">
        <v>835.28</v>
      </c>
      <c r="S9" s="737"/>
      <c r="T9" s="737"/>
      <c r="U9" s="737"/>
      <c r="V9" s="737"/>
      <c r="W9" s="737"/>
      <c r="X9" s="737"/>
      <c r="Y9" s="737">
        <v>13464.72</v>
      </c>
      <c r="Z9" s="737">
        <f>SUM(R9:Y9)</f>
        <v>14300</v>
      </c>
      <c r="AA9" s="737">
        <v>1000</v>
      </c>
      <c r="AB9" s="737"/>
      <c r="AC9" s="737">
        <f>AA9+AB9</f>
        <v>1000</v>
      </c>
      <c r="AD9" s="737">
        <f>Z9*12+AC9</f>
        <v>172600</v>
      </c>
      <c r="AE9" s="737">
        <f>Q9*AD9</f>
        <v>172600</v>
      </c>
      <c r="AF9" s="735">
        <f>AD9-O9</f>
        <v>0</v>
      </c>
      <c r="AG9" s="736">
        <f>AE9-P9</f>
        <v>0</v>
      </c>
      <c r="AH9" s="736">
        <f>Q9</f>
        <v>1</v>
      </c>
      <c r="AI9" s="735">
        <f>AE9</f>
        <v>172600</v>
      </c>
    </row>
    <row r="10" spans="1:35" x14ac:dyDescent="0.2">
      <c r="A10" s="704" t="s">
        <v>380</v>
      </c>
      <c r="B10" s="736">
        <v>2</v>
      </c>
      <c r="C10" s="737">
        <v>815.82</v>
      </c>
      <c r="D10" s="737">
        <v>6935</v>
      </c>
      <c r="E10" s="737"/>
      <c r="F10" s="737"/>
      <c r="G10" s="737"/>
      <c r="H10" s="737"/>
      <c r="I10" s="737"/>
      <c r="J10" s="737">
        <v>5208.29</v>
      </c>
      <c r="K10" s="737">
        <f>SUM(C10:J10)</f>
        <v>12959.11</v>
      </c>
      <c r="L10" s="737">
        <v>1000</v>
      </c>
      <c r="M10" s="737"/>
      <c r="N10" s="737">
        <f t="shared" ref="N10:N32" si="0">L10+M10</f>
        <v>1000</v>
      </c>
      <c r="O10" s="737">
        <f>K10*12+N10</f>
        <v>156509.32</v>
      </c>
      <c r="P10" s="737">
        <f>B10*O10</f>
        <v>313018.64</v>
      </c>
      <c r="Q10" s="737">
        <v>2</v>
      </c>
      <c r="R10" s="737">
        <v>815.82</v>
      </c>
      <c r="S10" s="737">
        <v>6935</v>
      </c>
      <c r="T10" s="737"/>
      <c r="U10" s="737"/>
      <c r="V10" s="737"/>
      <c r="W10" s="737"/>
      <c r="X10" s="737"/>
      <c r="Y10" s="737">
        <v>5208.29</v>
      </c>
      <c r="Z10" s="737">
        <f>SUM(R10:Y10)</f>
        <v>12959.11</v>
      </c>
      <c r="AA10" s="737">
        <v>1000</v>
      </c>
      <c r="AB10" s="737"/>
      <c r="AC10" s="737">
        <f t="shared" ref="AC10:AC31" si="1">AA10+AB10</f>
        <v>1000</v>
      </c>
      <c r="AD10" s="737">
        <f>Z10*12+AC10</f>
        <v>156509.32</v>
      </c>
      <c r="AE10" s="737">
        <f>Q10*AD10</f>
        <v>313018.64</v>
      </c>
      <c r="AF10" s="735">
        <f t="shared" ref="AF10:AG31" si="2">AD10-O10</f>
        <v>0</v>
      </c>
      <c r="AG10" s="736">
        <f t="shared" si="2"/>
        <v>0</v>
      </c>
      <c r="AH10" s="736">
        <f t="shared" ref="AH10:AH31" si="3">Q10</f>
        <v>2</v>
      </c>
      <c r="AI10" s="735">
        <f t="shared" ref="AI10:AI33" si="4">AE10</f>
        <v>313018.64</v>
      </c>
    </row>
    <row r="11" spans="1:35" x14ac:dyDescent="0.2">
      <c r="A11" s="704" t="s">
        <v>381</v>
      </c>
      <c r="B11" s="736">
        <v>12</v>
      </c>
      <c r="C11" s="737">
        <v>796.39</v>
      </c>
      <c r="D11" s="737">
        <v>5839.81</v>
      </c>
      <c r="E11" s="737"/>
      <c r="F11" s="737"/>
      <c r="G11" s="737"/>
      <c r="H11" s="737"/>
      <c r="I11" s="737"/>
      <c r="J11" s="737">
        <v>273.08999999999997</v>
      </c>
      <c r="K11" s="737">
        <f>SUM(C11:J11)</f>
        <v>6909.2900000000009</v>
      </c>
      <c r="L11" s="737">
        <v>1000</v>
      </c>
      <c r="M11" s="737"/>
      <c r="N11" s="737">
        <f t="shared" si="0"/>
        <v>1000</v>
      </c>
      <c r="O11" s="737">
        <f t="shared" ref="O11:O33" si="5">K11*12+N11</f>
        <v>83911.48000000001</v>
      </c>
      <c r="P11" s="737">
        <f t="shared" ref="P11:P33" si="6">B11*O11</f>
        <v>1006937.7600000001</v>
      </c>
      <c r="Q11" s="737">
        <v>12</v>
      </c>
      <c r="R11" s="737">
        <v>796.39</v>
      </c>
      <c r="S11" s="737">
        <v>5839.81</v>
      </c>
      <c r="T11" s="737"/>
      <c r="U11" s="737"/>
      <c r="V11" s="737"/>
      <c r="W11" s="737"/>
      <c r="X11" s="737"/>
      <c r="Y11" s="737">
        <v>273.08999999999997</v>
      </c>
      <c r="Z11" s="737">
        <f>SUM(R11:Y11)</f>
        <v>6909.2900000000009</v>
      </c>
      <c r="AA11" s="737">
        <v>1000</v>
      </c>
      <c r="AB11" s="737"/>
      <c r="AC11" s="737">
        <f t="shared" si="1"/>
        <v>1000</v>
      </c>
      <c r="AD11" s="737">
        <f t="shared" ref="AD11:AD31" si="7">Z11*12+AC11</f>
        <v>83911.48000000001</v>
      </c>
      <c r="AE11" s="737">
        <f t="shared" ref="AE11:AE31" si="8">Q11*AD11</f>
        <v>1006937.7600000001</v>
      </c>
      <c r="AF11" s="735">
        <f t="shared" si="2"/>
        <v>0</v>
      </c>
      <c r="AG11" s="736">
        <f t="shared" si="2"/>
        <v>0</v>
      </c>
      <c r="AH11" s="736">
        <f t="shared" si="3"/>
        <v>12</v>
      </c>
      <c r="AI11" s="735">
        <f t="shared" si="4"/>
        <v>1006937.7600000001</v>
      </c>
    </row>
    <row r="12" spans="1:35" x14ac:dyDescent="0.2">
      <c r="A12" s="704" t="s">
        <v>382</v>
      </c>
      <c r="B12" s="736">
        <v>15</v>
      </c>
      <c r="C12" s="737">
        <v>776.96</v>
      </c>
      <c r="D12" s="737">
        <v>5111.3</v>
      </c>
      <c r="E12" s="737"/>
      <c r="F12" s="737"/>
      <c r="G12" s="737"/>
      <c r="H12" s="737"/>
      <c r="I12" s="737"/>
      <c r="J12" s="738">
        <v>250.93</v>
      </c>
      <c r="K12" s="737">
        <f>SUM(C12:J12)</f>
        <v>6139.1900000000005</v>
      </c>
      <c r="L12" s="737">
        <v>1000</v>
      </c>
      <c r="M12" s="737"/>
      <c r="N12" s="737">
        <f t="shared" si="0"/>
        <v>1000</v>
      </c>
      <c r="O12" s="737">
        <f t="shared" si="5"/>
        <v>74670.28</v>
      </c>
      <c r="P12" s="737">
        <f t="shared" si="6"/>
        <v>1120054.2</v>
      </c>
      <c r="Q12" s="737">
        <v>15</v>
      </c>
      <c r="R12" s="737">
        <v>776.96</v>
      </c>
      <c r="S12" s="737">
        <v>5111.3</v>
      </c>
      <c r="T12" s="737"/>
      <c r="U12" s="737"/>
      <c r="V12" s="737"/>
      <c r="W12" s="737"/>
      <c r="X12" s="737"/>
      <c r="Y12" s="738">
        <v>250.93</v>
      </c>
      <c r="Z12" s="737">
        <f>SUM(R12:Y12)</f>
        <v>6139.1900000000005</v>
      </c>
      <c r="AA12" s="737">
        <v>1000</v>
      </c>
      <c r="AB12" s="737"/>
      <c r="AC12" s="737">
        <f t="shared" si="1"/>
        <v>1000</v>
      </c>
      <c r="AD12" s="737">
        <f t="shared" si="7"/>
        <v>74670.28</v>
      </c>
      <c r="AE12" s="737">
        <f t="shared" si="8"/>
        <v>1120054.2</v>
      </c>
      <c r="AF12" s="735">
        <f t="shared" si="2"/>
        <v>0</v>
      </c>
      <c r="AG12" s="736">
        <f t="shared" si="2"/>
        <v>0</v>
      </c>
      <c r="AH12" s="736">
        <f t="shared" si="3"/>
        <v>15</v>
      </c>
      <c r="AI12" s="735">
        <f t="shared" si="4"/>
        <v>1120054.2</v>
      </c>
    </row>
    <row r="13" spans="1:35" x14ac:dyDescent="0.2">
      <c r="A13" s="704" t="s">
        <v>383</v>
      </c>
      <c r="B13" s="736">
        <v>28</v>
      </c>
      <c r="C13" s="739">
        <v>757.49</v>
      </c>
      <c r="D13" s="737">
        <v>4832.7</v>
      </c>
      <c r="E13" s="737"/>
      <c r="F13" s="737"/>
      <c r="G13" s="737"/>
      <c r="H13" s="737"/>
      <c r="I13" s="737"/>
      <c r="J13" s="738">
        <v>211.79</v>
      </c>
      <c r="K13" s="737">
        <f t="shared" ref="K13" si="9">SUM(C13:J13)</f>
        <v>5801.98</v>
      </c>
      <c r="L13" s="737">
        <v>1000</v>
      </c>
      <c r="M13" s="737"/>
      <c r="N13" s="737">
        <f t="shared" si="0"/>
        <v>1000</v>
      </c>
      <c r="O13" s="737">
        <f t="shared" si="5"/>
        <v>70623.759999999995</v>
      </c>
      <c r="P13" s="737">
        <f t="shared" si="6"/>
        <v>1977465.2799999998</v>
      </c>
      <c r="Q13" s="737">
        <v>28</v>
      </c>
      <c r="R13" s="739">
        <v>757.49</v>
      </c>
      <c r="S13" s="737">
        <v>4832.7</v>
      </c>
      <c r="T13" s="737"/>
      <c r="U13" s="737"/>
      <c r="V13" s="737"/>
      <c r="W13" s="737"/>
      <c r="X13" s="737"/>
      <c r="Y13" s="738">
        <v>211.79</v>
      </c>
      <c r="Z13" s="737">
        <f t="shared" ref="Z13" si="10">SUM(R13:Y13)</f>
        <v>5801.98</v>
      </c>
      <c r="AA13" s="737">
        <v>1000</v>
      </c>
      <c r="AB13" s="737"/>
      <c r="AC13" s="737">
        <f t="shared" si="1"/>
        <v>1000</v>
      </c>
      <c r="AD13" s="737">
        <f t="shared" si="7"/>
        <v>70623.759999999995</v>
      </c>
      <c r="AE13" s="737">
        <f t="shared" si="8"/>
        <v>1977465.2799999998</v>
      </c>
      <c r="AF13" s="735">
        <f t="shared" si="2"/>
        <v>0</v>
      </c>
      <c r="AG13" s="736">
        <f t="shared" si="2"/>
        <v>0</v>
      </c>
      <c r="AH13" s="736">
        <f t="shared" si="3"/>
        <v>28</v>
      </c>
      <c r="AI13" s="735">
        <f t="shared" si="4"/>
        <v>1977465.2799999998</v>
      </c>
    </row>
    <row r="14" spans="1:35" x14ac:dyDescent="0.2">
      <c r="A14" s="704" t="s">
        <v>384</v>
      </c>
      <c r="B14" s="736">
        <v>1</v>
      </c>
      <c r="C14" s="737">
        <v>738.1</v>
      </c>
      <c r="D14" s="737">
        <v>3819.74</v>
      </c>
      <c r="E14" s="737"/>
      <c r="F14" s="737"/>
      <c r="G14" s="737"/>
      <c r="H14" s="737"/>
      <c r="I14" s="737"/>
      <c r="J14" s="737">
        <v>54.8</v>
      </c>
      <c r="K14" s="737">
        <f>SUM(C14:J14)</f>
        <v>4612.6400000000003</v>
      </c>
      <c r="L14" s="737">
        <v>1000</v>
      </c>
      <c r="M14" s="737"/>
      <c r="N14" s="737">
        <f t="shared" si="0"/>
        <v>1000</v>
      </c>
      <c r="O14" s="737">
        <f t="shared" si="5"/>
        <v>56351.680000000008</v>
      </c>
      <c r="P14" s="737">
        <f t="shared" si="6"/>
        <v>56351.680000000008</v>
      </c>
      <c r="Q14" s="737">
        <v>1</v>
      </c>
      <c r="R14" s="737">
        <v>738.1</v>
      </c>
      <c r="S14" s="737">
        <v>3819.74</v>
      </c>
      <c r="T14" s="737"/>
      <c r="U14" s="737"/>
      <c r="V14" s="737"/>
      <c r="W14" s="737"/>
      <c r="X14" s="737"/>
      <c r="Y14" s="737">
        <v>54.8</v>
      </c>
      <c r="Z14" s="737">
        <f>SUM(R14:Y14)</f>
        <v>4612.6400000000003</v>
      </c>
      <c r="AA14" s="737">
        <v>1000</v>
      </c>
      <c r="AB14" s="737"/>
      <c r="AC14" s="737">
        <f t="shared" si="1"/>
        <v>1000</v>
      </c>
      <c r="AD14" s="737">
        <f t="shared" si="7"/>
        <v>56351.680000000008</v>
      </c>
      <c r="AE14" s="737">
        <f t="shared" si="8"/>
        <v>56351.680000000008</v>
      </c>
      <c r="AF14" s="735">
        <f t="shared" si="2"/>
        <v>0</v>
      </c>
      <c r="AG14" s="736">
        <f t="shared" si="2"/>
        <v>0</v>
      </c>
      <c r="AH14" s="736">
        <f t="shared" si="3"/>
        <v>1</v>
      </c>
      <c r="AI14" s="735">
        <f t="shared" si="4"/>
        <v>56351.680000000008</v>
      </c>
    </row>
    <row r="15" spans="1:35" x14ac:dyDescent="0.2">
      <c r="A15" s="704" t="s">
        <v>386</v>
      </c>
      <c r="B15" s="736">
        <v>17</v>
      </c>
      <c r="C15" s="739">
        <v>698.59</v>
      </c>
      <c r="D15" s="737">
        <v>2652.9</v>
      </c>
      <c r="E15" s="737"/>
      <c r="F15" s="737"/>
      <c r="G15" s="737"/>
      <c r="H15" s="737"/>
      <c r="I15" s="737"/>
      <c r="J15" s="738">
        <v>39.200000000000003</v>
      </c>
      <c r="K15" s="737">
        <f t="shared" ref="K15:K24" si="11">SUM(C15:J15)</f>
        <v>3390.69</v>
      </c>
      <c r="L15" s="737">
        <v>1000</v>
      </c>
      <c r="M15" s="737"/>
      <c r="N15" s="737">
        <f t="shared" si="0"/>
        <v>1000</v>
      </c>
      <c r="O15" s="737">
        <f t="shared" si="5"/>
        <v>41688.28</v>
      </c>
      <c r="P15" s="737">
        <f t="shared" si="6"/>
        <v>708700.76</v>
      </c>
      <c r="Q15" s="737">
        <v>17</v>
      </c>
      <c r="R15" s="739">
        <v>698.59</v>
      </c>
      <c r="S15" s="737">
        <v>2652.9</v>
      </c>
      <c r="T15" s="737"/>
      <c r="U15" s="737"/>
      <c r="V15" s="737"/>
      <c r="W15" s="737"/>
      <c r="X15" s="737"/>
      <c r="Y15" s="738">
        <v>39.200000000000003</v>
      </c>
      <c r="Z15" s="737">
        <f t="shared" ref="Z15:Z24" si="12">SUM(R15:Y15)</f>
        <v>3390.69</v>
      </c>
      <c r="AA15" s="737">
        <v>1000</v>
      </c>
      <c r="AB15" s="737"/>
      <c r="AC15" s="737">
        <f t="shared" si="1"/>
        <v>1000</v>
      </c>
      <c r="AD15" s="737">
        <f t="shared" si="7"/>
        <v>41688.28</v>
      </c>
      <c r="AE15" s="737">
        <f t="shared" si="8"/>
        <v>708700.76</v>
      </c>
      <c r="AF15" s="735">
        <f t="shared" si="2"/>
        <v>0</v>
      </c>
      <c r="AG15" s="736">
        <f t="shared" si="2"/>
        <v>0</v>
      </c>
      <c r="AH15" s="736">
        <f t="shared" si="3"/>
        <v>17</v>
      </c>
      <c r="AI15" s="735">
        <f t="shared" si="4"/>
        <v>708700.76</v>
      </c>
    </row>
    <row r="16" spans="1:35" x14ac:dyDescent="0.2">
      <c r="A16" s="704" t="s">
        <v>387</v>
      </c>
      <c r="B16" s="736">
        <v>25</v>
      </c>
      <c r="C16" s="739">
        <v>673.65</v>
      </c>
      <c r="D16" s="737">
        <v>2652.9</v>
      </c>
      <c r="E16" s="737"/>
      <c r="F16" s="737"/>
      <c r="G16" s="737"/>
      <c r="H16" s="737"/>
      <c r="I16" s="737"/>
      <c r="J16" s="738">
        <v>67.61</v>
      </c>
      <c r="K16" s="737">
        <f t="shared" si="11"/>
        <v>3394.1600000000003</v>
      </c>
      <c r="L16" s="737">
        <v>1000</v>
      </c>
      <c r="M16" s="737"/>
      <c r="N16" s="737">
        <f t="shared" si="0"/>
        <v>1000</v>
      </c>
      <c r="O16" s="737">
        <f t="shared" si="5"/>
        <v>41729.920000000006</v>
      </c>
      <c r="P16" s="737">
        <f t="shared" si="6"/>
        <v>1043248.0000000001</v>
      </c>
      <c r="Q16" s="737">
        <v>25</v>
      </c>
      <c r="R16" s="739">
        <v>673.65</v>
      </c>
      <c r="S16" s="737">
        <v>2652.9</v>
      </c>
      <c r="T16" s="737"/>
      <c r="U16" s="737"/>
      <c r="V16" s="737"/>
      <c r="W16" s="737"/>
      <c r="X16" s="737"/>
      <c r="Y16" s="738">
        <v>67.61</v>
      </c>
      <c r="Z16" s="737">
        <f t="shared" si="12"/>
        <v>3394.1600000000003</v>
      </c>
      <c r="AA16" s="737">
        <v>1000</v>
      </c>
      <c r="AB16" s="737"/>
      <c r="AC16" s="737">
        <f t="shared" si="1"/>
        <v>1000</v>
      </c>
      <c r="AD16" s="737">
        <f t="shared" si="7"/>
        <v>41729.920000000006</v>
      </c>
      <c r="AE16" s="737">
        <f t="shared" si="8"/>
        <v>1043248.0000000001</v>
      </c>
      <c r="AF16" s="735">
        <f t="shared" si="2"/>
        <v>0</v>
      </c>
      <c r="AG16" s="736">
        <f t="shared" si="2"/>
        <v>0</v>
      </c>
      <c r="AH16" s="736">
        <f t="shared" si="3"/>
        <v>25</v>
      </c>
      <c r="AI16" s="735">
        <f t="shared" si="4"/>
        <v>1043248.0000000001</v>
      </c>
    </row>
    <row r="17" spans="1:35" x14ac:dyDescent="0.2">
      <c r="A17" s="704" t="s">
        <v>388</v>
      </c>
      <c r="B17" s="736">
        <v>2</v>
      </c>
      <c r="C17" s="737">
        <v>648.77</v>
      </c>
      <c r="D17" s="737">
        <v>2652.9</v>
      </c>
      <c r="E17" s="737"/>
      <c r="F17" s="737"/>
      <c r="G17" s="737"/>
      <c r="H17" s="737"/>
      <c r="I17" s="737"/>
      <c r="J17" s="737">
        <v>190.88</v>
      </c>
      <c r="K17" s="737">
        <f t="shared" si="11"/>
        <v>3492.55</v>
      </c>
      <c r="L17" s="737">
        <v>1000</v>
      </c>
      <c r="M17" s="737"/>
      <c r="N17" s="737">
        <f t="shared" si="0"/>
        <v>1000</v>
      </c>
      <c r="O17" s="737">
        <f t="shared" si="5"/>
        <v>42910.600000000006</v>
      </c>
      <c r="P17" s="737">
        <f t="shared" si="6"/>
        <v>85821.200000000012</v>
      </c>
      <c r="Q17" s="737">
        <v>2</v>
      </c>
      <c r="R17" s="737">
        <v>648.77</v>
      </c>
      <c r="S17" s="737">
        <v>2652.9</v>
      </c>
      <c r="T17" s="737"/>
      <c r="U17" s="737"/>
      <c r="V17" s="737"/>
      <c r="W17" s="737"/>
      <c r="X17" s="737"/>
      <c r="Y17" s="737">
        <v>190.88</v>
      </c>
      <c r="Z17" s="737">
        <f t="shared" si="12"/>
        <v>3492.55</v>
      </c>
      <c r="AA17" s="737">
        <v>1000</v>
      </c>
      <c r="AB17" s="737"/>
      <c r="AC17" s="737">
        <f t="shared" si="1"/>
        <v>1000</v>
      </c>
      <c r="AD17" s="737">
        <f t="shared" si="7"/>
        <v>42910.600000000006</v>
      </c>
      <c r="AE17" s="737">
        <f t="shared" si="8"/>
        <v>85821.200000000012</v>
      </c>
      <c r="AF17" s="735">
        <f t="shared" si="2"/>
        <v>0</v>
      </c>
      <c r="AG17" s="736">
        <f t="shared" si="2"/>
        <v>0</v>
      </c>
      <c r="AH17" s="736">
        <f t="shared" si="3"/>
        <v>2</v>
      </c>
      <c r="AI17" s="735">
        <f t="shared" si="4"/>
        <v>85821.200000000012</v>
      </c>
    </row>
    <row r="18" spans="1:35" x14ac:dyDescent="0.2">
      <c r="A18" s="704" t="s">
        <v>390</v>
      </c>
      <c r="B18" s="736">
        <v>68</v>
      </c>
      <c r="C18" s="739">
        <v>574.92999999999995</v>
      </c>
      <c r="D18" s="737">
        <v>2027.13</v>
      </c>
      <c r="E18" s="737"/>
      <c r="F18" s="737"/>
      <c r="G18" s="737"/>
      <c r="H18" s="737"/>
      <c r="I18" s="737"/>
      <c r="J18" s="737">
        <v>21.42</v>
      </c>
      <c r="K18" s="737">
        <f t="shared" si="11"/>
        <v>2623.48</v>
      </c>
      <c r="L18" s="737">
        <v>1000</v>
      </c>
      <c r="M18" s="737"/>
      <c r="N18" s="737">
        <f t="shared" si="0"/>
        <v>1000</v>
      </c>
      <c r="O18" s="737">
        <f t="shared" si="5"/>
        <v>32481.760000000002</v>
      </c>
      <c r="P18" s="737">
        <f t="shared" si="6"/>
        <v>2208759.6800000002</v>
      </c>
      <c r="Q18" s="737">
        <v>68</v>
      </c>
      <c r="R18" s="739">
        <v>574.92999999999995</v>
      </c>
      <c r="S18" s="737">
        <v>2027.13</v>
      </c>
      <c r="T18" s="737"/>
      <c r="U18" s="737"/>
      <c r="V18" s="737"/>
      <c r="W18" s="737"/>
      <c r="X18" s="737"/>
      <c r="Y18" s="737">
        <v>21.42</v>
      </c>
      <c r="Z18" s="737">
        <f t="shared" si="12"/>
        <v>2623.48</v>
      </c>
      <c r="AA18" s="737">
        <v>1000</v>
      </c>
      <c r="AB18" s="737"/>
      <c r="AC18" s="737">
        <f t="shared" si="1"/>
        <v>1000</v>
      </c>
      <c r="AD18" s="737">
        <f t="shared" si="7"/>
        <v>32481.760000000002</v>
      </c>
      <c r="AE18" s="737">
        <f t="shared" si="8"/>
        <v>2208759.6800000002</v>
      </c>
      <c r="AF18" s="735">
        <f t="shared" si="2"/>
        <v>0</v>
      </c>
      <c r="AG18" s="736">
        <f t="shared" si="2"/>
        <v>0</v>
      </c>
      <c r="AH18" s="736">
        <f t="shared" si="3"/>
        <v>68</v>
      </c>
      <c r="AI18" s="735">
        <f t="shared" si="4"/>
        <v>2208759.6800000002</v>
      </c>
    </row>
    <row r="19" spans="1:35" x14ac:dyDescent="0.2">
      <c r="A19" s="704" t="s">
        <v>391</v>
      </c>
      <c r="B19" s="736">
        <v>17</v>
      </c>
      <c r="C19" s="739">
        <v>567.16999999999996</v>
      </c>
      <c r="D19" s="737">
        <v>2027.13</v>
      </c>
      <c r="E19" s="737"/>
      <c r="F19" s="737"/>
      <c r="G19" s="737"/>
      <c r="H19" s="737"/>
      <c r="I19" s="737"/>
      <c r="J19" s="738">
        <v>15.02</v>
      </c>
      <c r="K19" s="737">
        <f t="shared" si="11"/>
        <v>2609.3200000000002</v>
      </c>
      <c r="L19" s="737">
        <v>1000</v>
      </c>
      <c r="M19" s="737"/>
      <c r="N19" s="737">
        <f t="shared" si="0"/>
        <v>1000</v>
      </c>
      <c r="O19" s="737">
        <f t="shared" si="5"/>
        <v>32311.840000000004</v>
      </c>
      <c r="P19" s="737">
        <f t="shared" si="6"/>
        <v>549301.28</v>
      </c>
      <c r="Q19" s="737">
        <v>17</v>
      </c>
      <c r="R19" s="739">
        <v>567.16999999999996</v>
      </c>
      <c r="S19" s="737">
        <v>2027.13</v>
      </c>
      <c r="T19" s="737"/>
      <c r="U19" s="737"/>
      <c r="V19" s="737"/>
      <c r="W19" s="737"/>
      <c r="X19" s="737"/>
      <c r="Y19" s="738">
        <v>15.02</v>
      </c>
      <c r="Z19" s="737">
        <f t="shared" si="12"/>
        <v>2609.3200000000002</v>
      </c>
      <c r="AA19" s="737">
        <v>1000</v>
      </c>
      <c r="AB19" s="737"/>
      <c r="AC19" s="737">
        <f t="shared" si="1"/>
        <v>1000</v>
      </c>
      <c r="AD19" s="737">
        <f t="shared" si="7"/>
        <v>32311.840000000004</v>
      </c>
      <c r="AE19" s="737">
        <f t="shared" si="8"/>
        <v>549301.28</v>
      </c>
      <c r="AF19" s="735">
        <f t="shared" si="2"/>
        <v>0</v>
      </c>
      <c r="AG19" s="736">
        <f t="shared" si="2"/>
        <v>0</v>
      </c>
      <c r="AH19" s="736">
        <f t="shared" si="3"/>
        <v>17</v>
      </c>
      <c r="AI19" s="735">
        <f t="shared" si="4"/>
        <v>549301.28</v>
      </c>
    </row>
    <row r="20" spans="1:35" x14ac:dyDescent="0.2">
      <c r="A20" s="704" t="s">
        <v>392</v>
      </c>
      <c r="B20" s="736">
        <v>4</v>
      </c>
      <c r="C20" s="739">
        <v>559.39</v>
      </c>
      <c r="D20" s="737">
        <v>2027.13</v>
      </c>
      <c r="E20" s="737"/>
      <c r="F20" s="737"/>
      <c r="G20" s="737"/>
      <c r="H20" s="737"/>
      <c r="I20" s="737"/>
      <c r="J20" s="738">
        <v>7.39</v>
      </c>
      <c r="K20" s="737">
        <f t="shared" si="11"/>
        <v>2593.91</v>
      </c>
      <c r="L20" s="737">
        <v>1000</v>
      </c>
      <c r="M20" s="737"/>
      <c r="N20" s="737">
        <f t="shared" si="0"/>
        <v>1000</v>
      </c>
      <c r="O20" s="737">
        <f t="shared" si="5"/>
        <v>32126.92</v>
      </c>
      <c r="P20" s="737">
        <f t="shared" si="6"/>
        <v>128507.68</v>
      </c>
      <c r="Q20" s="737">
        <v>4</v>
      </c>
      <c r="R20" s="739">
        <v>559.39</v>
      </c>
      <c r="S20" s="737">
        <v>2027.13</v>
      </c>
      <c r="T20" s="737"/>
      <c r="U20" s="737"/>
      <c r="V20" s="737"/>
      <c r="W20" s="737"/>
      <c r="X20" s="737"/>
      <c r="Y20" s="738">
        <v>7.39</v>
      </c>
      <c r="Z20" s="737">
        <f t="shared" si="12"/>
        <v>2593.91</v>
      </c>
      <c r="AA20" s="737">
        <v>1000</v>
      </c>
      <c r="AB20" s="737"/>
      <c r="AC20" s="737">
        <f t="shared" si="1"/>
        <v>1000</v>
      </c>
      <c r="AD20" s="737">
        <f t="shared" si="7"/>
        <v>32126.92</v>
      </c>
      <c r="AE20" s="737">
        <f t="shared" si="8"/>
        <v>128507.68</v>
      </c>
      <c r="AF20" s="735">
        <f t="shared" si="2"/>
        <v>0</v>
      </c>
      <c r="AG20" s="736">
        <f t="shared" si="2"/>
        <v>0</v>
      </c>
      <c r="AH20" s="736">
        <f t="shared" si="3"/>
        <v>4</v>
      </c>
      <c r="AI20" s="735">
        <f t="shared" si="4"/>
        <v>128507.68</v>
      </c>
    </row>
    <row r="21" spans="1:35" x14ac:dyDescent="0.2">
      <c r="A21" s="704" t="s">
        <v>394</v>
      </c>
      <c r="B21" s="736">
        <v>4</v>
      </c>
      <c r="C21" s="737">
        <v>551.67999999999995</v>
      </c>
      <c r="D21" s="737">
        <v>1673.95</v>
      </c>
      <c r="E21" s="737"/>
      <c r="F21" s="737"/>
      <c r="G21" s="737"/>
      <c r="H21" s="737"/>
      <c r="I21" s="737"/>
      <c r="J21" s="737">
        <v>12.53</v>
      </c>
      <c r="K21" s="737">
        <f t="shared" si="11"/>
        <v>2238.1600000000003</v>
      </c>
      <c r="L21" s="737">
        <v>1000</v>
      </c>
      <c r="M21" s="737"/>
      <c r="N21" s="737">
        <f t="shared" si="0"/>
        <v>1000</v>
      </c>
      <c r="O21" s="737">
        <f t="shared" si="5"/>
        <v>27857.920000000006</v>
      </c>
      <c r="P21" s="737">
        <f t="shared" si="6"/>
        <v>111431.68000000002</v>
      </c>
      <c r="Q21" s="737">
        <v>4</v>
      </c>
      <c r="R21" s="737">
        <v>551.67999999999995</v>
      </c>
      <c r="S21" s="737">
        <v>1673.95</v>
      </c>
      <c r="T21" s="737"/>
      <c r="U21" s="737"/>
      <c r="V21" s="737"/>
      <c r="W21" s="737"/>
      <c r="X21" s="737"/>
      <c r="Y21" s="737">
        <v>12.53</v>
      </c>
      <c r="Z21" s="737">
        <f t="shared" si="12"/>
        <v>2238.1600000000003</v>
      </c>
      <c r="AA21" s="737">
        <v>1000</v>
      </c>
      <c r="AB21" s="737"/>
      <c r="AC21" s="737">
        <f t="shared" si="1"/>
        <v>1000</v>
      </c>
      <c r="AD21" s="737">
        <f t="shared" si="7"/>
        <v>27857.920000000006</v>
      </c>
      <c r="AE21" s="737">
        <f t="shared" si="8"/>
        <v>111431.68000000002</v>
      </c>
      <c r="AF21" s="735">
        <f t="shared" si="2"/>
        <v>0</v>
      </c>
      <c r="AG21" s="736">
        <f t="shared" si="2"/>
        <v>0</v>
      </c>
      <c r="AH21" s="736">
        <f t="shared" si="3"/>
        <v>4</v>
      </c>
      <c r="AI21" s="735">
        <f t="shared" si="4"/>
        <v>111431.68000000002</v>
      </c>
    </row>
    <row r="22" spans="1:35" x14ac:dyDescent="0.2">
      <c r="A22" s="704" t="s">
        <v>600</v>
      </c>
      <c r="B22" s="736">
        <v>1</v>
      </c>
      <c r="C22" s="737">
        <v>4290</v>
      </c>
      <c r="D22" s="737"/>
      <c r="E22" s="737"/>
      <c r="F22" s="737"/>
      <c r="G22" s="737"/>
      <c r="H22" s="737"/>
      <c r="I22" s="737"/>
      <c r="J22" s="737"/>
      <c r="K22" s="737">
        <f t="shared" si="11"/>
        <v>4290</v>
      </c>
      <c r="L22" s="737"/>
      <c r="M22" s="737"/>
      <c r="N22" s="737">
        <f t="shared" si="0"/>
        <v>0</v>
      </c>
      <c r="O22" s="737">
        <f t="shared" si="5"/>
        <v>51480</v>
      </c>
      <c r="P22" s="737">
        <f t="shared" si="6"/>
        <v>51480</v>
      </c>
      <c r="Q22" s="737">
        <v>1</v>
      </c>
      <c r="R22" s="737">
        <v>4290</v>
      </c>
      <c r="S22" s="737"/>
      <c r="T22" s="737"/>
      <c r="U22" s="737"/>
      <c r="V22" s="737"/>
      <c r="W22" s="737"/>
      <c r="X22" s="737"/>
      <c r="Y22" s="737"/>
      <c r="Z22" s="737">
        <f t="shared" si="12"/>
        <v>4290</v>
      </c>
      <c r="AA22" s="737"/>
      <c r="AB22" s="737"/>
      <c r="AC22" s="737">
        <f t="shared" si="1"/>
        <v>0</v>
      </c>
      <c r="AD22" s="737">
        <f t="shared" si="7"/>
        <v>51480</v>
      </c>
      <c r="AE22" s="737">
        <f t="shared" si="8"/>
        <v>51480</v>
      </c>
      <c r="AF22" s="735">
        <f t="shared" si="2"/>
        <v>0</v>
      </c>
      <c r="AG22" s="736">
        <f t="shared" si="2"/>
        <v>0</v>
      </c>
      <c r="AH22" s="736">
        <f t="shared" si="3"/>
        <v>1</v>
      </c>
      <c r="AI22" s="735">
        <f t="shared" si="4"/>
        <v>51480</v>
      </c>
    </row>
    <row r="23" spans="1:35" x14ac:dyDescent="0.2">
      <c r="A23" s="704" t="s">
        <v>600</v>
      </c>
      <c r="B23" s="736">
        <v>1</v>
      </c>
      <c r="C23" s="737">
        <v>4290</v>
      </c>
      <c r="D23" s="737"/>
      <c r="E23" s="737"/>
      <c r="F23" s="737"/>
      <c r="G23" s="737"/>
      <c r="H23" s="737"/>
      <c r="I23" s="737"/>
      <c r="J23" s="737"/>
      <c r="K23" s="737">
        <f t="shared" si="11"/>
        <v>4290</v>
      </c>
      <c r="L23" s="737"/>
      <c r="M23" s="737"/>
      <c r="N23" s="737">
        <f t="shared" si="0"/>
        <v>0</v>
      </c>
      <c r="O23" s="737">
        <f t="shared" si="5"/>
        <v>51480</v>
      </c>
      <c r="P23" s="737">
        <f t="shared" si="6"/>
        <v>51480</v>
      </c>
      <c r="Q23" s="737">
        <v>1</v>
      </c>
      <c r="R23" s="737">
        <v>4290</v>
      </c>
      <c r="S23" s="737"/>
      <c r="T23" s="737"/>
      <c r="U23" s="737"/>
      <c r="V23" s="737"/>
      <c r="W23" s="737"/>
      <c r="X23" s="737"/>
      <c r="Y23" s="737"/>
      <c r="Z23" s="737">
        <f t="shared" si="12"/>
        <v>4290</v>
      </c>
      <c r="AA23" s="737"/>
      <c r="AB23" s="737"/>
      <c r="AC23" s="737">
        <f t="shared" si="1"/>
        <v>0</v>
      </c>
      <c r="AD23" s="737">
        <f t="shared" si="7"/>
        <v>51480</v>
      </c>
      <c r="AE23" s="737">
        <f t="shared" si="8"/>
        <v>51480</v>
      </c>
      <c r="AF23" s="735">
        <f t="shared" si="2"/>
        <v>0</v>
      </c>
      <c r="AG23" s="736">
        <f t="shared" si="2"/>
        <v>0</v>
      </c>
      <c r="AH23" s="736">
        <f t="shared" si="3"/>
        <v>1</v>
      </c>
      <c r="AI23" s="735">
        <f t="shared" si="4"/>
        <v>51480</v>
      </c>
    </row>
    <row r="24" spans="1:35" x14ac:dyDescent="0.2">
      <c r="A24" s="704" t="s">
        <v>600</v>
      </c>
      <c r="B24" s="736">
        <v>1</v>
      </c>
      <c r="C24" s="737">
        <v>4290</v>
      </c>
      <c r="D24" s="737"/>
      <c r="E24" s="737"/>
      <c r="F24" s="737"/>
      <c r="G24" s="737"/>
      <c r="H24" s="737"/>
      <c r="I24" s="737"/>
      <c r="J24" s="737"/>
      <c r="K24" s="737">
        <f t="shared" si="11"/>
        <v>4290</v>
      </c>
      <c r="L24" s="737"/>
      <c r="M24" s="737"/>
      <c r="N24" s="737">
        <f t="shared" si="0"/>
        <v>0</v>
      </c>
      <c r="O24" s="737">
        <f t="shared" si="5"/>
        <v>51480</v>
      </c>
      <c r="P24" s="737">
        <f t="shared" si="6"/>
        <v>51480</v>
      </c>
      <c r="Q24" s="737">
        <v>1</v>
      </c>
      <c r="R24" s="737">
        <v>4290</v>
      </c>
      <c r="S24" s="737"/>
      <c r="T24" s="737"/>
      <c r="U24" s="737"/>
      <c r="V24" s="737"/>
      <c r="W24" s="737"/>
      <c r="X24" s="737"/>
      <c r="Y24" s="737"/>
      <c r="Z24" s="737">
        <f t="shared" si="12"/>
        <v>4290</v>
      </c>
      <c r="AA24" s="737"/>
      <c r="AB24" s="737"/>
      <c r="AC24" s="737">
        <f t="shared" si="1"/>
        <v>0</v>
      </c>
      <c r="AD24" s="737">
        <f t="shared" si="7"/>
        <v>51480</v>
      </c>
      <c r="AE24" s="737">
        <f t="shared" si="8"/>
        <v>51480</v>
      </c>
      <c r="AF24" s="735">
        <f t="shared" si="2"/>
        <v>0</v>
      </c>
      <c r="AG24" s="736">
        <f t="shared" si="2"/>
        <v>0</v>
      </c>
      <c r="AH24" s="736">
        <f t="shared" si="3"/>
        <v>1</v>
      </c>
      <c r="AI24" s="735">
        <f t="shared" si="4"/>
        <v>51480</v>
      </c>
    </row>
    <row r="25" spans="1:35" x14ac:dyDescent="0.2">
      <c r="A25" s="704" t="s">
        <v>600</v>
      </c>
      <c r="B25" s="736">
        <v>1</v>
      </c>
      <c r="C25" s="737">
        <v>4290</v>
      </c>
      <c r="D25" s="737"/>
      <c r="E25" s="737"/>
      <c r="F25" s="737"/>
      <c r="G25" s="737"/>
      <c r="H25" s="737"/>
      <c r="I25" s="737"/>
      <c r="J25" s="737"/>
      <c r="K25" s="737">
        <f>SUM(C25:J25)</f>
        <v>4290</v>
      </c>
      <c r="L25" s="737"/>
      <c r="M25" s="737"/>
      <c r="N25" s="737">
        <f t="shared" si="0"/>
        <v>0</v>
      </c>
      <c r="O25" s="737">
        <f t="shared" si="5"/>
        <v>51480</v>
      </c>
      <c r="P25" s="737">
        <f t="shared" si="6"/>
        <v>51480</v>
      </c>
      <c r="Q25" s="737">
        <v>1</v>
      </c>
      <c r="R25" s="737">
        <v>4290</v>
      </c>
      <c r="S25" s="737"/>
      <c r="T25" s="737"/>
      <c r="U25" s="737"/>
      <c r="V25" s="737"/>
      <c r="W25" s="737"/>
      <c r="X25" s="737"/>
      <c r="Y25" s="737"/>
      <c r="Z25" s="737">
        <f>SUM(R25:Y25)</f>
        <v>4290</v>
      </c>
      <c r="AA25" s="737"/>
      <c r="AB25" s="737"/>
      <c r="AC25" s="737">
        <f t="shared" si="1"/>
        <v>0</v>
      </c>
      <c r="AD25" s="737">
        <f t="shared" si="7"/>
        <v>51480</v>
      </c>
      <c r="AE25" s="737">
        <f t="shared" si="8"/>
        <v>51480</v>
      </c>
      <c r="AF25" s="735">
        <f t="shared" si="2"/>
        <v>0</v>
      </c>
      <c r="AG25" s="736">
        <f t="shared" si="2"/>
        <v>0</v>
      </c>
      <c r="AH25" s="736">
        <f t="shared" si="3"/>
        <v>1</v>
      </c>
      <c r="AI25" s="735">
        <f t="shared" si="4"/>
        <v>51480</v>
      </c>
    </row>
    <row r="26" spans="1:35" x14ac:dyDescent="0.2">
      <c r="A26" s="704" t="s">
        <v>600</v>
      </c>
      <c r="B26" s="736">
        <v>1</v>
      </c>
      <c r="C26" s="737">
        <v>4290</v>
      </c>
      <c r="D26" s="737"/>
      <c r="E26" s="737"/>
      <c r="F26" s="737"/>
      <c r="G26" s="737"/>
      <c r="H26" s="737"/>
      <c r="I26" s="737"/>
      <c r="J26" s="737"/>
      <c r="K26" s="737">
        <f t="shared" ref="K26:K33" si="13">SUM(C26:J26)</f>
        <v>4290</v>
      </c>
      <c r="L26" s="737"/>
      <c r="M26" s="737"/>
      <c r="N26" s="737">
        <f t="shared" si="0"/>
        <v>0</v>
      </c>
      <c r="O26" s="737">
        <f t="shared" si="5"/>
        <v>51480</v>
      </c>
      <c r="P26" s="737">
        <f t="shared" si="6"/>
        <v>51480</v>
      </c>
      <c r="Q26" s="737">
        <v>1</v>
      </c>
      <c r="R26" s="737">
        <v>4290</v>
      </c>
      <c r="S26" s="737"/>
      <c r="T26" s="737"/>
      <c r="U26" s="737"/>
      <c r="V26" s="737"/>
      <c r="W26" s="737"/>
      <c r="X26" s="737"/>
      <c r="Y26" s="737"/>
      <c r="Z26" s="737">
        <f t="shared" ref="Z26:Z31" si="14">SUM(R26:Y26)</f>
        <v>4290</v>
      </c>
      <c r="AA26" s="737"/>
      <c r="AB26" s="737"/>
      <c r="AC26" s="737">
        <f t="shared" si="1"/>
        <v>0</v>
      </c>
      <c r="AD26" s="737">
        <f t="shared" si="7"/>
        <v>51480</v>
      </c>
      <c r="AE26" s="737">
        <f t="shared" si="8"/>
        <v>51480</v>
      </c>
      <c r="AF26" s="735">
        <f t="shared" si="2"/>
        <v>0</v>
      </c>
      <c r="AG26" s="736">
        <f t="shared" si="2"/>
        <v>0</v>
      </c>
      <c r="AH26" s="736">
        <f t="shared" si="3"/>
        <v>1</v>
      </c>
      <c r="AI26" s="735">
        <f t="shared" si="4"/>
        <v>51480</v>
      </c>
    </row>
    <row r="27" spans="1:35" x14ac:dyDescent="0.2">
      <c r="A27" s="704" t="s">
        <v>600</v>
      </c>
      <c r="B27" s="736">
        <v>1</v>
      </c>
      <c r="C27" s="737">
        <v>4290</v>
      </c>
      <c r="D27" s="737"/>
      <c r="E27" s="737"/>
      <c r="F27" s="737"/>
      <c r="G27" s="737"/>
      <c r="H27" s="737"/>
      <c r="I27" s="737"/>
      <c r="J27" s="737"/>
      <c r="K27" s="737">
        <f t="shared" si="13"/>
        <v>4290</v>
      </c>
      <c r="L27" s="737"/>
      <c r="M27" s="737"/>
      <c r="N27" s="737">
        <f t="shared" si="0"/>
        <v>0</v>
      </c>
      <c r="O27" s="737">
        <f t="shared" si="5"/>
        <v>51480</v>
      </c>
      <c r="P27" s="737">
        <f t="shared" si="6"/>
        <v>51480</v>
      </c>
      <c r="Q27" s="737">
        <v>1</v>
      </c>
      <c r="R27" s="737">
        <v>4290</v>
      </c>
      <c r="S27" s="737"/>
      <c r="T27" s="737"/>
      <c r="U27" s="737"/>
      <c r="V27" s="737"/>
      <c r="W27" s="737"/>
      <c r="X27" s="737"/>
      <c r="Y27" s="737"/>
      <c r="Z27" s="737">
        <f t="shared" si="14"/>
        <v>4290</v>
      </c>
      <c r="AA27" s="737"/>
      <c r="AB27" s="737"/>
      <c r="AC27" s="737">
        <f t="shared" si="1"/>
        <v>0</v>
      </c>
      <c r="AD27" s="737">
        <f t="shared" si="7"/>
        <v>51480</v>
      </c>
      <c r="AE27" s="737">
        <f t="shared" si="8"/>
        <v>51480</v>
      </c>
      <c r="AF27" s="735">
        <f t="shared" si="2"/>
        <v>0</v>
      </c>
      <c r="AG27" s="736">
        <f t="shared" si="2"/>
        <v>0</v>
      </c>
      <c r="AH27" s="736">
        <f t="shared" si="3"/>
        <v>1</v>
      </c>
      <c r="AI27" s="735">
        <f t="shared" si="4"/>
        <v>51480</v>
      </c>
    </row>
    <row r="28" spans="1:35" x14ac:dyDescent="0.2">
      <c r="A28" s="704" t="s">
        <v>600</v>
      </c>
      <c r="B28" s="736">
        <v>1</v>
      </c>
      <c r="C28" s="737">
        <v>4290</v>
      </c>
      <c r="D28" s="737"/>
      <c r="E28" s="737"/>
      <c r="F28" s="737"/>
      <c r="G28" s="737"/>
      <c r="H28" s="737"/>
      <c r="I28" s="737"/>
      <c r="J28" s="737"/>
      <c r="K28" s="737">
        <f t="shared" si="13"/>
        <v>4290</v>
      </c>
      <c r="L28" s="737"/>
      <c r="M28" s="737"/>
      <c r="N28" s="737">
        <f t="shared" si="0"/>
        <v>0</v>
      </c>
      <c r="O28" s="737">
        <f t="shared" si="5"/>
        <v>51480</v>
      </c>
      <c r="P28" s="737">
        <f t="shared" si="6"/>
        <v>51480</v>
      </c>
      <c r="Q28" s="737">
        <v>1</v>
      </c>
      <c r="R28" s="737">
        <v>4290</v>
      </c>
      <c r="S28" s="737"/>
      <c r="T28" s="737"/>
      <c r="U28" s="737"/>
      <c r="V28" s="737"/>
      <c r="W28" s="737"/>
      <c r="X28" s="737"/>
      <c r="Y28" s="737"/>
      <c r="Z28" s="737">
        <f t="shared" si="14"/>
        <v>4290</v>
      </c>
      <c r="AA28" s="737"/>
      <c r="AB28" s="737"/>
      <c r="AC28" s="737">
        <f t="shared" si="1"/>
        <v>0</v>
      </c>
      <c r="AD28" s="737">
        <f t="shared" si="7"/>
        <v>51480</v>
      </c>
      <c r="AE28" s="737">
        <f t="shared" si="8"/>
        <v>51480</v>
      </c>
      <c r="AF28" s="735">
        <f t="shared" si="2"/>
        <v>0</v>
      </c>
      <c r="AG28" s="736">
        <f t="shared" si="2"/>
        <v>0</v>
      </c>
      <c r="AH28" s="736">
        <f t="shared" si="3"/>
        <v>1</v>
      </c>
      <c r="AI28" s="735">
        <f t="shared" si="4"/>
        <v>51480</v>
      </c>
    </row>
    <row r="29" spans="1:35" x14ac:dyDescent="0.2">
      <c r="A29" s="704" t="s">
        <v>600</v>
      </c>
      <c r="B29" s="736">
        <v>1</v>
      </c>
      <c r="C29" s="737">
        <v>4290</v>
      </c>
      <c r="D29" s="737"/>
      <c r="E29" s="737"/>
      <c r="F29" s="737"/>
      <c r="G29" s="737"/>
      <c r="H29" s="737"/>
      <c r="I29" s="737"/>
      <c r="J29" s="737"/>
      <c r="K29" s="737">
        <f t="shared" si="13"/>
        <v>4290</v>
      </c>
      <c r="L29" s="737"/>
      <c r="M29" s="737"/>
      <c r="N29" s="737">
        <f t="shared" si="0"/>
        <v>0</v>
      </c>
      <c r="O29" s="737">
        <f t="shared" si="5"/>
        <v>51480</v>
      </c>
      <c r="P29" s="737">
        <f t="shared" si="6"/>
        <v>51480</v>
      </c>
      <c r="Q29" s="737">
        <v>1</v>
      </c>
      <c r="R29" s="737">
        <v>4290</v>
      </c>
      <c r="S29" s="737"/>
      <c r="T29" s="737"/>
      <c r="U29" s="737"/>
      <c r="V29" s="737"/>
      <c r="W29" s="737"/>
      <c r="X29" s="737"/>
      <c r="Y29" s="737"/>
      <c r="Z29" s="737">
        <f t="shared" si="14"/>
        <v>4290</v>
      </c>
      <c r="AA29" s="737"/>
      <c r="AB29" s="737"/>
      <c r="AC29" s="737">
        <f t="shared" si="1"/>
        <v>0</v>
      </c>
      <c r="AD29" s="737">
        <f t="shared" si="7"/>
        <v>51480</v>
      </c>
      <c r="AE29" s="737">
        <f t="shared" si="8"/>
        <v>51480</v>
      </c>
      <c r="AF29" s="735">
        <f t="shared" si="2"/>
        <v>0</v>
      </c>
      <c r="AG29" s="736">
        <f t="shared" si="2"/>
        <v>0</v>
      </c>
      <c r="AH29" s="736">
        <f t="shared" si="3"/>
        <v>1</v>
      </c>
      <c r="AI29" s="735">
        <f t="shared" si="4"/>
        <v>51480</v>
      </c>
    </row>
    <row r="30" spans="1:35" x14ac:dyDescent="0.2">
      <c r="A30" s="704" t="s">
        <v>600</v>
      </c>
      <c r="B30" s="736">
        <v>1</v>
      </c>
      <c r="C30" s="737">
        <v>4290</v>
      </c>
      <c r="D30" s="737"/>
      <c r="E30" s="737"/>
      <c r="F30" s="737"/>
      <c r="G30" s="737"/>
      <c r="H30" s="737"/>
      <c r="I30" s="737"/>
      <c r="J30" s="737"/>
      <c r="K30" s="737">
        <f t="shared" si="13"/>
        <v>4290</v>
      </c>
      <c r="L30" s="737"/>
      <c r="M30" s="737"/>
      <c r="N30" s="737">
        <f t="shared" si="0"/>
        <v>0</v>
      </c>
      <c r="O30" s="737">
        <f t="shared" si="5"/>
        <v>51480</v>
      </c>
      <c r="P30" s="737">
        <f t="shared" si="6"/>
        <v>51480</v>
      </c>
      <c r="Q30" s="737">
        <v>1</v>
      </c>
      <c r="R30" s="737">
        <v>4290</v>
      </c>
      <c r="S30" s="737"/>
      <c r="T30" s="737"/>
      <c r="U30" s="737"/>
      <c r="V30" s="737"/>
      <c r="W30" s="737"/>
      <c r="X30" s="737"/>
      <c r="Y30" s="737"/>
      <c r="Z30" s="737">
        <f t="shared" si="14"/>
        <v>4290</v>
      </c>
      <c r="AA30" s="737"/>
      <c r="AB30" s="737"/>
      <c r="AC30" s="737">
        <f t="shared" si="1"/>
        <v>0</v>
      </c>
      <c r="AD30" s="737">
        <f t="shared" si="7"/>
        <v>51480</v>
      </c>
      <c r="AE30" s="737">
        <f t="shared" si="8"/>
        <v>51480</v>
      </c>
      <c r="AF30" s="735">
        <f t="shared" si="2"/>
        <v>0</v>
      </c>
      <c r="AG30" s="736">
        <f t="shared" si="2"/>
        <v>0</v>
      </c>
      <c r="AH30" s="736">
        <f t="shared" si="3"/>
        <v>1</v>
      </c>
      <c r="AI30" s="735">
        <f t="shared" si="4"/>
        <v>51480</v>
      </c>
    </row>
    <row r="31" spans="1:35" x14ac:dyDescent="0.2">
      <c r="A31" s="704" t="s">
        <v>600</v>
      </c>
      <c r="B31" s="736">
        <v>1</v>
      </c>
      <c r="C31" s="737">
        <v>4290</v>
      </c>
      <c r="D31" s="737"/>
      <c r="E31" s="737"/>
      <c r="F31" s="737"/>
      <c r="G31" s="737"/>
      <c r="H31" s="737"/>
      <c r="I31" s="737"/>
      <c r="J31" s="737"/>
      <c r="K31" s="737">
        <f t="shared" si="13"/>
        <v>4290</v>
      </c>
      <c r="L31" s="737"/>
      <c r="M31" s="737"/>
      <c r="N31" s="737">
        <f t="shared" si="0"/>
        <v>0</v>
      </c>
      <c r="O31" s="737">
        <f t="shared" si="5"/>
        <v>51480</v>
      </c>
      <c r="P31" s="737">
        <f t="shared" si="6"/>
        <v>51480</v>
      </c>
      <c r="Q31" s="737">
        <v>1</v>
      </c>
      <c r="R31" s="737">
        <v>4290</v>
      </c>
      <c r="S31" s="737"/>
      <c r="T31" s="737"/>
      <c r="U31" s="737"/>
      <c r="V31" s="737"/>
      <c r="W31" s="737"/>
      <c r="X31" s="737"/>
      <c r="Y31" s="737"/>
      <c r="Z31" s="737">
        <f t="shared" si="14"/>
        <v>4290</v>
      </c>
      <c r="AA31" s="737"/>
      <c r="AB31" s="737"/>
      <c r="AC31" s="737">
        <f t="shared" si="1"/>
        <v>0</v>
      </c>
      <c r="AD31" s="737">
        <f t="shared" si="7"/>
        <v>51480</v>
      </c>
      <c r="AE31" s="737">
        <f t="shared" si="8"/>
        <v>51480</v>
      </c>
      <c r="AF31" s="735">
        <f t="shared" si="2"/>
        <v>0</v>
      </c>
      <c r="AG31" s="736">
        <f t="shared" si="2"/>
        <v>0</v>
      </c>
      <c r="AH31" s="736">
        <f t="shared" si="3"/>
        <v>1</v>
      </c>
      <c r="AI31" s="735">
        <f t="shared" si="4"/>
        <v>51480</v>
      </c>
    </row>
    <row r="32" spans="1:35" x14ac:dyDescent="0.2">
      <c r="A32" s="704"/>
      <c r="B32" s="736"/>
      <c r="C32" s="737"/>
      <c r="D32" s="737"/>
      <c r="E32" s="737"/>
      <c r="F32" s="737"/>
      <c r="G32" s="737"/>
      <c r="H32" s="737"/>
      <c r="I32" s="737"/>
      <c r="J32" s="737"/>
      <c r="K32" s="737">
        <f t="shared" si="13"/>
        <v>0</v>
      </c>
      <c r="L32" s="737"/>
      <c r="M32" s="737"/>
      <c r="N32" s="737">
        <f t="shared" si="0"/>
        <v>0</v>
      </c>
      <c r="O32" s="737">
        <f t="shared" si="5"/>
        <v>0</v>
      </c>
      <c r="P32" s="737">
        <f t="shared" si="6"/>
        <v>0</v>
      </c>
      <c r="Q32" s="737"/>
      <c r="R32" s="737"/>
      <c r="S32" s="737"/>
      <c r="T32" s="737"/>
      <c r="U32" s="737"/>
      <c r="V32" s="737"/>
      <c r="W32" s="737"/>
      <c r="X32" s="737"/>
      <c r="Y32" s="737"/>
      <c r="Z32" s="737"/>
      <c r="AA32" s="737"/>
      <c r="AB32" s="737"/>
      <c r="AC32" s="737"/>
      <c r="AD32" s="737"/>
      <c r="AE32" s="737"/>
      <c r="AF32" s="735"/>
      <c r="AG32" s="736"/>
      <c r="AH32" s="736"/>
      <c r="AI32" s="735">
        <f t="shared" si="4"/>
        <v>0</v>
      </c>
    </row>
    <row r="33" spans="1:35" x14ac:dyDescent="0.2">
      <c r="A33" s="704" t="s">
        <v>682</v>
      </c>
      <c r="B33" s="736">
        <v>42</v>
      </c>
      <c r="C33" s="737">
        <v>2566.69</v>
      </c>
      <c r="D33" s="737"/>
      <c r="E33" s="737"/>
      <c r="F33" s="737"/>
      <c r="G33" s="737"/>
      <c r="H33" s="737"/>
      <c r="I33" s="737"/>
      <c r="J33" s="737">
        <v>83.333299999999994</v>
      </c>
      <c r="K33" s="737">
        <f t="shared" si="13"/>
        <v>2650.0232999999998</v>
      </c>
      <c r="L33" s="737">
        <v>1000</v>
      </c>
      <c r="M33" s="737"/>
      <c r="N33" s="737"/>
      <c r="O33" s="737">
        <f t="shared" si="5"/>
        <v>31800.279599999998</v>
      </c>
      <c r="P33" s="737">
        <f t="shared" si="6"/>
        <v>1335611.7431999999</v>
      </c>
      <c r="Q33" s="737">
        <v>42</v>
      </c>
      <c r="R33" s="737">
        <v>2566.69</v>
      </c>
      <c r="S33" s="737"/>
      <c r="T33" s="737"/>
      <c r="U33" s="737"/>
      <c r="V33" s="737"/>
      <c r="W33" s="737"/>
      <c r="X33" s="737"/>
      <c r="Y33" s="737">
        <v>83.333299999999994</v>
      </c>
      <c r="Z33" s="737">
        <f t="shared" ref="Z33" si="15">SUM(R33:Y33)</f>
        <v>2650.0232999999998</v>
      </c>
      <c r="AA33" s="737">
        <v>1000</v>
      </c>
      <c r="AB33" s="737"/>
      <c r="AC33" s="737"/>
      <c r="AD33" s="737">
        <f t="shared" ref="AD33" si="16">Z33*12+AC33</f>
        <v>31800.279599999998</v>
      </c>
      <c r="AE33" s="737">
        <f t="shared" ref="AE33" si="17">Q33*AD33</f>
        <v>1335611.7431999999</v>
      </c>
      <c r="AF33" s="735">
        <v>0</v>
      </c>
      <c r="AG33" s="711">
        <v>0</v>
      </c>
      <c r="AH33" s="711">
        <v>0</v>
      </c>
      <c r="AI33" s="735">
        <f t="shared" si="4"/>
        <v>1335611.7431999999</v>
      </c>
    </row>
    <row r="34" spans="1:35" x14ac:dyDescent="0.2">
      <c r="A34" s="706" t="s">
        <v>169</v>
      </c>
      <c r="B34" s="740">
        <f>SUM(B2:B31)</f>
        <v>206</v>
      </c>
      <c r="C34" s="741">
        <f>SUM(C2:C31)</f>
        <v>51894.22</v>
      </c>
      <c r="D34" s="741">
        <f>SUM(D2:D31)</f>
        <v>42252.59</v>
      </c>
      <c r="E34" s="741"/>
      <c r="F34" s="741"/>
      <c r="G34" s="741"/>
      <c r="H34" s="741"/>
      <c r="I34" s="741"/>
      <c r="J34" s="741">
        <f>SUM(J2:J31)</f>
        <v>19817.669999999998</v>
      </c>
      <c r="K34" s="741">
        <f>SUM(K2:K31)</f>
        <v>113964.48000000003</v>
      </c>
      <c r="L34" s="741">
        <f>SUM(L2:L31)</f>
        <v>13000</v>
      </c>
      <c r="M34" s="741"/>
      <c r="N34" s="741">
        <f>SUM(N2:N31)</f>
        <v>13000</v>
      </c>
      <c r="O34" s="741">
        <f>SUM(O2:O33)</f>
        <v>1412374.0396000003</v>
      </c>
      <c r="P34" s="741">
        <f>SUM(P2:P31)</f>
        <v>9996997.839999998</v>
      </c>
      <c r="Q34" s="741">
        <f>SUM(Q2:Q31)</f>
        <v>206</v>
      </c>
      <c r="R34" s="741">
        <f>SUM(R2:R31)</f>
        <v>51894.22</v>
      </c>
      <c r="S34" s="741">
        <f>SUM(S2:S31)</f>
        <v>42252.59</v>
      </c>
      <c r="T34" s="741"/>
      <c r="U34" s="741"/>
      <c r="V34" s="741"/>
      <c r="W34" s="741"/>
      <c r="X34" s="741"/>
      <c r="Y34" s="741">
        <f>SUM(Y2:Y31)</f>
        <v>19817.669999999998</v>
      </c>
      <c r="Z34" s="741">
        <f>SUM(Z2:Z31)</f>
        <v>113964.48000000003</v>
      </c>
      <c r="AA34" s="741">
        <f>SUM(AA2:AA31)</f>
        <v>13000</v>
      </c>
      <c r="AB34" s="741"/>
      <c r="AC34" s="741">
        <f>SUM(AC2:AC31)</f>
        <v>13000</v>
      </c>
      <c r="AD34" s="741">
        <f>SUM(AD2:AD31)</f>
        <v>1380573.7600000002</v>
      </c>
      <c r="AE34" s="741">
        <f>SUM(AE2:AE31)</f>
        <v>9996997.839999998</v>
      </c>
      <c r="AF34" s="742"/>
      <c r="AG34" s="743"/>
      <c r="AH34" s="743"/>
      <c r="AI34" s="742"/>
    </row>
    <row r="35" spans="1:35" x14ac:dyDescent="0.2">
      <c r="B35" s="17"/>
      <c r="C35" s="17"/>
      <c r="D35" s="17"/>
      <c r="E35" s="17"/>
      <c r="F35" s="17"/>
      <c r="G35" s="17"/>
      <c r="H35" s="17"/>
      <c r="I35" s="17"/>
      <c r="J35" s="17"/>
      <c r="K35" s="17"/>
      <c r="L35" s="17"/>
      <c r="M35" s="17"/>
      <c r="N35" s="17"/>
      <c r="O35" s="17"/>
      <c r="P35" s="17"/>
      <c r="R35" s="17"/>
      <c r="S35" s="17"/>
      <c r="T35" s="17"/>
      <c r="U35" s="17"/>
      <c r="V35" s="17"/>
      <c r="W35" s="17"/>
      <c r="X35" s="17"/>
      <c r="Y35" s="17"/>
      <c r="Z35" s="17"/>
      <c r="AA35" s="17"/>
      <c r="AB35" s="17"/>
      <c r="AC35" s="17"/>
      <c r="AD35" s="17"/>
      <c r="AE35" s="17"/>
      <c r="AF35" s="17"/>
      <c r="AG35" s="17"/>
      <c r="AH35" s="17"/>
      <c r="AI35" s="17"/>
    </row>
    <row r="36" spans="1:35" x14ac:dyDescent="0.2">
      <c r="B36" s="17"/>
      <c r="C36" s="17"/>
      <c r="D36" s="17"/>
      <c r="E36" s="17"/>
      <c r="F36" s="17"/>
      <c r="G36" s="17"/>
      <c r="H36" s="17"/>
      <c r="I36" s="17"/>
      <c r="J36" s="17"/>
      <c r="K36" s="17"/>
      <c r="L36" s="17"/>
      <c r="M36" s="17"/>
      <c r="N36" s="17"/>
      <c r="O36" s="17"/>
      <c r="P36" s="17"/>
      <c r="R36" s="17"/>
      <c r="S36" s="17"/>
      <c r="T36" s="17"/>
      <c r="U36" s="17"/>
      <c r="V36" s="17"/>
      <c r="W36" s="17"/>
      <c r="X36" s="17"/>
      <c r="Y36" s="17"/>
      <c r="Z36" s="17"/>
      <c r="AA36" s="17"/>
      <c r="AB36" s="17"/>
      <c r="AC36" s="17"/>
      <c r="AD36" s="17"/>
      <c r="AE36" s="17"/>
      <c r="AF36" s="17"/>
      <c r="AG36" s="17"/>
      <c r="AH36" s="17"/>
      <c r="AI36" s="17"/>
    </row>
    <row r="37" spans="1:35" ht="36" x14ac:dyDescent="0.2">
      <c r="A37" s="706" t="s">
        <v>683</v>
      </c>
      <c r="B37" s="740"/>
      <c r="C37" s="741"/>
      <c r="D37" s="741"/>
      <c r="E37" s="741"/>
      <c r="F37" s="741"/>
      <c r="G37" s="741"/>
      <c r="H37" s="741"/>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2"/>
      <c r="AG37" s="743"/>
      <c r="AH37" s="743"/>
      <c r="AI37" s="742"/>
    </row>
    <row r="38" spans="1:35" x14ac:dyDescent="0.2">
      <c r="A38" s="1485" t="s">
        <v>644</v>
      </c>
      <c r="B38" s="1487" t="s">
        <v>645</v>
      </c>
      <c r="C38" s="1487"/>
      <c r="D38" s="1487"/>
      <c r="E38" s="1487"/>
      <c r="F38" s="1487"/>
      <c r="G38" s="1487"/>
      <c r="H38" s="1487"/>
      <c r="I38" s="1487"/>
      <c r="J38" s="1487"/>
      <c r="K38" s="1487"/>
      <c r="L38" s="1487"/>
      <c r="M38" s="1487"/>
      <c r="N38" s="1487"/>
      <c r="O38" s="1487"/>
      <c r="P38" s="1487"/>
      <c r="Q38" s="1487" t="s">
        <v>646</v>
      </c>
      <c r="R38" s="1487"/>
      <c r="S38" s="1487"/>
      <c r="T38" s="1487"/>
      <c r="U38" s="1487"/>
      <c r="V38" s="1487"/>
      <c r="W38" s="1487"/>
      <c r="X38" s="1487"/>
      <c r="Y38" s="1487"/>
      <c r="Z38" s="1487"/>
      <c r="AA38" s="1487"/>
      <c r="AB38" s="1487"/>
      <c r="AC38" s="1487"/>
      <c r="AD38" s="1487"/>
      <c r="AE38" s="1487"/>
      <c r="AF38" s="1487" t="s">
        <v>647</v>
      </c>
      <c r="AG38" s="1487"/>
      <c r="AH38" s="1487" t="s">
        <v>648</v>
      </c>
      <c r="AI38" s="1487"/>
    </row>
    <row r="39" spans="1:35" ht="120" customHeight="1" x14ac:dyDescent="0.2">
      <c r="A39" s="1485"/>
      <c r="B39" s="691" t="s">
        <v>649</v>
      </c>
      <c r="C39" s="692" t="s">
        <v>650</v>
      </c>
      <c r="D39" s="692" t="s">
        <v>684</v>
      </c>
      <c r="E39" s="692" t="s">
        <v>652</v>
      </c>
      <c r="F39" s="692" t="s">
        <v>653</v>
      </c>
      <c r="G39" s="692" t="s">
        <v>654</v>
      </c>
      <c r="H39" s="692" t="s">
        <v>655</v>
      </c>
      <c r="I39" s="692" t="s">
        <v>656</v>
      </c>
      <c r="J39" s="692" t="s">
        <v>657</v>
      </c>
      <c r="K39" s="692" t="s">
        <v>658</v>
      </c>
      <c r="L39" s="692" t="s">
        <v>659</v>
      </c>
      <c r="M39" s="692" t="s">
        <v>660</v>
      </c>
      <c r="N39" s="692" t="s">
        <v>661</v>
      </c>
      <c r="O39" s="692" t="s">
        <v>662</v>
      </c>
      <c r="P39" s="692" t="s">
        <v>685</v>
      </c>
      <c r="Q39" s="691" t="s">
        <v>649</v>
      </c>
      <c r="R39" s="692" t="s">
        <v>650</v>
      </c>
      <c r="S39" s="692" t="s">
        <v>651</v>
      </c>
      <c r="T39" s="692" t="s">
        <v>652</v>
      </c>
      <c r="U39" s="692" t="s">
        <v>653</v>
      </c>
      <c r="V39" s="692" t="s">
        <v>654</v>
      </c>
      <c r="W39" s="692" t="s">
        <v>655</v>
      </c>
      <c r="X39" s="692" t="s">
        <v>656</v>
      </c>
      <c r="Y39" s="692" t="s">
        <v>657</v>
      </c>
      <c r="Z39" s="692" t="s">
        <v>658</v>
      </c>
      <c r="AA39" s="692" t="s">
        <v>659</v>
      </c>
      <c r="AB39" s="692" t="s">
        <v>660</v>
      </c>
      <c r="AC39" s="692" t="s">
        <v>661</v>
      </c>
      <c r="AD39" s="692" t="s">
        <v>662</v>
      </c>
      <c r="AE39" s="692" t="s">
        <v>686</v>
      </c>
      <c r="AF39" s="692" t="s">
        <v>664</v>
      </c>
      <c r="AG39" s="691" t="s">
        <v>665</v>
      </c>
      <c r="AH39" s="691" t="s">
        <v>649</v>
      </c>
      <c r="AI39" s="692" t="s">
        <v>687</v>
      </c>
    </row>
    <row r="40" spans="1:35" x14ac:dyDescent="0.2">
      <c r="A40" s="1486"/>
      <c r="B40" s="555" t="s">
        <v>667</v>
      </c>
      <c r="C40" s="733" t="s">
        <v>668</v>
      </c>
      <c r="D40" s="733" t="s">
        <v>669</v>
      </c>
      <c r="E40" s="733" t="s">
        <v>670</v>
      </c>
      <c r="F40" s="734" t="s">
        <v>671</v>
      </c>
      <c r="G40" s="734" t="s">
        <v>672</v>
      </c>
      <c r="H40" s="734" t="s">
        <v>673</v>
      </c>
      <c r="I40" s="734" t="s">
        <v>674</v>
      </c>
      <c r="J40" s="734" t="s">
        <v>675</v>
      </c>
      <c r="K40" s="734" t="s">
        <v>676</v>
      </c>
      <c r="L40" s="734" t="s">
        <v>677</v>
      </c>
      <c r="M40" s="734" t="s">
        <v>678</v>
      </c>
      <c r="N40" s="734" t="s">
        <v>679</v>
      </c>
      <c r="O40" s="734" t="s">
        <v>680</v>
      </c>
      <c r="P40" s="734" t="s">
        <v>681</v>
      </c>
      <c r="Q40" s="555" t="s">
        <v>667</v>
      </c>
      <c r="R40" s="733" t="s">
        <v>668</v>
      </c>
      <c r="S40" s="733" t="s">
        <v>669</v>
      </c>
      <c r="T40" s="733" t="s">
        <v>670</v>
      </c>
      <c r="U40" s="734" t="s">
        <v>671</v>
      </c>
      <c r="V40" s="734" t="s">
        <v>672</v>
      </c>
      <c r="W40" s="734" t="s">
        <v>673</v>
      </c>
      <c r="X40" s="734" t="s">
        <v>674</v>
      </c>
      <c r="Y40" s="734" t="s">
        <v>675</v>
      </c>
      <c r="Z40" s="734" t="s">
        <v>676</v>
      </c>
      <c r="AA40" s="734" t="s">
        <v>677</v>
      </c>
      <c r="AB40" s="734" t="s">
        <v>678</v>
      </c>
      <c r="AC40" s="734" t="s">
        <v>679</v>
      </c>
      <c r="AD40" s="734" t="s">
        <v>680</v>
      </c>
      <c r="AE40" s="734" t="s">
        <v>681</v>
      </c>
      <c r="AF40" s="733"/>
      <c r="AG40" s="555"/>
      <c r="AH40" s="555"/>
      <c r="AI40" s="733"/>
    </row>
    <row r="41" spans="1:35" x14ac:dyDescent="0.2">
      <c r="A41" s="704"/>
      <c r="B41" s="711"/>
      <c r="C41" s="735"/>
      <c r="D41" s="735"/>
      <c r="E41" s="735"/>
      <c r="F41" s="735"/>
      <c r="G41" s="735"/>
      <c r="H41" s="735"/>
      <c r="I41" s="735"/>
      <c r="J41" s="735"/>
      <c r="K41" s="735"/>
      <c r="L41" s="735"/>
      <c r="M41" s="735"/>
      <c r="N41" s="735"/>
      <c r="O41" s="735"/>
      <c r="P41" s="735"/>
      <c r="Q41" s="421"/>
      <c r="R41" s="735"/>
      <c r="S41" s="735"/>
      <c r="T41" s="735"/>
      <c r="U41" s="735"/>
      <c r="V41" s="735"/>
      <c r="W41" s="735"/>
      <c r="X41" s="735"/>
      <c r="Y41" s="735"/>
      <c r="Z41" s="735"/>
      <c r="AA41" s="735"/>
      <c r="AB41" s="735"/>
      <c r="AC41" s="735"/>
      <c r="AD41" s="735"/>
      <c r="AE41" s="735"/>
      <c r="AF41" s="735"/>
      <c r="AG41" s="711"/>
      <c r="AH41" s="711"/>
      <c r="AI41" s="735"/>
    </row>
    <row r="42" spans="1:35" x14ac:dyDescent="0.2">
      <c r="A42" s="704" t="s">
        <v>688</v>
      </c>
      <c r="B42" s="711"/>
      <c r="C42" s="735"/>
      <c r="D42" s="735"/>
      <c r="E42" s="735"/>
      <c r="F42" s="735"/>
      <c r="G42" s="735"/>
      <c r="H42" s="735"/>
      <c r="I42" s="735"/>
      <c r="J42" s="735"/>
      <c r="K42" s="735"/>
      <c r="L42" s="735"/>
      <c r="M42" s="735"/>
      <c r="N42" s="735"/>
      <c r="O42" s="735"/>
      <c r="P42" s="735"/>
      <c r="Q42" s="421"/>
      <c r="R42" s="735"/>
      <c r="S42" s="735"/>
      <c r="T42" s="735"/>
      <c r="U42" s="735"/>
      <c r="V42" s="735"/>
      <c r="W42" s="735"/>
      <c r="X42" s="735"/>
      <c r="Y42" s="735"/>
      <c r="Z42" s="735"/>
      <c r="AA42" s="735"/>
      <c r="AB42" s="735"/>
      <c r="AC42" s="735"/>
      <c r="AD42" s="735"/>
      <c r="AE42" s="735"/>
      <c r="AF42" s="735"/>
      <c r="AG42" s="711"/>
      <c r="AH42" s="711"/>
      <c r="AI42" s="735"/>
    </row>
    <row r="43" spans="1:35" x14ac:dyDescent="0.2">
      <c r="A43" s="704" t="s">
        <v>405</v>
      </c>
      <c r="B43" s="711">
        <v>1</v>
      </c>
      <c r="C43" s="735">
        <v>936.17</v>
      </c>
      <c r="D43" s="735">
        <v>1870</v>
      </c>
      <c r="E43" s="735"/>
      <c r="F43" s="735"/>
      <c r="G43" s="735"/>
      <c r="H43" s="735"/>
      <c r="I43" s="735"/>
      <c r="J43" s="735"/>
      <c r="K43" s="735">
        <f>C43+D43</f>
        <v>2806.17</v>
      </c>
      <c r="L43" s="735">
        <v>1000</v>
      </c>
      <c r="M43" s="735"/>
      <c r="N43" s="735">
        <v>1000</v>
      </c>
      <c r="O43" s="735">
        <f>K43*12+N43</f>
        <v>34674.04</v>
      </c>
      <c r="P43" s="735">
        <f>B43*O43</f>
        <v>34674.04</v>
      </c>
      <c r="Q43" s="421">
        <v>1</v>
      </c>
      <c r="R43" s="735">
        <v>936.17</v>
      </c>
      <c r="S43" s="735">
        <v>1870</v>
      </c>
      <c r="T43" s="735"/>
      <c r="U43" s="735"/>
      <c r="V43" s="735"/>
      <c r="W43" s="735"/>
      <c r="X43" s="735"/>
      <c r="Y43" s="735"/>
      <c r="Z43" s="735">
        <f>R43+S43</f>
        <v>2806.17</v>
      </c>
      <c r="AA43" s="735">
        <v>1000</v>
      </c>
      <c r="AB43" s="735"/>
      <c r="AC43" s="735">
        <v>1000</v>
      </c>
      <c r="AD43" s="735">
        <f>Z43*12+AC43</f>
        <v>34674.04</v>
      </c>
      <c r="AE43" s="735">
        <f>Q43*AD43</f>
        <v>34674.04</v>
      </c>
      <c r="AF43" s="735">
        <v>0</v>
      </c>
      <c r="AG43" s="711">
        <v>0</v>
      </c>
      <c r="AH43" s="711">
        <v>1</v>
      </c>
      <c r="AI43" s="564">
        <f>AE43</f>
        <v>34674.04</v>
      </c>
    </row>
    <row r="44" spans="1:35" x14ac:dyDescent="0.2">
      <c r="A44" s="704" t="s">
        <v>405</v>
      </c>
      <c r="B44" s="711">
        <v>1</v>
      </c>
      <c r="C44" s="735">
        <v>936.17</v>
      </c>
      <c r="D44" s="735">
        <v>1870</v>
      </c>
      <c r="E44" s="735"/>
      <c r="F44" s="735"/>
      <c r="G44" s="735"/>
      <c r="H44" s="735"/>
      <c r="I44" s="735"/>
      <c r="J44" s="735"/>
      <c r="K44" s="735">
        <f t="shared" ref="K44:K50" si="18">C44+D44</f>
        <v>2806.17</v>
      </c>
      <c r="L44" s="735">
        <v>1000</v>
      </c>
      <c r="M44" s="735"/>
      <c r="N44" s="735">
        <v>1000</v>
      </c>
      <c r="O44" s="735">
        <f t="shared" ref="O44:O50" si="19">K44*12+N44</f>
        <v>34674.04</v>
      </c>
      <c r="P44" s="735">
        <f t="shared" ref="P44:P50" si="20">B44*O44</f>
        <v>34674.04</v>
      </c>
      <c r="Q44" s="421">
        <v>1</v>
      </c>
      <c r="R44" s="735">
        <v>936.17</v>
      </c>
      <c r="S44" s="735">
        <v>1870</v>
      </c>
      <c r="T44" s="735"/>
      <c r="U44" s="735"/>
      <c r="V44" s="735"/>
      <c r="W44" s="735"/>
      <c r="X44" s="735"/>
      <c r="Y44" s="735"/>
      <c r="Z44" s="735">
        <f t="shared" ref="Z44:Z50" si="21">R44+S44</f>
        <v>2806.17</v>
      </c>
      <c r="AA44" s="735">
        <v>1000</v>
      </c>
      <c r="AB44" s="735"/>
      <c r="AC44" s="735">
        <v>1000</v>
      </c>
      <c r="AD44" s="735">
        <f t="shared" ref="AD44:AD50" si="22">Z44*12+AC44</f>
        <v>34674.04</v>
      </c>
      <c r="AE44" s="735">
        <f t="shared" ref="AE44:AE50" si="23">Q44*AD44</f>
        <v>34674.04</v>
      </c>
      <c r="AF44" s="735"/>
      <c r="AG44" s="711"/>
      <c r="AH44" s="711">
        <v>1</v>
      </c>
      <c r="AI44" s="564">
        <f t="shared" ref="AI44:AI50" si="24">AE44</f>
        <v>34674.04</v>
      </c>
    </row>
    <row r="45" spans="1:35" x14ac:dyDescent="0.2">
      <c r="A45" s="704" t="s">
        <v>405</v>
      </c>
      <c r="B45" s="711">
        <v>1</v>
      </c>
      <c r="C45" s="735">
        <v>936.17</v>
      </c>
      <c r="D45" s="735">
        <v>1870</v>
      </c>
      <c r="E45" s="735"/>
      <c r="F45" s="735"/>
      <c r="G45" s="735"/>
      <c r="H45" s="735"/>
      <c r="I45" s="735"/>
      <c r="J45" s="735"/>
      <c r="K45" s="735">
        <f t="shared" si="18"/>
        <v>2806.17</v>
      </c>
      <c r="L45" s="735">
        <v>1000</v>
      </c>
      <c r="M45" s="735"/>
      <c r="N45" s="735">
        <v>1000</v>
      </c>
      <c r="O45" s="735">
        <f t="shared" si="19"/>
        <v>34674.04</v>
      </c>
      <c r="P45" s="735">
        <f t="shared" si="20"/>
        <v>34674.04</v>
      </c>
      <c r="Q45" s="421">
        <v>1</v>
      </c>
      <c r="R45" s="735">
        <v>936.17</v>
      </c>
      <c r="S45" s="735">
        <v>1870</v>
      </c>
      <c r="T45" s="735"/>
      <c r="U45" s="735"/>
      <c r="V45" s="735"/>
      <c r="W45" s="735"/>
      <c r="X45" s="735"/>
      <c r="Y45" s="735"/>
      <c r="Z45" s="735">
        <f t="shared" si="21"/>
        <v>2806.17</v>
      </c>
      <c r="AA45" s="735">
        <v>1000</v>
      </c>
      <c r="AB45" s="735"/>
      <c r="AC45" s="735">
        <v>1000</v>
      </c>
      <c r="AD45" s="735">
        <f t="shared" si="22"/>
        <v>34674.04</v>
      </c>
      <c r="AE45" s="735">
        <f t="shared" si="23"/>
        <v>34674.04</v>
      </c>
      <c r="AF45" s="735"/>
      <c r="AG45" s="711"/>
      <c r="AH45" s="711">
        <v>1</v>
      </c>
      <c r="AI45" s="564">
        <f t="shared" si="24"/>
        <v>34674.04</v>
      </c>
    </row>
    <row r="46" spans="1:35" x14ac:dyDescent="0.2">
      <c r="A46" s="704" t="s">
        <v>404</v>
      </c>
      <c r="B46" s="711">
        <v>1</v>
      </c>
      <c r="C46" s="735">
        <v>1038.1099999999999</v>
      </c>
      <c r="D46" s="735">
        <v>2260</v>
      </c>
      <c r="E46" s="735"/>
      <c r="F46" s="735"/>
      <c r="G46" s="735"/>
      <c r="H46" s="735"/>
      <c r="I46" s="735"/>
      <c r="J46" s="735"/>
      <c r="K46" s="735">
        <f t="shared" si="18"/>
        <v>3298.1099999999997</v>
      </c>
      <c r="L46" s="735">
        <v>1000</v>
      </c>
      <c r="M46" s="735"/>
      <c r="N46" s="735">
        <v>1000</v>
      </c>
      <c r="O46" s="735">
        <f t="shared" si="19"/>
        <v>40577.319999999992</v>
      </c>
      <c r="P46" s="735">
        <f t="shared" si="20"/>
        <v>40577.319999999992</v>
      </c>
      <c r="Q46" s="421">
        <v>1</v>
      </c>
      <c r="R46" s="735">
        <v>1038.1099999999999</v>
      </c>
      <c r="S46" s="735">
        <v>2260</v>
      </c>
      <c r="T46" s="735"/>
      <c r="U46" s="735"/>
      <c r="V46" s="735"/>
      <c r="W46" s="735"/>
      <c r="X46" s="735"/>
      <c r="Y46" s="735"/>
      <c r="Z46" s="735">
        <f t="shared" si="21"/>
        <v>3298.1099999999997</v>
      </c>
      <c r="AA46" s="735">
        <v>1000</v>
      </c>
      <c r="AB46" s="735"/>
      <c r="AC46" s="735">
        <v>1000</v>
      </c>
      <c r="AD46" s="735">
        <f t="shared" si="22"/>
        <v>40577.319999999992</v>
      </c>
      <c r="AE46" s="735">
        <f t="shared" si="23"/>
        <v>40577.319999999992</v>
      </c>
      <c r="AF46" s="735">
        <v>0</v>
      </c>
      <c r="AG46" s="711">
        <v>0</v>
      </c>
      <c r="AH46" s="711">
        <v>1</v>
      </c>
      <c r="AI46" s="564">
        <f t="shared" si="24"/>
        <v>40577.319999999992</v>
      </c>
    </row>
    <row r="47" spans="1:35" x14ac:dyDescent="0.2">
      <c r="A47" s="704" t="s">
        <v>386</v>
      </c>
      <c r="B47" s="711">
        <v>1</v>
      </c>
      <c r="C47" s="735">
        <v>697.55</v>
      </c>
      <c r="D47" s="735">
        <v>1110</v>
      </c>
      <c r="E47" s="735"/>
      <c r="F47" s="735"/>
      <c r="G47" s="735"/>
      <c r="H47" s="735"/>
      <c r="I47" s="735"/>
      <c r="J47" s="735"/>
      <c r="K47" s="735">
        <f t="shared" si="18"/>
        <v>1807.55</v>
      </c>
      <c r="L47" s="735">
        <v>1000</v>
      </c>
      <c r="M47" s="735"/>
      <c r="N47" s="735">
        <v>1000</v>
      </c>
      <c r="O47" s="735">
        <f t="shared" si="19"/>
        <v>22690.6</v>
      </c>
      <c r="P47" s="735">
        <f t="shared" si="20"/>
        <v>22690.6</v>
      </c>
      <c r="Q47" s="421">
        <v>1</v>
      </c>
      <c r="R47" s="735">
        <v>697.55</v>
      </c>
      <c r="S47" s="735">
        <v>1110</v>
      </c>
      <c r="T47" s="735"/>
      <c r="U47" s="735"/>
      <c r="V47" s="735"/>
      <c r="W47" s="735"/>
      <c r="X47" s="735"/>
      <c r="Y47" s="735"/>
      <c r="Z47" s="735">
        <f t="shared" si="21"/>
        <v>1807.55</v>
      </c>
      <c r="AA47" s="735">
        <v>1000</v>
      </c>
      <c r="AB47" s="735"/>
      <c r="AC47" s="735">
        <v>1000</v>
      </c>
      <c r="AD47" s="735">
        <f t="shared" si="22"/>
        <v>22690.6</v>
      </c>
      <c r="AE47" s="735">
        <f t="shared" si="23"/>
        <v>22690.6</v>
      </c>
      <c r="AF47" s="735"/>
      <c r="AG47" s="711"/>
      <c r="AH47" s="711">
        <v>1</v>
      </c>
      <c r="AI47" s="564">
        <f t="shared" si="24"/>
        <v>22690.6</v>
      </c>
    </row>
    <row r="48" spans="1:35" x14ac:dyDescent="0.2">
      <c r="A48" s="704" t="s">
        <v>408</v>
      </c>
      <c r="B48" s="711">
        <v>1</v>
      </c>
      <c r="C48" s="735">
        <v>595.64</v>
      </c>
      <c r="D48" s="735">
        <v>1070</v>
      </c>
      <c r="E48" s="735"/>
      <c r="F48" s="735"/>
      <c r="G48" s="735"/>
      <c r="H48" s="735"/>
      <c r="I48" s="735"/>
      <c r="J48" s="735"/>
      <c r="K48" s="735">
        <f t="shared" si="18"/>
        <v>1665.6399999999999</v>
      </c>
      <c r="L48" s="735">
        <v>1000</v>
      </c>
      <c r="M48" s="735"/>
      <c r="N48" s="735">
        <v>1000</v>
      </c>
      <c r="O48" s="735">
        <f t="shared" si="19"/>
        <v>20987.68</v>
      </c>
      <c r="P48" s="735">
        <f t="shared" si="20"/>
        <v>20987.68</v>
      </c>
      <c r="Q48" s="421">
        <v>1</v>
      </c>
      <c r="R48" s="735">
        <v>595.64</v>
      </c>
      <c r="S48" s="735">
        <v>1070</v>
      </c>
      <c r="T48" s="735"/>
      <c r="U48" s="735"/>
      <c r="V48" s="735"/>
      <c r="W48" s="735"/>
      <c r="X48" s="735"/>
      <c r="Y48" s="735"/>
      <c r="Z48" s="735">
        <f t="shared" si="21"/>
        <v>1665.6399999999999</v>
      </c>
      <c r="AA48" s="735">
        <v>1000</v>
      </c>
      <c r="AB48" s="735"/>
      <c r="AC48" s="735">
        <v>1000</v>
      </c>
      <c r="AD48" s="735">
        <f t="shared" si="22"/>
        <v>20987.68</v>
      </c>
      <c r="AE48" s="735">
        <f t="shared" si="23"/>
        <v>20987.68</v>
      </c>
      <c r="AF48" s="735"/>
      <c r="AG48" s="711"/>
      <c r="AH48" s="711">
        <v>1</v>
      </c>
      <c r="AI48" s="564">
        <f t="shared" si="24"/>
        <v>20987.68</v>
      </c>
    </row>
    <row r="49" spans="1:35" x14ac:dyDescent="0.2">
      <c r="A49" s="704" t="s">
        <v>408</v>
      </c>
      <c r="B49" s="711">
        <v>1</v>
      </c>
      <c r="C49" s="735">
        <v>595.64</v>
      </c>
      <c r="D49" s="735">
        <v>1070</v>
      </c>
      <c r="E49" s="735"/>
      <c r="F49" s="735"/>
      <c r="G49" s="735"/>
      <c r="H49" s="735"/>
      <c r="I49" s="735"/>
      <c r="J49" s="735"/>
      <c r="K49" s="735">
        <f t="shared" si="18"/>
        <v>1665.6399999999999</v>
      </c>
      <c r="L49" s="735">
        <v>1000</v>
      </c>
      <c r="M49" s="735"/>
      <c r="N49" s="735">
        <v>1000</v>
      </c>
      <c r="O49" s="735">
        <f t="shared" si="19"/>
        <v>20987.68</v>
      </c>
      <c r="P49" s="735">
        <f t="shared" si="20"/>
        <v>20987.68</v>
      </c>
      <c r="Q49" s="421">
        <v>1</v>
      </c>
      <c r="R49" s="735">
        <v>595.64</v>
      </c>
      <c r="S49" s="735">
        <v>1070</v>
      </c>
      <c r="T49" s="735"/>
      <c r="U49" s="735"/>
      <c r="V49" s="735"/>
      <c r="W49" s="735"/>
      <c r="X49" s="735"/>
      <c r="Y49" s="735"/>
      <c r="Z49" s="735">
        <f t="shared" si="21"/>
        <v>1665.6399999999999</v>
      </c>
      <c r="AA49" s="735">
        <v>1000</v>
      </c>
      <c r="AB49" s="735"/>
      <c r="AC49" s="735">
        <v>1000</v>
      </c>
      <c r="AD49" s="735">
        <f t="shared" si="22"/>
        <v>20987.68</v>
      </c>
      <c r="AE49" s="735">
        <f t="shared" si="23"/>
        <v>20987.68</v>
      </c>
      <c r="AF49" s="735"/>
      <c r="AG49" s="711"/>
      <c r="AH49" s="711">
        <v>1</v>
      </c>
      <c r="AI49" s="564">
        <f t="shared" si="24"/>
        <v>20987.68</v>
      </c>
    </row>
    <row r="50" spans="1:35" x14ac:dyDescent="0.2">
      <c r="A50" s="704" t="s">
        <v>390</v>
      </c>
      <c r="B50" s="711">
        <v>1</v>
      </c>
      <c r="C50" s="735">
        <v>641.99</v>
      </c>
      <c r="D50" s="735">
        <v>1070</v>
      </c>
      <c r="E50" s="735"/>
      <c r="F50" s="735"/>
      <c r="G50" s="735"/>
      <c r="H50" s="735"/>
      <c r="I50" s="735"/>
      <c r="J50" s="735"/>
      <c r="K50" s="735">
        <f t="shared" si="18"/>
        <v>1711.99</v>
      </c>
      <c r="L50" s="735">
        <v>1000</v>
      </c>
      <c r="M50" s="735"/>
      <c r="N50" s="735">
        <v>1000</v>
      </c>
      <c r="O50" s="735">
        <f t="shared" si="19"/>
        <v>21543.88</v>
      </c>
      <c r="P50" s="735">
        <f t="shared" si="20"/>
        <v>21543.88</v>
      </c>
      <c r="Q50" s="421">
        <v>1</v>
      </c>
      <c r="R50" s="735">
        <v>641.99</v>
      </c>
      <c r="S50" s="735">
        <v>1070</v>
      </c>
      <c r="T50" s="735"/>
      <c r="U50" s="735"/>
      <c r="V50" s="735"/>
      <c r="W50" s="735"/>
      <c r="X50" s="735"/>
      <c r="Y50" s="735"/>
      <c r="Z50" s="735">
        <f t="shared" si="21"/>
        <v>1711.99</v>
      </c>
      <c r="AA50" s="735">
        <v>1000</v>
      </c>
      <c r="AB50" s="735"/>
      <c r="AC50" s="735">
        <v>1000</v>
      </c>
      <c r="AD50" s="735">
        <f t="shared" si="22"/>
        <v>21543.88</v>
      </c>
      <c r="AE50" s="735">
        <f t="shared" si="23"/>
        <v>21543.88</v>
      </c>
      <c r="AF50" s="735"/>
      <c r="AG50" s="711"/>
      <c r="AH50" s="711">
        <v>1</v>
      </c>
      <c r="AI50" s="564">
        <f t="shared" si="24"/>
        <v>21543.88</v>
      </c>
    </row>
    <row r="51" spans="1:35" x14ac:dyDescent="0.2">
      <c r="A51" s="704"/>
      <c r="B51" s="711"/>
      <c r="C51" s="735"/>
      <c r="D51" s="735"/>
      <c r="E51" s="735"/>
      <c r="F51" s="735"/>
      <c r="G51" s="735"/>
      <c r="H51" s="735"/>
      <c r="I51" s="735"/>
      <c r="J51" s="735"/>
      <c r="K51" s="735"/>
      <c r="L51" s="735"/>
      <c r="M51" s="735"/>
      <c r="N51" s="735"/>
      <c r="O51" s="735"/>
      <c r="P51" s="735"/>
      <c r="Q51" s="421"/>
      <c r="R51" s="735"/>
      <c r="S51" s="735"/>
      <c r="T51" s="735"/>
      <c r="U51" s="735"/>
      <c r="V51" s="735"/>
      <c r="W51" s="735"/>
      <c r="X51" s="735"/>
      <c r="Y51" s="735"/>
      <c r="Z51" s="735"/>
      <c r="AA51" s="735"/>
      <c r="AB51" s="735"/>
      <c r="AC51" s="735"/>
      <c r="AD51" s="735"/>
      <c r="AE51" s="735"/>
      <c r="AF51" s="735"/>
      <c r="AG51" s="711"/>
      <c r="AH51" s="711"/>
      <c r="AI51" s="564"/>
    </row>
    <row r="52" spans="1:35" x14ac:dyDescent="0.2">
      <c r="A52" s="704" t="s">
        <v>689</v>
      </c>
      <c r="B52" s="711"/>
      <c r="C52" s="735"/>
      <c r="D52" s="735"/>
      <c r="E52" s="735"/>
      <c r="F52" s="735"/>
      <c r="G52" s="735"/>
      <c r="H52" s="735"/>
      <c r="I52" s="735"/>
      <c r="J52" s="735"/>
      <c r="K52" s="735"/>
      <c r="L52" s="735"/>
      <c r="M52" s="735"/>
      <c r="N52" s="735"/>
      <c r="O52" s="735"/>
      <c r="P52" s="735"/>
      <c r="Q52" s="421"/>
      <c r="R52" s="735"/>
      <c r="S52" s="735"/>
      <c r="T52" s="735"/>
      <c r="U52" s="735"/>
      <c r="V52" s="735"/>
      <c r="W52" s="735"/>
      <c r="X52" s="735"/>
      <c r="Y52" s="735"/>
      <c r="Z52" s="735"/>
      <c r="AA52" s="735"/>
      <c r="AB52" s="735"/>
      <c r="AC52" s="735"/>
      <c r="AD52" s="735"/>
      <c r="AE52" s="735"/>
      <c r="AF52" s="735"/>
      <c r="AG52" s="711"/>
      <c r="AH52" s="711"/>
      <c r="AI52" s="735"/>
    </row>
    <row r="53" spans="1:35" x14ac:dyDescent="0.2">
      <c r="A53" s="704" t="s">
        <v>690</v>
      </c>
      <c r="B53" s="711"/>
      <c r="C53" s="735"/>
      <c r="D53" s="735"/>
      <c r="E53" s="735"/>
      <c r="F53" s="735"/>
      <c r="G53" s="735"/>
      <c r="H53" s="735"/>
      <c r="I53" s="735"/>
      <c r="J53" s="735"/>
      <c r="K53" s="735"/>
      <c r="L53" s="735"/>
      <c r="M53" s="735"/>
      <c r="N53" s="735"/>
      <c r="O53" s="735"/>
      <c r="P53" s="735"/>
      <c r="Q53" s="421"/>
      <c r="R53" s="735"/>
      <c r="S53" s="735"/>
      <c r="T53" s="735"/>
      <c r="U53" s="735"/>
      <c r="V53" s="735"/>
      <c r="W53" s="735"/>
      <c r="X53" s="735"/>
      <c r="Y53" s="735"/>
      <c r="Z53" s="735"/>
      <c r="AA53" s="735"/>
      <c r="AB53" s="735"/>
      <c r="AC53" s="735"/>
      <c r="AD53" s="735"/>
      <c r="AE53" s="735"/>
      <c r="AF53" s="735"/>
      <c r="AG53" s="711"/>
      <c r="AH53" s="711"/>
      <c r="AI53" s="735"/>
    </row>
    <row r="54" spans="1:35" x14ac:dyDescent="0.2">
      <c r="A54" s="704"/>
      <c r="B54" s="711"/>
      <c r="C54" s="735"/>
      <c r="D54" s="735"/>
      <c r="E54" s="735"/>
      <c r="F54" s="735"/>
      <c r="G54" s="735"/>
      <c r="H54" s="735"/>
      <c r="I54" s="735"/>
      <c r="J54" s="735"/>
      <c r="K54" s="735"/>
      <c r="L54" s="735"/>
      <c r="M54" s="735"/>
      <c r="N54" s="735"/>
      <c r="O54" s="735"/>
      <c r="P54" s="735"/>
      <c r="Q54" s="421"/>
      <c r="R54" s="735"/>
      <c r="S54" s="735"/>
      <c r="T54" s="735"/>
      <c r="U54" s="735"/>
      <c r="V54" s="735"/>
      <c r="W54" s="735"/>
      <c r="X54" s="735"/>
      <c r="Y54" s="735"/>
      <c r="Z54" s="735"/>
      <c r="AA54" s="735"/>
      <c r="AB54" s="735"/>
      <c r="AC54" s="735"/>
      <c r="AD54" s="735"/>
      <c r="AE54" s="735"/>
      <c r="AF54" s="735"/>
      <c r="AG54" s="711"/>
      <c r="AH54" s="711"/>
      <c r="AI54" s="735"/>
    </row>
    <row r="55" spans="1:35" x14ac:dyDescent="0.2">
      <c r="A55" s="704" t="s">
        <v>691</v>
      </c>
      <c r="B55" s="711"/>
      <c r="C55" s="735"/>
      <c r="D55" s="735"/>
      <c r="E55" s="735"/>
      <c r="F55" s="735"/>
      <c r="G55" s="735"/>
      <c r="H55" s="735"/>
      <c r="I55" s="735"/>
      <c r="J55" s="735"/>
      <c r="K55" s="735"/>
      <c r="L55" s="735"/>
      <c r="M55" s="735"/>
      <c r="N55" s="735"/>
      <c r="O55" s="735"/>
      <c r="P55" s="735"/>
      <c r="Q55" s="421"/>
      <c r="R55" s="735"/>
      <c r="S55" s="735"/>
      <c r="T55" s="735"/>
      <c r="U55" s="735"/>
      <c r="V55" s="735"/>
      <c r="W55" s="735"/>
      <c r="X55" s="735"/>
      <c r="Y55" s="735"/>
      <c r="Z55" s="735"/>
      <c r="AA55" s="735"/>
      <c r="AB55" s="735"/>
      <c r="AC55" s="735"/>
      <c r="AD55" s="735"/>
      <c r="AE55" s="735"/>
      <c r="AF55" s="735"/>
      <c r="AG55" s="711"/>
      <c r="AH55" s="711"/>
      <c r="AI55" s="735"/>
    </row>
    <row r="56" spans="1:35" x14ac:dyDescent="0.2">
      <c r="A56" s="704" t="s">
        <v>690</v>
      </c>
      <c r="B56" s="711"/>
      <c r="C56" s="735"/>
      <c r="D56" s="735"/>
      <c r="E56" s="735"/>
      <c r="F56" s="735"/>
      <c r="G56" s="735"/>
      <c r="H56" s="735"/>
      <c r="I56" s="735"/>
      <c r="J56" s="735"/>
      <c r="K56" s="735"/>
      <c r="L56" s="735"/>
      <c r="M56" s="735"/>
      <c r="N56" s="735"/>
      <c r="O56" s="735"/>
      <c r="P56" s="735"/>
      <c r="Q56" s="421"/>
      <c r="R56" s="735"/>
      <c r="S56" s="735"/>
      <c r="T56" s="735"/>
      <c r="U56" s="735"/>
      <c r="V56" s="735"/>
      <c r="W56" s="735"/>
      <c r="X56" s="735"/>
      <c r="Y56" s="735"/>
      <c r="Z56" s="735"/>
      <c r="AA56" s="735"/>
      <c r="AB56" s="735"/>
      <c r="AC56" s="735"/>
      <c r="AD56" s="735"/>
      <c r="AE56" s="735"/>
      <c r="AF56" s="735"/>
      <c r="AG56" s="711"/>
      <c r="AH56" s="711"/>
      <c r="AI56" s="735"/>
    </row>
    <row r="57" spans="1:35" x14ac:dyDescent="0.2">
      <c r="A57" s="704"/>
      <c r="B57" s="711"/>
      <c r="C57" s="735"/>
      <c r="D57" s="735"/>
      <c r="E57" s="735"/>
      <c r="F57" s="735"/>
      <c r="G57" s="735"/>
      <c r="H57" s="735"/>
      <c r="I57" s="735"/>
      <c r="J57" s="735"/>
      <c r="K57" s="735"/>
      <c r="L57" s="735"/>
      <c r="M57" s="735"/>
      <c r="N57" s="735"/>
      <c r="O57" s="735"/>
      <c r="P57" s="735"/>
      <c r="Q57" s="421"/>
      <c r="R57" s="735"/>
      <c r="S57" s="735"/>
      <c r="T57" s="735"/>
      <c r="U57" s="735"/>
      <c r="V57" s="735"/>
      <c r="W57" s="735"/>
      <c r="X57" s="735"/>
      <c r="Y57" s="735"/>
      <c r="Z57" s="735"/>
      <c r="AA57" s="735"/>
      <c r="AB57" s="735"/>
      <c r="AC57" s="735"/>
      <c r="AD57" s="735"/>
      <c r="AE57" s="735"/>
      <c r="AF57" s="735"/>
      <c r="AG57" s="711"/>
      <c r="AH57" s="711"/>
      <c r="AI57" s="735"/>
    </row>
    <row r="58" spans="1:35" x14ac:dyDescent="0.2">
      <c r="A58" s="704"/>
      <c r="B58" s="711"/>
      <c r="C58" s="735"/>
      <c r="D58" s="735"/>
      <c r="E58" s="735"/>
      <c r="F58" s="735"/>
      <c r="G58" s="735"/>
      <c r="H58" s="735"/>
      <c r="I58" s="735"/>
      <c r="J58" s="735"/>
      <c r="K58" s="735"/>
      <c r="L58" s="735"/>
      <c r="M58" s="735"/>
      <c r="N58" s="735"/>
      <c r="O58" s="735"/>
      <c r="P58" s="735"/>
      <c r="Q58" s="421"/>
      <c r="R58" s="735"/>
      <c r="S58" s="735"/>
      <c r="T58" s="735"/>
      <c r="U58" s="735"/>
      <c r="V58" s="735"/>
      <c r="W58" s="735"/>
      <c r="X58" s="735"/>
      <c r="Y58" s="735"/>
      <c r="Z58" s="735"/>
      <c r="AA58" s="735"/>
      <c r="AB58" s="735"/>
      <c r="AC58" s="735"/>
      <c r="AD58" s="735"/>
      <c r="AE58" s="735"/>
      <c r="AF58" s="735"/>
      <c r="AG58" s="711"/>
      <c r="AH58" s="711"/>
      <c r="AI58" s="735"/>
    </row>
    <row r="59" spans="1:35" x14ac:dyDescent="0.2">
      <c r="A59" s="706" t="s">
        <v>169</v>
      </c>
      <c r="B59" s="743">
        <v>8</v>
      </c>
      <c r="C59" s="742">
        <f>SUM(C43:C58)</f>
        <v>6377.4400000000005</v>
      </c>
      <c r="D59" s="742">
        <f t="shared" ref="D59:AI59" si="25">SUM(D43:D58)</f>
        <v>12190</v>
      </c>
      <c r="E59" s="742">
        <f t="shared" si="25"/>
        <v>0</v>
      </c>
      <c r="F59" s="742">
        <f t="shared" si="25"/>
        <v>0</v>
      </c>
      <c r="G59" s="742">
        <f t="shared" si="25"/>
        <v>0</v>
      </c>
      <c r="H59" s="742">
        <f t="shared" si="25"/>
        <v>0</v>
      </c>
      <c r="I59" s="742">
        <f t="shared" si="25"/>
        <v>0</v>
      </c>
      <c r="J59" s="742">
        <f t="shared" si="25"/>
        <v>0</v>
      </c>
      <c r="K59" s="742">
        <f t="shared" si="25"/>
        <v>18567.439999999999</v>
      </c>
      <c r="L59" s="742">
        <f t="shared" si="25"/>
        <v>8000</v>
      </c>
      <c r="M59" s="742">
        <f t="shared" si="25"/>
        <v>0</v>
      </c>
      <c r="N59" s="742">
        <f t="shared" si="25"/>
        <v>8000</v>
      </c>
      <c r="O59" s="742">
        <f t="shared" si="25"/>
        <v>230809.28</v>
      </c>
      <c r="P59" s="742">
        <f>SUM(P43:P58)</f>
        <v>230809.28</v>
      </c>
      <c r="Q59" s="712">
        <f t="shared" si="25"/>
        <v>8</v>
      </c>
      <c r="R59" s="742">
        <f t="shared" si="25"/>
        <v>6377.4400000000005</v>
      </c>
      <c r="S59" s="742">
        <f t="shared" si="25"/>
        <v>12190</v>
      </c>
      <c r="T59" s="742">
        <f t="shared" si="25"/>
        <v>0</v>
      </c>
      <c r="U59" s="742">
        <f t="shared" si="25"/>
        <v>0</v>
      </c>
      <c r="V59" s="742">
        <f t="shared" si="25"/>
        <v>0</v>
      </c>
      <c r="W59" s="742">
        <f t="shared" si="25"/>
        <v>0</v>
      </c>
      <c r="X59" s="742">
        <f t="shared" si="25"/>
        <v>0</v>
      </c>
      <c r="Y59" s="742">
        <f t="shared" si="25"/>
        <v>0</v>
      </c>
      <c r="Z59" s="742">
        <f t="shared" si="25"/>
        <v>18567.439999999999</v>
      </c>
      <c r="AA59" s="742">
        <f t="shared" si="25"/>
        <v>8000</v>
      </c>
      <c r="AB59" s="742">
        <f t="shared" si="25"/>
        <v>0</v>
      </c>
      <c r="AC59" s="742">
        <f t="shared" si="25"/>
        <v>8000</v>
      </c>
      <c r="AD59" s="742">
        <f t="shared" si="25"/>
        <v>230809.28</v>
      </c>
      <c r="AE59" s="742">
        <f t="shared" si="25"/>
        <v>230809.28</v>
      </c>
      <c r="AF59" s="742">
        <f t="shared" si="25"/>
        <v>0</v>
      </c>
      <c r="AG59" s="743">
        <f t="shared" si="25"/>
        <v>0</v>
      </c>
      <c r="AH59" s="743">
        <f t="shared" si="25"/>
        <v>8</v>
      </c>
      <c r="AI59" s="742">
        <f t="shared" si="25"/>
        <v>230809.28</v>
      </c>
    </row>
    <row r="60" spans="1:35" x14ac:dyDescent="0.2">
      <c r="B60" s="17"/>
      <c r="C60" s="17"/>
      <c r="D60" s="17"/>
      <c r="E60" s="17"/>
      <c r="F60" s="17"/>
      <c r="G60" s="17"/>
      <c r="H60" s="17"/>
      <c r="I60" s="17"/>
      <c r="J60" s="17"/>
      <c r="K60" s="17"/>
      <c r="L60" s="17"/>
      <c r="M60" s="17"/>
      <c r="N60" s="17"/>
      <c r="O60" s="17"/>
      <c r="P60" s="17"/>
      <c r="R60" s="17"/>
      <c r="S60" s="17"/>
      <c r="T60" s="17"/>
      <c r="U60" s="17"/>
      <c r="V60" s="17"/>
      <c r="W60" s="17"/>
      <c r="X60" s="17"/>
      <c r="Y60" s="17"/>
      <c r="Z60" s="17"/>
      <c r="AA60" s="17"/>
      <c r="AB60" s="17"/>
      <c r="AC60" s="17"/>
      <c r="AD60" s="17"/>
      <c r="AE60" s="17"/>
      <c r="AF60" s="17"/>
      <c r="AG60" s="17"/>
      <c r="AH60" s="17"/>
      <c r="AI60" s="17"/>
    </row>
    <row r="61" spans="1:35" x14ac:dyDescent="0.2">
      <c r="B61" s="17"/>
      <c r="C61" s="17"/>
      <c r="D61" s="17"/>
      <c r="E61" s="17"/>
      <c r="F61" s="17"/>
      <c r="G61" s="17"/>
      <c r="H61" s="17"/>
      <c r="I61" s="17"/>
      <c r="J61" s="17"/>
      <c r="K61" s="17"/>
      <c r="L61" s="17"/>
      <c r="M61" s="17"/>
      <c r="N61" s="17"/>
      <c r="O61" s="17"/>
      <c r="P61" s="17"/>
      <c r="R61" s="17"/>
      <c r="S61" s="17"/>
      <c r="T61" s="17"/>
      <c r="U61" s="17"/>
      <c r="V61" s="17"/>
      <c r="W61" s="17"/>
      <c r="X61" s="17"/>
      <c r="Y61" s="17"/>
      <c r="Z61" s="17"/>
      <c r="AA61" s="17"/>
      <c r="AB61" s="17"/>
      <c r="AC61" s="17"/>
      <c r="AD61" s="17"/>
      <c r="AE61" s="17"/>
      <c r="AF61" s="17"/>
      <c r="AG61" s="17"/>
      <c r="AH61" s="17"/>
      <c r="AI61" s="17"/>
    </row>
    <row r="62" spans="1:35" ht="24" x14ac:dyDescent="0.2">
      <c r="A62" s="706" t="s">
        <v>613</v>
      </c>
      <c r="B62" s="740"/>
      <c r="C62" s="741"/>
      <c r="D62" s="741"/>
      <c r="E62" s="741"/>
      <c r="F62" s="741"/>
      <c r="G62" s="741"/>
      <c r="H62" s="741"/>
      <c r="I62" s="741"/>
      <c r="J62" s="741"/>
      <c r="K62" s="741"/>
      <c r="L62" s="741"/>
      <c r="M62" s="741"/>
      <c r="N62" s="741"/>
      <c r="O62" s="741"/>
      <c r="P62" s="741"/>
      <c r="Q62" s="741"/>
      <c r="R62" s="741"/>
      <c r="S62" s="741"/>
      <c r="T62" s="741"/>
      <c r="U62" s="741"/>
      <c r="V62" s="741"/>
      <c r="W62" s="741"/>
      <c r="X62" s="741"/>
      <c r="Y62" s="741"/>
      <c r="Z62" s="741"/>
      <c r="AA62" s="741"/>
      <c r="AB62" s="741"/>
      <c r="AC62" s="741"/>
      <c r="AD62" s="741"/>
      <c r="AE62" s="741"/>
      <c r="AF62" s="742"/>
      <c r="AG62" s="743"/>
      <c r="AH62" s="743"/>
      <c r="AI62" s="742"/>
    </row>
    <row r="63" spans="1:35" x14ac:dyDescent="0.2">
      <c r="A63" s="1485" t="s">
        <v>644</v>
      </c>
      <c r="B63" s="1487" t="s">
        <v>645</v>
      </c>
      <c r="C63" s="1487"/>
      <c r="D63" s="1487"/>
      <c r="E63" s="1487"/>
      <c r="F63" s="1487"/>
      <c r="G63" s="1487"/>
      <c r="H63" s="1487"/>
      <c r="I63" s="1487"/>
      <c r="J63" s="1487"/>
      <c r="K63" s="1487"/>
      <c r="L63" s="1487"/>
      <c r="M63" s="1487"/>
      <c r="N63" s="1487"/>
      <c r="O63" s="1487"/>
      <c r="P63" s="1487"/>
      <c r="Q63" s="1487" t="s">
        <v>646</v>
      </c>
      <c r="R63" s="1487"/>
      <c r="S63" s="1487"/>
      <c r="T63" s="1487"/>
      <c r="U63" s="1487"/>
      <c r="V63" s="1487"/>
      <c r="W63" s="1487"/>
      <c r="X63" s="1487"/>
      <c r="Y63" s="1487"/>
      <c r="Z63" s="1487"/>
      <c r="AA63" s="1487"/>
      <c r="AB63" s="1487"/>
      <c r="AC63" s="1487"/>
      <c r="AD63" s="1487"/>
      <c r="AE63" s="1487"/>
      <c r="AF63" s="1487" t="s">
        <v>647</v>
      </c>
      <c r="AG63" s="1487"/>
      <c r="AH63" s="1487" t="s">
        <v>648</v>
      </c>
      <c r="AI63" s="1487"/>
    </row>
    <row r="64" spans="1:35" ht="120" customHeight="1" x14ac:dyDescent="0.2">
      <c r="A64" s="1485"/>
      <c r="B64" s="691" t="s">
        <v>649</v>
      </c>
      <c r="C64" s="692" t="s">
        <v>650</v>
      </c>
      <c r="D64" s="692" t="s">
        <v>684</v>
      </c>
      <c r="E64" s="692" t="s">
        <v>652</v>
      </c>
      <c r="F64" s="692" t="s">
        <v>653</v>
      </c>
      <c r="G64" s="692" t="s">
        <v>654</v>
      </c>
      <c r="H64" s="692" t="s">
        <v>655</v>
      </c>
      <c r="I64" s="692" t="s">
        <v>656</v>
      </c>
      <c r="J64" s="692" t="s">
        <v>657</v>
      </c>
      <c r="K64" s="692" t="s">
        <v>658</v>
      </c>
      <c r="L64" s="692" t="s">
        <v>659</v>
      </c>
      <c r="M64" s="692" t="s">
        <v>660</v>
      </c>
      <c r="N64" s="692" t="s">
        <v>661</v>
      </c>
      <c r="O64" s="692" t="s">
        <v>662</v>
      </c>
      <c r="P64" s="692" t="s">
        <v>685</v>
      </c>
      <c r="Q64" s="691" t="s">
        <v>649</v>
      </c>
      <c r="R64" s="692" t="s">
        <v>650</v>
      </c>
      <c r="S64" s="692" t="s">
        <v>651</v>
      </c>
      <c r="T64" s="692" t="s">
        <v>652</v>
      </c>
      <c r="U64" s="692" t="s">
        <v>653</v>
      </c>
      <c r="V64" s="692" t="s">
        <v>654</v>
      </c>
      <c r="W64" s="692" t="s">
        <v>655</v>
      </c>
      <c r="X64" s="692" t="s">
        <v>656</v>
      </c>
      <c r="Y64" s="692" t="s">
        <v>657</v>
      </c>
      <c r="Z64" s="692" t="s">
        <v>658</v>
      </c>
      <c r="AA64" s="692" t="s">
        <v>659</v>
      </c>
      <c r="AB64" s="692" t="s">
        <v>660</v>
      </c>
      <c r="AC64" s="692" t="s">
        <v>661</v>
      </c>
      <c r="AD64" s="692" t="s">
        <v>662</v>
      </c>
      <c r="AE64" s="692" t="s">
        <v>686</v>
      </c>
      <c r="AF64" s="692" t="s">
        <v>664</v>
      </c>
      <c r="AG64" s="691" t="s">
        <v>665</v>
      </c>
      <c r="AH64" s="691" t="s">
        <v>649</v>
      </c>
      <c r="AI64" s="692" t="s">
        <v>687</v>
      </c>
    </row>
    <row r="65" spans="1:35" x14ac:dyDescent="0.2">
      <c r="A65" s="1486"/>
      <c r="B65" s="555" t="s">
        <v>667</v>
      </c>
      <c r="C65" s="733" t="s">
        <v>668</v>
      </c>
      <c r="D65" s="733" t="s">
        <v>669</v>
      </c>
      <c r="E65" s="733" t="s">
        <v>670</v>
      </c>
      <c r="F65" s="734" t="s">
        <v>671</v>
      </c>
      <c r="G65" s="734" t="s">
        <v>672</v>
      </c>
      <c r="H65" s="734" t="s">
        <v>673</v>
      </c>
      <c r="I65" s="734" t="s">
        <v>674</v>
      </c>
      <c r="J65" s="734" t="s">
        <v>675</v>
      </c>
      <c r="K65" s="734" t="s">
        <v>676</v>
      </c>
      <c r="L65" s="734" t="s">
        <v>677</v>
      </c>
      <c r="M65" s="734" t="s">
        <v>678</v>
      </c>
      <c r="N65" s="734" t="s">
        <v>679</v>
      </c>
      <c r="O65" s="734" t="s">
        <v>680</v>
      </c>
      <c r="P65" s="734" t="s">
        <v>681</v>
      </c>
      <c r="Q65" s="555" t="s">
        <v>667</v>
      </c>
      <c r="R65" s="733" t="s">
        <v>668</v>
      </c>
      <c r="S65" s="733" t="s">
        <v>669</v>
      </c>
      <c r="T65" s="733" t="s">
        <v>670</v>
      </c>
      <c r="U65" s="734" t="s">
        <v>671</v>
      </c>
      <c r="V65" s="734" t="s">
        <v>672</v>
      </c>
      <c r="W65" s="734" t="s">
        <v>673</v>
      </c>
      <c r="X65" s="734" t="s">
        <v>674</v>
      </c>
      <c r="Y65" s="734" t="s">
        <v>675</v>
      </c>
      <c r="Z65" s="734" t="s">
        <v>676</v>
      </c>
      <c r="AA65" s="734" t="s">
        <v>677</v>
      </c>
      <c r="AB65" s="734" t="s">
        <v>678</v>
      </c>
      <c r="AC65" s="734" t="s">
        <v>679</v>
      </c>
      <c r="AD65" s="734" t="s">
        <v>680</v>
      </c>
      <c r="AE65" s="734" t="s">
        <v>681</v>
      </c>
      <c r="AF65" s="733"/>
      <c r="AG65" s="555"/>
      <c r="AH65" s="555"/>
      <c r="AI65" s="733"/>
    </row>
    <row r="66" spans="1:35" x14ac:dyDescent="0.2">
      <c r="A66" s="704"/>
      <c r="B66" s="711"/>
      <c r="C66" s="735"/>
      <c r="D66" s="735"/>
      <c r="E66" s="735"/>
      <c r="F66" s="735"/>
      <c r="G66" s="735"/>
      <c r="H66" s="735"/>
      <c r="I66" s="735"/>
      <c r="J66" s="735"/>
      <c r="K66" s="735"/>
      <c r="L66" s="735"/>
      <c r="M66" s="735"/>
      <c r="N66" s="735"/>
      <c r="O66" s="735"/>
      <c r="P66" s="735"/>
      <c r="Q66" s="421"/>
      <c r="R66" s="735"/>
      <c r="S66" s="735"/>
      <c r="T66" s="735"/>
      <c r="U66" s="735"/>
      <c r="V66" s="735"/>
      <c r="W66" s="735"/>
      <c r="X66" s="735"/>
      <c r="Y66" s="735"/>
      <c r="Z66" s="735"/>
      <c r="AA66" s="735"/>
      <c r="AB66" s="735"/>
      <c r="AC66" s="735"/>
      <c r="AD66" s="735"/>
      <c r="AE66" s="735"/>
      <c r="AF66" s="735"/>
      <c r="AG66" s="711"/>
      <c r="AH66" s="711"/>
      <c r="AI66" s="735"/>
    </row>
    <row r="67" spans="1:35" x14ac:dyDescent="0.2">
      <c r="A67" s="704" t="s">
        <v>688</v>
      </c>
      <c r="B67" s="711"/>
      <c r="C67" s="735"/>
      <c r="D67" s="735"/>
      <c r="E67" s="735"/>
      <c r="F67" s="735"/>
      <c r="G67" s="735"/>
      <c r="H67" s="735"/>
      <c r="I67" s="735"/>
      <c r="J67" s="735"/>
      <c r="K67" s="735"/>
      <c r="L67" s="735"/>
      <c r="M67" s="735"/>
      <c r="N67" s="735"/>
      <c r="O67" s="735"/>
      <c r="P67" s="735"/>
      <c r="Q67" s="421"/>
      <c r="R67" s="735"/>
      <c r="S67" s="735"/>
      <c r="T67" s="735"/>
      <c r="U67" s="735"/>
      <c r="V67" s="735"/>
      <c r="W67" s="735"/>
      <c r="X67" s="735"/>
      <c r="Y67" s="735"/>
      <c r="Z67" s="735"/>
      <c r="AA67" s="735"/>
      <c r="AB67" s="735"/>
      <c r="AC67" s="735"/>
      <c r="AD67" s="735"/>
      <c r="AE67" s="735"/>
      <c r="AF67" s="735"/>
      <c r="AG67" s="711"/>
      <c r="AH67" s="711"/>
      <c r="AI67" s="735"/>
    </row>
    <row r="68" spans="1:35" x14ac:dyDescent="0.2">
      <c r="A68" s="704"/>
      <c r="B68" s="711"/>
      <c r="C68" s="735"/>
      <c r="D68" s="735"/>
      <c r="E68" s="735"/>
      <c r="F68" s="735"/>
      <c r="G68" s="735"/>
      <c r="H68" s="735"/>
      <c r="I68" s="735"/>
      <c r="J68" s="735"/>
      <c r="K68" s="735"/>
      <c r="L68" s="735"/>
      <c r="M68" s="735"/>
      <c r="N68" s="735"/>
      <c r="O68" s="735"/>
      <c r="P68" s="735"/>
      <c r="Q68" s="421"/>
      <c r="R68" s="735"/>
      <c r="S68" s="735"/>
      <c r="T68" s="735"/>
      <c r="U68" s="735"/>
      <c r="V68" s="735"/>
      <c r="W68" s="735"/>
      <c r="X68" s="735"/>
      <c r="Y68" s="735"/>
      <c r="Z68" s="735"/>
      <c r="AA68" s="735"/>
      <c r="AB68" s="735"/>
      <c r="AC68" s="735"/>
      <c r="AD68" s="735"/>
      <c r="AE68" s="735"/>
      <c r="AF68" s="735"/>
      <c r="AG68" s="711"/>
      <c r="AH68" s="711"/>
      <c r="AI68" s="735"/>
    </row>
    <row r="69" spans="1:35" x14ac:dyDescent="0.2">
      <c r="A69" s="705" t="s">
        <v>382</v>
      </c>
      <c r="B69" s="724">
        <f>+B70</f>
        <v>1</v>
      </c>
      <c r="C69" s="744">
        <f>+C70</f>
        <v>1029.47</v>
      </c>
      <c r="D69" s="744">
        <f t="shared" ref="D69:P69" si="26">+D70</f>
        <v>1497.5</v>
      </c>
      <c r="E69" s="744"/>
      <c r="F69" s="744"/>
      <c r="G69" s="744"/>
      <c r="H69" s="744"/>
      <c r="I69" s="744"/>
      <c r="J69" s="744"/>
      <c r="K69" s="744">
        <f t="shared" si="26"/>
        <v>2526.9700000000003</v>
      </c>
      <c r="L69" s="744">
        <f t="shared" si="26"/>
        <v>1000</v>
      </c>
      <c r="M69" s="744"/>
      <c r="N69" s="744">
        <f t="shared" si="26"/>
        <v>1000</v>
      </c>
      <c r="O69" s="744">
        <f t="shared" si="26"/>
        <v>30323.640000000003</v>
      </c>
      <c r="P69" s="744">
        <f t="shared" si="26"/>
        <v>30323.640000000003</v>
      </c>
      <c r="Q69" s="724">
        <f>+Q70</f>
        <v>1</v>
      </c>
      <c r="R69" s="744">
        <f>+R70</f>
        <v>1029.47</v>
      </c>
      <c r="S69" s="744">
        <f t="shared" ref="S69" si="27">+S70</f>
        <v>1497.5</v>
      </c>
      <c r="T69" s="744"/>
      <c r="U69" s="744"/>
      <c r="V69" s="744"/>
      <c r="W69" s="744"/>
      <c r="X69" s="744"/>
      <c r="Y69" s="744"/>
      <c r="Z69" s="744">
        <f t="shared" ref="Z69:AA69" si="28">+Z70</f>
        <v>2526.9700000000003</v>
      </c>
      <c r="AA69" s="744">
        <f t="shared" si="28"/>
        <v>1000</v>
      </c>
      <c r="AB69" s="744"/>
      <c r="AC69" s="744">
        <f t="shared" ref="AC69:AE69" si="29">+AC70</f>
        <v>1000</v>
      </c>
      <c r="AD69" s="744">
        <f t="shared" si="29"/>
        <v>30323.640000000003</v>
      </c>
      <c r="AE69" s="744">
        <f t="shared" si="29"/>
        <v>30323.640000000003</v>
      </c>
      <c r="AF69" s="744">
        <f>+AF70</f>
        <v>0</v>
      </c>
      <c r="AG69" s="724"/>
      <c r="AH69" s="724"/>
      <c r="AI69" s="735"/>
    </row>
    <row r="70" spans="1:35" x14ac:dyDescent="0.2">
      <c r="A70" s="704" t="s">
        <v>692</v>
      </c>
      <c r="B70" s="711">
        <v>1</v>
      </c>
      <c r="C70" s="735">
        <v>1029.47</v>
      </c>
      <c r="D70" s="735">
        <v>1497.5</v>
      </c>
      <c r="E70" s="735"/>
      <c r="F70" s="735"/>
      <c r="G70" s="735"/>
      <c r="H70" s="735"/>
      <c r="I70" s="735"/>
      <c r="J70" s="735"/>
      <c r="K70" s="735">
        <f>SUM(C70:J70)</f>
        <v>2526.9700000000003</v>
      </c>
      <c r="L70" s="735">
        <v>1000</v>
      </c>
      <c r="M70" s="735"/>
      <c r="N70" s="735">
        <f>+L70+M70</f>
        <v>1000</v>
      </c>
      <c r="O70" s="735">
        <f>+K70*12</f>
        <v>30323.640000000003</v>
      </c>
      <c r="P70" s="735">
        <f>+B70*O70</f>
        <v>30323.640000000003</v>
      </c>
      <c r="Q70" s="711">
        <v>1</v>
      </c>
      <c r="R70" s="735">
        <v>1029.47</v>
      </c>
      <c r="S70" s="735">
        <v>1497.5</v>
      </c>
      <c r="T70" s="735"/>
      <c r="U70" s="735"/>
      <c r="V70" s="735"/>
      <c r="W70" s="735"/>
      <c r="X70" s="735"/>
      <c r="Y70" s="735"/>
      <c r="Z70" s="735">
        <f>SUM(R70:Y70)</f>
        <v>2526.9700000000003</v>
      </c>
      <c r="AA70" s="735">
        <v>1000</v>
      </c>
      <c r="AB70" s="735"/>
      <c r="AC70" s="735">
        <f>+AA70+AB70</f>
        <v>1000</v>
      </c>
      <c r="AD70" s="735">
        <f>+Z70*12</f>
        <v>30323.640000000003</v>
      </c>
      <c r="AE70" s="735">
        <f>+Q70*AD70</f>
        <v>30323.640000000003</v>
      </c>
      <c r="AF70" s="735">
        <f>+P70-AD70</f>
        <v>0</v>
      </c>
      <c r="AG70" s="711"/>
      <c r="AH70" s="711"/>
      <c r="AI70" s="735"/>
    </row>
    <row r="71" spans="1:35" x14ac:dyDescent="0.2">
      <c r="A71" s="704"/>
      <c r="B71" s="711"/>
      <c r="C71" s="735"/>
      <c r="D71" s="735"/>
      <c r="E71" s="735"/>
      <c r="F71" s="735"/>
      <c r="G71" s="735"/>
      <c r="H71" s="735"/>
      <c r="I71" s="735"/>
      <c r="J71" s="735"/>
      <c r="K71" s="735"/>
      <c r="L71" s="735"/>
      <c r="M71" s="735"/>
      <c r="N71" s="735"/>
      <c r="O71" s="735"/>
      <c r="P71" s="735"/>
      <c r="Q71" s="711"/>
      <c r="R71" s="735"/>
      <c r="S71" s="735"/>
      <c r="T71" s="735"/>
      <c r="U71" s="735"/>
      <c r="V71" s="735"/>
      <c r="W71" s="735"/>
      <c r="X71" s="735"/>
      <c r="Y71" s="735"/>
      <c r="Z71" s="735"/>
      <c r="AA71" s="735"/>
      <c r="AB71" s="735"/>
      <c r="AC71" s="735"/>
      <c r="AD71" s="735"/>
      <c r="AE71" s="735"/>
      <c r="AF71" s="735"/>
      <c r="AG71" s="711"/>
      <c r="AH71" s="711"/>
      <c r="AI71" s="735"/>
    </row>
    <row r="72" spans="1:35" x14ac:dyDescent="0.2">
      <c r="A72" s="705" t="s">
        <v>387</v>
      </c>
      <c r="B72" s="724">
        <f>SUM(B73:B76)</f>
        <v>4</v>
      </c>
      <c r="C72" s="744">
        <f>SUM(C73:C76)</f>
        <v>2755.68</v>
      </c>
      <c r="D72" s="744">
        <f>SUM(D73:D76)</f>
        <v>4440</v>
      </c>
      <c r="E72" s="744"/>
      <c r="F72" s="744"/>
      <c r="G72" s="744"/>
      <c r="H72" s="744"/>
      <c r="I72" s="744"/>
      <c r="J72" s="744"/>
      <c r="K72" s="744">
        <f t="shared" ref="K72:L72" si="30">SUM(K73:K76)</f>
        <v>7195.68</v>
      </c>
      <c r="L72" s="744">
        <f t="shared" si="30"/>
        <v>4000</v>
      </c>
      <c r="M72" s="744"/>
      <c r="N72" s="744">
        <f t="shared" ref="N72:P72" si="31">SUM(N73:N76)</f>
        <v>4000</v>
      </c>
      <c r="O72" s="744">
        <f t="shared" si="31"/>
        <v>86348.160000000003</v>
      </c>
      <c r="P72" s="744">
        <f t="shared" si="31"/>
        <v>86348.160000000003</v>
      </c>
      <c r="Q72" s="724">
        <f>SUM(Q73:Q76)</f>
        <v>4</v>
      </c>
      <c r="R72" s="744">
        <f>SUM(R73:R76)</f>
        <v>2755.68</v>
      </c>
      <c r="S72" s="744">
        <f>SUM(S73:S76)</f>
        <v>4920</v>
      </c>
      <c r="T72" s="744"/>
      <c r="U72" s="744"/>
      <c r="V72" s="744"/>
      <c r="W72" s="744"/>
      <c r="X72" s="744"/>
      <c r="Y72" s="744"/>
      <c r="Z72" s="744">
        <f>SUM(Z73:Z76)</f>
        <v>7675.68</v>
      </c>
      <c r="AA72" s="744">
        <f t="shared" ref="AA72" si="32">SUM(AA73:AA76)</f>
        <v>4000</v>
      </c>
      <c r="AB72" s="744"/>
      <c r="AC72" s="744">
        <f t="shared" ref="AC72:AE72" si="33">SUM(AC73:AC76)</f>
        <v>4000</v>
      </c>
      <c r="AD72" s="744">
        <f>+Z72*12</f>
        <v>92108.160000000003</v>
      </c>
      <c r="AE72" s="744">
        <f t="shared" si="33"/>
        <v>92108.160000000003</v>
      </c>
      <c r="AF72" s="744">
        <f>SUM(AF73:AF76)</f>
        <v>-5760</v>
      </c>
      <c r="AG72" s="745">
        <f>SUM(AG73:AG76)</f>
        <v>0</v>
      </c>
      <c r="AH72" s="745">
        <f>SUM(AH73:AH76)</f>
        <v>4</v>
      </c>
      <c r="AI72" s="744">
        <f>SUM(AI73:AI76)</f>
        <v>90348.160000000003</v>
      </c>
    </row>
    <row r="73" spans="1:35" x14ac:dyDescent="0.2">
      <c r="A73" s="704" t="s">
        <v>693</v>
      </c>
      <c r="B73" s="711">
        <v>1</v>
      </c>
      <c r="C73" s="735">
        <v>709.45</v>
      </c>
      <c r="D73" s="735">
        <v>1110</v>
      </c>
      <c r="E73" s="735"/>
      <c r="F73" s="735"/>
      <c r="G73" s="735"/>
      <c r="H73" s="735"/>
      <c r="I73" s="735"/>
      <c r="J73" s="735"/>
      <c r="K73" s="735">
        <f t="shared" ref="K73:K76" si="34">SUM(C73:J73)</f>
        <v>1819.45</v>
      </c>
      <c r="L73" s="735">
        <v>1000</v>
      </c>
      <c r="M73" s="735"/>
      <c r="N73" s="735">
        <f>+L73+M73</f>
        <v>1000</v>
      </c>
      <c r="O73" s="735">
        <f>+K73*12</f>
        <v>21833.4</v>
      </c>
      <c r="P73" s="735">
        <f>+B73*O73</f>
        <v>21833.4</v>
      </c>
      <c r="Q73" s="711">
        <v>1</v>
      </c>
      <c r="R73" s="735">
        <v>709.45</v>
      </c>
      <c r="S73" s="735">
        <v>1230</v>
      </c>
      <c r="T73" s="735"/>
      <c r="U73" s="735"/>
      <c r="V73" s="735"/>
      <c r="W73" s="735"/>
      <c r="X73" s="735"/>
      <c r="Y73" s="735"/>
      <c r="Z73" s="735">
        <f>SUM(R73:Y73)</f>
        <v>1939.45</v>
      </c>
      <c r="AA73" s="735">
        <v>1000</v>
      </c>
      <c r="AB73" s="735"/>
      <c r="AC73" s="735">
        <f>+AA73+AB73</f>
        <v>1000</v>
      </c>
      <c r="AD73" s="735">
        <f>+Z73*12</f>
        <v>23273.4</v>
      </c>
      <c r="AE73" s="735">
        <f>+Q73*AD73</f>
        <v>23273.4</v>
      </c>
      <c r="AF73" s="735">
        <f t="shared" ref="AF73:AF76" si="35">+P73-AD73</f>
        <v>-1440</v>
      </c>
      <c r="AG73" s="711">
        <f t="shared" ref="AG73:AG76" si="36">+B73-Q73</f>
        <v>0</v>
      </c>
      <c r="AH73" s="711">
        <v>1</v>
      </c>
      <c r="AI73" s="735">
        <f>+O73+N73</f>
        <v>22833.4</v>
      </c>
    </row>
    <row r="74" spans="1:35" ht="24" x14ac:dyDescent="0.2">
      <c r="A74" s="704" t="s">
        <v>694</v>
      </c>
      <c r="B74" s="711">
        <v>1</v>
      </c>
      <c r="C74" s="735">
        <v>686.29</v>
      </c>
      <c r="D74" s="735">
        <v>1110</v>
      </c>
      <c r="E74" s="735"/>
      <c r="F74" s="735"/>
      <c r="G74" s="735"/>
      <c r="H74" s="735"/>
      <c r="I74" s="735"/>
      <c r="J74" s="735"/>
      <c r="K74" s="735">
        <f t="shared" si="34"/>
        <v>1796.29</v>
      </c>
      <c r="L74" s="735">
        <v>1000</v>
      </c>
      <c r="M74" s="735"/>
      <c r="N74" s="735">
        <f>+L74+M74</f>
        <v>1000</v>
      </c>
      <c r="O74" s="735">
        <f>+K74*12</f>
        <v>21555.48</v>
      </c>
      <c r="P74" s="735">
        <f>+B74*O74</f>
        <v>21555.48</v>
      </c>
      <c r="Q74" s="711">
        <v>1</v>
      </c>
      <c r="R74" s="735">
        <v>686.29</v>
      </c>
      <c r="S74" s="735">
        <v>1230</v>
      </c>
      <c r="T74" s="735"/>
      <c r="U74" s="735"/>
      <c r="V74" s="735"/>
      <c r="W74" s="735"/>
      <c r="X74" s="735"/>
      <c r="Y74" s="735"/>
      <c r="Z74" s="735">
        <f t="shared" ref="Z74:Z76" si="37">SUM(R74:Y74)</f>
        <v>1916.29</v>
      </c>
      <c r="AA74" s="735">
        <v>1000</v>
      </c>
      <c r="AB74" s="735"/>
      <c r="AC74" s="735">
        <f>+AA74+AB74</f>
        <v>1000</v>
      </c>
      <c r="AD74" s="735">
        <f>+Z74*12</f>
        <v>22995.48</v>
      </c>
      <c r="AE74" s="735">
        <f>+Q74*AD74</f>
        <v>22995.48</v>
      </c>
      <c r="AF74" s="735">
        <f t="shared" si="35"/>
        <v>-1440</v>
      </c>
      <c r="AG74" s="711">
        <f t="shared" si="36"/>
        <v>0</v>
      </c>
      <c r="AH74" s="711">
        <v>1</v>
      </c>
      <c r="AI74" s="735">
        <f t="shared" ref="AI74:AI76" si="38">+O74+N74</f>
        <v>22555.48</v>
      </c>
    </row>
    <row r="75" spans="1:35" ht="24" x14ac:dyDescent="0.2">
      <c r="A75" s="704" t="s">
        <v>695</v>
      </c>
      <c r="B75" s="711">
        <v>1</v>
      </c>
      <c r="C75" s="735">
        <v>686.29</v>
      </c>
      <c r="D75" s="735">
        <v>1110</v>
      </c>
      <c r="E75" s="735"/>
      <c r="F75" s="735"/>
      <c r="G75" s="735"/>
      <c r="H75" s="735"/>
      <c r="I75" s="735"/>
      <c r="J75" s="735"/>
      <c r="K75" s="735">
        <f t="shared" si="34"/>
        <v>1796.29</v>
      </c>
      <c r="L75" s="735">
        <v>1000</v>
      </c>
      <c r="M75" s="735"/>
      <c r="N75" s="735">
        <f>+L75+M75</f>
        <v>1000</v>
      </c>
      <c r="O75" s="735">
        <f>+K75*12</f>
        <v>21555.48</v>
      </c>
      <c r="P75" s="735">
        <f>+B75*O75</f>
        <v>21555.48</v>
      </c>
      <c r="Q75" s="711">
        <v>1</v>
      </c>
      <c r="R75" s="735">
        <v>686.29</v>
      </c>
      <c r="S75" s="735">
        <v>1230</v>
      </c>
      <c r="T75" s="735"/>
      <c r="U75" s="735"/>
      <c r="V75" s="735"/>
      <c r="W75" s="735"/>
      <c r="X75" s="735"/>
      <c r="Y75" s="735"/>
      <c r="Z75" s="735">
        <f t="shared" si="37"/>
        <v>1916.29</v>
      </c>
      <c r="AA75" s="735">
        <v>1000</v>
      </c>
      <c r="AB75" s="735"/>
      <c r="AC75" s="735">
        <f>+AA75+AB75</f>
        <v>1000</v>
      </c>
      <c r="AD75" s="735">
        <f>+Z75*12</f>
        <v>22995.48</v>
      </c>
      <c r="AE75" s="735">
        <f>+Q75*AD75</f>
        <v>22995.48</v>
      </c>
      <c r="AF75" s="735">
        <f t="shared" si="35"/>
        <v>-1440</v>
      </c>
      <c r="AG75" s="711">
        <f t="shared" si="36"/>
        <v>0</v>
      </c>
      <c r="AH75" s="711">
        <v>1</v>
      </c>
      <c r="AI75" s="735">
        <f t="shared" si="38"/>
        <v>22555.48</v>
      </c>
    </row>
    <row r="76" spans="1:35" x14ac:dyDescent="0.2">
      <c r="A76" s="704" t="s">
        <v>696</v>
      </c>
      <c r="B76" s="711">
        <v>1</v>
      </c>
      <c r="C76" s="735">
        <v>673.65</v>
      </c>
      <c r="D76" s="735">
        <v>1110</v>
      </c>
      <c r="E76" s="735"/>
      <c r="F76" s="735"/>
      <c r="G76" s="735"/>
      <c r="H76" s="735"/>
      <c r="I76" s="735"/>
      <c r="J76" s="735"/>
      <c r="K76" s="735">
        <f t="shared" si="34"/>
        <v>1783.65</v>
      </c>
      <c r="L76" s="735">
        <v>1000</v>
      </c>
      <c r="M76" s="735"/>
      <c r="N76" s="735">
        <f>+L76+M76</f>
        <v>1000</v>
      </c>
      <c r="O76" s="735">
        <f>+K76*12</f>
        <v>21403.800000000003</v>
      </c>
      <c r="P76" s="735">
        <f>+B76*O76</f>
        <v>21403.800000000003</v>
      </c>
      <c r="Q76" s="711">
        <v>1</v>
      </c>
      <c r="R76" s="735">
        <v>673.65</v>
      </c>
      <c r="S76" s="735">
        <v>1230</v>
      </c>
      <c r="T76" s="735"/>
      <c r="U76" s="735"/>
      <c r="V76" s="735"/>
      <c r="W76" s="735"/>
      <c r="X76" s="735"/>
      <c r="Y76" s="735"/>
      <c r="Z76" s="735">
        <f t="shared" si="37"/>
        <v>1903.65</v>
      </c>
      <c r="AA76" s="735">
        <v>1000</v>
      </c>
      <c r="AB76" s="735"/>
      <c r="AC76" s="735">
        <f>+AA76+AB76</f>
        <v>1000</v>
      </c>
      <c r="AD76" s="735">
        <f>+Z76*12</f>
        <v>22843.800000000003</v>
      </c>
      <c r="AE76" s="735">
        <f>+Q76*AD76</f>
        <v>22843.800000000003</v>
      </c>
      <c r="AF76" s="735">
        <f t="shared" si="35"/>
        <v>-1440</v>
      </c>
      <c r="AG76" s="711">
        <f t="shared" si="36"/>
        <v>0</v>
      </c>
      <c r="AH76" s="711">
        <v>1</v>
      </c>
      <c r="AI76" s="735">
        <f t="shared" si="38"/>
        <v>22403.800000000003</v>
      </c>
    </row>
    <row r="77" spans="1:35" x14ac:dyDescent="0.2">
      <c r="A77" s="704"/>
      <c r="B77" s="711"/>
      <c r="C77" s="735"/>
      <c r="D77" s="735"/>
      <c r="E77" s="735"/>
      <c r="F77" s="735"/>
      <c r="G77" s="735"/>
      <c r="H77" s="735"/>
      <c r="I77" s="735"/>
      <c r="J77" s="735"/>
      <c r="K77" s="735"/>
      <c r="L77" s="735"/>
      <c r="M77" s="735"/>
      <c r="N77" s="735"/>
      <c r="O77" s="735"/>
      <c r="P77" s="735"/>
      <c r="Q77" s="711"/>
      <c r="R77" s="735"/>
      <c r="S77" s="735"/>
      <c r="T77" s="735"/>
      <c r="U77" s="735"/>
      <c r="V77" s="735"/>
      <c r="W77" s="735"/>
      <c r="X77" s="735"/>
      <c r="Y77" s="735"/>
      <c r="Z77" s="735"/>
      <c r="AA77" s="735"/>
      <c r="AB77" s="735"/>
      <c r="AC77" s="735"/>
      <c r="AD77" s="735"/>
      <c r="AE77" s="735"/>
      <c r="AF77" s="735"/>
      <c r="AG77" s="711"/>
      <c r="AH77" s="711"/>
      <c r="AI77" s="735"/>
    </row>
    <row r="78" spans="1:35" x14ac:dyDescent="0.2">
      <c r="A78" s="705" t="s">
        <v>390</v>
      </c>
      <c r="B78" s="724">
        <f>+B79</f>
        <v>1</v>
      </c>
      <c r="C78" s="744">
        <f>+C79</f>
        <v>598.30999999999995</v>
      </c>
      <c r="D78" s="744">
        <f t="shared" ref="D78" si="39">+D79</f>
        <v>1070</v>
      </c>
      <c r="E78" s="744"/>
      <c r="F78" s="744"/>
      <c r="G78" s="744"/>
      <c r="H78" s="744"/>
      <c r="I78" s="744"/>
      <c r="J78" s="744"/>
      <c r="K78" s="744">
        <f t="shared" ref="K78:L78" si="40">+K79</f>
        <v>1668.31</v>
      </c>
      <c r="L78" s="744">
        <f t="shared" si="40"/>
        <v>1000</v>
      </c>
      <c r="M78" s="744"/>
      <c r="N78" s="744">
        <f t="shared" ref="N78:P78" si="41">+N79</f>
        <v>1000</v>
      </c>
      <c r="O78" s="744">
        <f t="shared" si="41"/>
        <v>20019.72</v>
      </c>
      <c r="P78" s="744">
        <f t="shared" si="41"/>
        <v>20019.72</v>
      </c>
      <c r="Q78" s="724">
        <f>+Q79</f>
        <v>1</v>
      </c>
      <c r="R78" s="744">
        <f>+R79</f>
        <v>598.30999999999995</v>
      </c>
      <c r="S78" s="744">
        <f t="shared" ref="S78" si="42">+S79</f>
        <v>1170</v>
      </c>
      <c r="T78" s="744"/>
      <c r="U78" s="744"/>
      <c r="V78" s="744"/>
      <c r="W78" s="744"/>
      <c r="X78" s="744"/>
      <c r="Y78" s="744"/>
      <c r="Z78" s="744">
        <f t="shared" ref="Z78:AA78" si="43">+Z79</f>
        <v>1768.31</v>
      </c>
      <c r="AA78" s="744">
        <f t="shared" si="43"/>
        <v>1000</v>
      </c>
      <c r="AB78" s="744"/>
      <c r="AC78" s="744">
        <f t="shared" ref="AC78:AE78" si="44">+AC79</f>
        <v>1000</v>
      </c>
      <c r="AD78" s="744">
        <f t="shared" si="44"/>
        <v>21219.72</v>
      </c>
      <c r="AE78" s="744">
        <f t="shared" si="44"/>
        <v>21219.72</v>
      </c>
      <c r="AF78" s="744">
        <f>+AF79</f>
        <v>-1200</v>
      </c>
      <c r="AG78" s="724">
        <f>+AG79</f>
        <v>0</v>
      </c>
      <c r="AH78" s="724">
        <f>+AH79</f>
        <v>1</v>
      </c>
      <c r="AI78" s="744">
        <f>+AI79</f>
        <v>21019.72</v>
      </c>
    </row>
    <row r="79" spans="1:35" x14ac:dyDescent="0.2">
      <c r="A79" s="704" t="s">
        <v>697</v>
      </c>
      <c r="B79" s="711">
        <v>1</v>
      </c>
      <c r="C79" s="735">
        <v>598.30999999999995</v>
      </c>
      <c r="D79" s="735">
        <v>1070</v>
      </c>
      <c r="E79" s="735"/>
      <c r="F79" s="735"/>
      <c r="G79" s="735"/>
      <c r="H79" s="735"/>
      <c r="I79" s="735"/>
      <c r="J79" s="735"/>
      <c r="K79" s="735">
        <f t="shared" ref="K79" si="45">SUM(C79:J79)</f>
        <v>1668.31</v>
      </c>
      <c r="L79" s="735">
        <v>1000</v>
      </c>
      <c r="M79" s="735"/>
      <c r="N79" s="735">
        <f>+L79+M79</f>
        <v>1000</v>
      </c>
      <c r="O79" s="735">
        <f>+K79*12</f>
        <v>20019.72</v>
      </c>
      <c r="P79" s="735">
        <f>+B79*O79</f>
        <v>20019.72</v>
      </c>
      <c r="Q79" s="711">
        <v>1</v>
      </c>
      <c r="R79" s="735">
        <v>598.30999999999995</v>
      </c>
      <c r="S79" s="735">
        <v>1170</v>
      </c>
      <c r="T79" s="735"/>
      <c r="U79" s="735"/>
      <c r="V79" s="735"/>
      <c r="W79" s="735"/>
      <c r="X79" s="735"/>
      <c r="Y79" s="735"/>
      <c r="Z79" s="735">
        <f>SUM(R79:Y79)</f>
        <v>1768.31</v>
      </c>
      <c r="AA79" s="735">
        <v>1000</v>
      </c>
      <c r="AB79" s="735"/>
      <c r="AC79" s="735">
        <f>+AA79+AB79</f>
        <v>1000</v>
      </c>
      <c r="AD79" s="735">
        <f>+Z79*12</f>
        <v>21219.72</v>
      </c>
      <c r="AE79" s="735">
        <f>+Q79*AD79</f>
        <v>21219.72</v>
      </c>
      <c r="AF79" s="735">
        <f t="shared" ref="AF79" si="46">+P79-AD79</f>
        <v>-1200</v>
      </c>
      <c r="AG79" s="711">
        <f>+B79-Q79</f>
        <v>0</v>
      </c>
      <c r="AH79" s="711">
        <v>1</v>
      </c>
      <c r="AI79" s="735">
        <f t="shared" ref="AI79" si="47">+O79+N79</f>
        <v>21019.72</v>
      </c>
    </row>
    <row r="80" spans="1:35" x14ac:dyDescent="0.2">
      <c r="A80" s="704"/>
      <c r="B80" s="711"/>
      <c r="C80" s="735"/>
      <c r="D80" s="735"/>
      <c r="E80" s="735"/>
      <c r="F80" s="735"/>
      <c r="G80" s="735"/>
      <c r="H80" s="735"/>
      <c r="I80" s="735"/>
      <c r="J80" s="735"/>
      <c r="K80" s="735"/>
      <c r="L80" s="735"/>
      <c r="M80" s="735"/>
      <c r="N80" s="735"/>
      <c r="O80" s="735"/>
      <c r="P80" s="735"/>
      <c r="Q80" s="711"/>
      <c r="R80" s="735"/>
      <c r="S80" s="735"/>
      <c r="T80" s="735"/>
      <c r="U80" s="735"/>
      <c r="V80" s="735"/>
      <c r="W80" s="735"/>
      <c r="X80" s="735"/>
      <c r="Y80" s="735"/>
      <c r="Z80" s="735"/>
      <c r="AA80" s="735"/>
      <c r="AB80" s="735"/>
      <c r="AC80" s="735"/>
      <c r="AD80" s="735"/>
      <c r="AE80" s="735"/>
      <c r="AF80" s="735"/>
      <c r="AG80" s="711"/>
      <c r="AH80" s="711"/>
      <c r="AI80" s="735"/>
    </row>
    <row r="81" spans="1:35" x14ac:dyDescent="0.2">
      <c r="A81" s="705" t="s">
        <v>391</v>
      </c>
      <c r="B81" s="724">
        <f>+B82</f>
        <v>1</v>
      </c>
      <c r="C81" s="744">
        <f>+C82</f>
        <v>592.13</v>
      </c>
      <c r="D81" s="744">
        <f t="shared" ref="D81" si="48">+D82</f>
        <v>1070</v>
      </c>
      <c r="E81" s="744"/>
      <c r="F81" s="744"/>
      <c r="G81" s="744"/>
      <c r="H81" s="744"/>
      <c r="I81" s="744"/>
      <c r="J81" s="744"/>
      <c r="K81" s="744">
        <f t="shared" ref="K81:L81" si="49">+K82</f>
        <v>1662.13</v>
      </c>
      <c r="L81" s="744">
        <f t="shared" si="49"/>
        <v>1000</v>
      </c>
      <c r="M81" s="744"/>
      <c r="N81" s="744">
        <f t="shared" ref="N81:P81" si="50">+N82</f>
        <v>1000</v>
      </c>
      <c r="O81" s="744">
        <f t="shared" si="50"/>
        <v>19945.560000000001</v>
      </c>
      <c r="P81" s="744">
        <f t="shared" si="50"/>
        <v>19945.560000000001</v>
      </c>
      <c r="Q81" s="724">
        <f>+Q82</f>
        <v>1</v>
      </c>
      <c r="R81" s="744">
        <f>+R82</f>
        <v>592.13</v>
      </c>
      <c r="S81" s="744">
        <f t="shared" ref="S81" si="51">+S82</f>
        <v>1170</v>
      </c>
      <c r="T81" s="744"/>
      <c r="U81" s="744"/>
      <c r="V81" s="744"/>
      <c r="W81" s="744"/>
      <c r="X81" s="744"/>
      <c r="Y81" s="744"/>
      <c r="Z81" s="744">
        <f t="shared" ref="Z81:AA81" si="52">+Z82</f>
        <v>1762.13</v>
      </c>
      <c r="AA81" s="744">
        <f t="shared" si="52"/>
        <v>1000</v>
      </c>
      <c r="AB81" s="744"/>
      <c r="AC81" s="744">
        <f t="shared" ref="AC81:AE81" si="53">+AC82</f>
        <v>1000</v>
      </c>
      <c r="AD81" s="744">
        <f t="shared" si="53"/>
        <v>21145.56</v>
      </c>
      <c r="AE81" s="744">
        <f t="shared" si="53"/>
        <v>21145.56</v>
      </c>
      <c r="AF81" s="744">
        <f>+AF82</f>
        <v>-1200</v>
      </c>
      <c r="AG81" s="724">
        <f>+AG82</f>
        <v>0</v>
      </c>
      <c r="AH81" s="724">
        <f>+AH82</f>
        <v>1</v>
      </c>
      <c r="AI81" s="744">
        <f>+AI82</f>
        <v>20945.560000000001</v>
      </c>
    </row>
    <row r="82" spans="1:35" x14ac:dyDescent="0.2">
      <c r="A82" s="704" t="s">
        <v>698</v>
      </c>
      <c r="B82" s="711">
        <v>1</v>
      </c>
      <c r="C82" s="735">
        <v>592.13</v>
      </c>
      <c r="D82" s="735">
        <v>1070</v>
      </c>
      <c r="E82" s="735"/>
      <c r="F82" s="735"/>
      <c r="G82" s="735"/>
      <c r="H82" s="735"/>
      <c r="I82" s="735"/>
      <c r="J82" s="735"/>
      <c r="K82" s="735">
        <f t="shared" ref="K82" si="54">SUM(C82:J82)</f>
        <v>1662.13</v>
      </c>
      <c r="L82" s="735">
        <v>1000</v>
      </c>
      <c r="M82" s="735"/>
      <c r="N82" s="735">
        <f>+L82+M82</f>
        <v>1000</v>
      </c>
      <c r="O82" s="735">
        <f>+K82*12</f>
        <v>19945.560000000001</v>
      </c>
      <c r="P82" s="735">
        <f>+B82*O82</f>
        <v>19945.560000000001</v>
      </c>
      <c r="Q82" s="711">
        <v>1</v>
      </c>
      <c r="R82" s="735">
        <v>592.13</v>
      </c>
      <c r="S82" s="735">
        <v>1170</v>
      </c>
      <c r="T82" s="735"/>
      <c r="U82" s="735"/>
      <c r="V82" s="735"/>
      <c r="W82" s="735"/>
      <c r="X82" s="735"/>
      <c r="Y82" s="735"/>
      <c r="Z82" s="735">
        <f>SUM(R82:Y82)</f>
        <v>1762.13</v>
      </c>
      <c r="AA82" s="735">
        <v>1000</v>
      </c>
      <c r="AB82" s="735"/>
      <c r="AC82" s="735">
        <f>+AA82+AB82</f>
        <v>1000</v>
      </c>
      <c r="AD82" s="735">
        <f>+Z82*12</f>
        <v>21145.56</v>
      </c>
      <c r="AE82" s="735">
        <f>+Q82*AD82</f>
        <v>21145.56</v>
      </c>
      <c r="AF82" s="735">
        <f t="shared" ref="AF82" si="55">+P82-AD82</f>
        <v>-1200</v>
      </c>
      <c r="AG82" s="711">
        <f>+B82-Q82</f>
        <v>0</v>
      </c>
      <c r="AH82" s="711">
        <v>1</v>
      </c>
      <c r="AI82" s="735">
        <f t="shared" ref="AI82" si="56">+O82+N82</f>
        <v>20945.560000000001</v>
      </c>
    </row>
    <row r="83" spans="1:35" x14ac:dyDescent="0.2">
      <c r="A83" s="704"/>
      <c r="B83" s="711"/>
      <c r="C83" s="735"/>
      <c r="D83" s="735"/>
      <c r="E83" s="735"/>
      <c r="F83" s="735"/>
      <c r="G83" s="735"/>
      <c r="H83" s="735"/>
      <c r="I83" s="735"/>
      <c r="J83" s="735"/>
      <c r="K83" s="735"/>
      <c r="L83" s="735"/>
      <c r="M83" s="735"/>
      <c r="N83" s="735"/>
      <c r="O83" s="735"/>
      <c r="P83" s="735"/>
      <c r="Q83" s="711"/>
      <c r="R83" s="735"/>
      <c r="S83" s="735"/>
      <c r="T83" s="735"/>
      <c r="U83" s="735"/>
      <c r="V83" s="735"/>
      <c r="W83" s="735"/>
      <c r="X83" s="735"/>
      <c r="Y83" s="735"/>
      <c r="Z83" s="735"/>
      <c r="AA83" s="735"/>
      <c r="AB83" s="735"/>
      <c r="AC83" s="735"/>
      <c r="AD83" s="735"/>
      <c r="AE83" s="735"/>
      <c r="AF83" s="735"/>
      <c r="AG83" s="711"/>
      <c r="AH83" s="711"/>
      <c r="AI83" s="735"/>
    </row>
    <row r="84" spans="1:35" x14ac:dyDescent="0.2">
      <c r="A84" s="705" t="s">
        <v>392</v>
      </c>
      <c r="B84" s="724">
        <f>+B85</f>
        <v>1</v>
      </c>
      <c r="C84" s="744">
        <f>+C85</f>
        <v>572.89</v>
      </c>
      <c r="D84" s="744">
        <f t="shared" ref="D84" si="57">+D85</f>
        <v>1070</v>
      </c>
      <c r="E84" s="744"/>
      <c r="F84" s="744"/>
      <c r="G84" s="744"/>
      <c r="H84" s="744"/>
      <c r="I84" s="744"/>
      <c r="J84" s="744"/>
      <c r="K84" s="744">
        <f t="shared" ref="K84:L84" si="58">+K85</f>
        <v>1642.8899999999999</v>
      </c>
      <c r="L84" s="744">
        <f t="shared" si="58"/>
        <v>1000</v>
      </c>
      <c r="M84" s="744"/>
      <c r="N84" s="744">
        <f t="shared" ref="N84:P84" si="59">+N85</f>
        <v>1000</v>
      </c>
      <c r="O84" s="744">
        <f t="shared" si="59"/>
        <v>19714.68</v>
      </c>
      <c r="P84" s="744">
        <f t="shared" si="59"/>
        <v>19714.68</v>
      </c>
      <c r="Q84" s="724">
        <f>+Q85</f>
        <v>1</v>
      </c>
      <c r="R84" s="744">
        <f>+R85</f>
        <v>572.89</v>
      </c>
      <c r="S84" s="744">
        <f t="shared" ref="S84" si="60">+S85</f>
        <v>1170</v>
      </c>
      <c r="T84" s="744"/>
      <c r="U84" s="744"/>
      <c r="V84" s="744"/>
      <c r="W84" s="744"/>
      <c r="X84" s="744"/>
      <c r="Y84" s="744"/>
      <c r="Z84" s="744">
        <f t="shared" ref="Z84:AA84" si="61">+Z85</f>
        <v>1742.8899999999999</v>
      </c>
      <c r="AA84" s="744">
        <f t="shared" si="61"/>
        <v>1000</v>
      </c>
      <c r="AB84" s="744"/>
      <c r="AC84" s="744">
        <f t="shared" ref="AC84:AE84" si="62">+AC85</f>
        <v>1000</v>
      </c>
      <c r="AD84" s="744">
        <f t="shared" si="62"/>
        <v>20914.68</v>
      </c>
      <c r="AE84" s="744">
        <f t="shared" si="62"/>
        <v>20914.68</v>
      </c>
      <c r="AF84" s="744">
        <f>+AF85</f>
        <v>-1200</v>
      </c>
      <c r="AG84" s="724">
        <f>+AG85</f>
        <v>0</v>
      </c>
      <c r="AH84" s="724">
        <f>+AH85</f>
        <v>1</v>
      </c>
      <c r="AI84" s="744">
        <f>+AI85</f>
        <v>20714.68</v>
      </c>
    </row>
    <row r="85" spans="1:35" x14ac:dyDescent="0.2">
      <c r="A85" s="704" t="s">
        <v>699</v>
      </c>
      <c r="B85" s="711">
        <v>1</v>
      </c>
      <c r="C85" s="735">
        <v>572.89</v>
      </c>
      <c r="D85" s="735">
        <v>1070</v>
      </c>
      <c r="E85" s="735"/>
      <c r="F85" s="735"/>
      <c r="G85" s="735"/>
      <c r="H85" s="735"/>
      <c r="I85" s="735"/>
      <c r="J85" s="735"/>
      <c r="K85" s="735">
        <f t="shared" ref="K85" si="63">SUM(C85:J85)</f>
        <v>1642.8899999999999</v>
      </c>
      <c r="L85" s="735">
        <v>1000</v>
      </c>
      <c r="M85" s="735"/>
      <c r="N85" s="735">
        <f>+L85+M85</f>
        <v>1000</v>
      </c>
      <c r="O85" s="735">
        <f>+K85*12</f>
        <v>19714.68</v>
      </c>
      <c r="P85" s="735">
        <f>+B85*O85</f>
        <v>19714.68</v>
      </c>
      <c r="Q85" s="711">
        <v>1</v>
      </c>
      <c r="R85" s="735">
        <v>572.89</v>
      </c>
      <c r="S85" s="735">
        <v>1170</v>
      </c>
      <c r="T85" s="735"/>
      <c r="U85" s="735"/>
      <c r="V85" s="735"/>
      <c r="W85" s="735"/>
      <c r="X85" s="735"/>
      <c r="Y85" s="735"/>
      <c r="Z85" s="735">
        <f>SUM(R85:Y85)</f>
        <v>1742.8899999999999</v>
      </c>
      <c r="AA85" s="735">
        <v>1000</v>
      </c>
      <c r="AB85" s="735"/>
      <c r="AC85" s="735">
        <f>+AA85+AB85</f>
        <v>1000</v>
      </c>
      <c r="AD85" s="735">
        <f>+Z85*12</f>
        <v>20914.68</v>
      </c>
      <c r="AE85" s="735">
        <f>+Q85*AD85</f>
        <v>20914.68</v>
      </c>
      <c r="AF85" s="735">
        <f t="shared" ref="AF85" si="64">+P85-AD85</f>
        <v>-1200</v>
      </c>
      <c r="AG85" s="711">
        <f>+B85-Q85</f>
        <v>0</v>
      </c>
      <c r="AH85" s="711">
        <v>1</v>
      </c>
      <c r="AI85" s="735">
        <f t="shared" ref="AI85" si="65">+O85+N85</f>
        <v>20714.68</v>
      </c>
    </row>
    <row r="86" spans="1:35" x14ac:dyDescent="0.2">
      <c r="A86" s="704" t="s">
        <v>700</v>
      </c>
      <c r="B86" s="711"/>
      <c r="C86" s="735"/>
      <c r="D86" s="735"/>
      <c r="E86" s="735"/>
      <c r="F86" s="735"/>
      <c r="G86" s="735"/>
      <c r="H86" s="735"/>
      <c r="I86" s="735"/>
      <c r="J86" s="735"/>
      <c r="K86" s="735"/>
      <c r="L86" s="735"/>
      <c r="M86" s="735"/>
      <c r="N86" s="735"/>
      <c r="O86" s="735"/>
      <c r="P86" s="735"/>
      <c r="Q86" s="421"/>
      <c r="R86" s="735"/>
      <c r="S86" s="735"/>
      <c r="T86" s="735"/>
      <c r="U86" s="735"/>
      <c r="V86" s="735"/>
      <c r="W86" s="735"/>
      <c r="X86" s="735"/>
      <c r="Y86" s="735"/>
      <c r="Z86" s="735"/>
      <c r="AA86" s="735"/>
      <c r="AB86" s="735"/>
      <c r="AC86" s="735"/>
      <c r="AD86" s="735"/>
      <c r="AE86" s="735"/>
      <c r="AF86" s="735"/>
      <c r="AG86" s="711"/>
      <c r="AH86" s="711"/>
      <c r="AI86" s="735"/>
    </row>
    <row r="87" spans="1:35" x14ac:dyDescent="0.2">
      <c r="A87" s="704" t="s">
        <v>690</v>
      </c>
      <c r="B87" s="711"/>
      <c r="C87" s="735"/>
      <c r="D87" s="735"/>
      <c r="E87" s="735"/>
      <c r="F87" s="735"/>
      <c r="G87" s="735"/>
      <c r="H87" s="735"/>
      <c r="I87" s="735"/>
      <c r="J87" s="735"/>
      <c r="K87" s="735"/>
      <c r="L87" s="735"/>
      <c r="M87" s="735"/>
      <c r="N87" s="735"/>
      <c r="O87" s="735"/>
      <c r="P87" s="735"/>
      <c r="Q87" s="421"/>
      <c r="R87" s="735"/>
      <c r="S87" s="735"/>
      <c r="T87" s="735"/>
      <c r="U87" s="735"/>
      <c r="V87" s="735"/>
      <c r="W87" s="735"/>
      <c r="X87" s="735"/>
      <c r="Y87" s="735"/>
      <c r="Z87" s="735"/>
      <c r="AA87" s="735"/>
      <c r="AB87" s="735"/>
      <c r="AC87" s="735"/>
      <c r="AD87" s="735"/>
      <c r="AE87" s="735"/>
      <c r="AF87" s="735"/>
      <c r="AG87" s="711"/>
      <c r="AH87" s="711"/>
      <c r="AI87" s="735"/>
    </row>
    <row r="88" spans="1:35" x14ac:dyDescent="0.2">
      <c r="A88" s="704"/>
      <c r="B88" s="711"/>
      <c r="C88" s="735"/>
      <c r="D88" s="735"/>
      <c r="E88" s="735"/>
      <c r="F88" s="735"/>
      <c r="G88" s="735"/>
      <c r="H88" s="735"/>
      <c r="I88" s="735"/>
      <c r="J88" s="735"/>
      <c r="K88" s="735"/>
      <c r="L88" s="735"/>
      <c r="M88" s="735"/>
      <c r="N88" s="735"/>
      <c r="O88" s="735"/>
      <c r="P88" s="735"/>
      <c r="Q88" s="421"/>
      <c r="R88" s="735"/>
      <c r="S88" s="735"/>
      <c r="T88" s="735"/>
      <c r="U88" s="735"/>
      <c r="V88" s="735"/>
      <c r="W88" s="735"/>
      <c r="X88" s="735"/>
      <c r="Y88" s="735"/>
      <c r="Z88" s="735"/>
      <c r="AA88" s="735"/>
      <c r="AB88" s="735"/>
      <c r="AC88" s="735"/>
      <c r="AD88" s="735"/>
      <c r="AE88" s="735"/>
      <c r="AF88" s="735"/>
      <c r="AG88" s="711"/>
      <c r="AH88" s="711"/>
      <c r="AI88" s="735"/>
    </row>
    <row r="89" spans="1:35" x14ac:dyDescent="0.2">
      <c r="A89" s="704"/>
      <c r="B89" s="711"/>
      <c r="C89" s="735"/>
      <c r="D89" s="735"/>
      <c r="E89" s="735"/>
      <c r="F89" s="735"/>
      <c r="G89" s="735"/>
      <c r="H89" s="735"/>
      <c r="I89" s="735"/>
      <c r="J89" s="735"/>
      <c r="K89" s="735"/>
      <c r="L89" s="735"/>
      <c r="M89" s="735"/>
      <c r="N89" s="735"/>
      <c r="O89" s="735"/>
      <c r="P89" s="735"/>
      <c r="Q89" s="421"/>
      <c r="R89" s="735"/>
      <c r="S89" s="735"/>
      <c r="T89" s="735"/>
      <c r="U89" s="735"/>
      <c r="V89" s="735"/>
      <c r="W89" s="735"/>
      <c r="X89" s="735"/>
      <c r="Y89" s="735"/>
      <c r="Z89" s="735"/>
      <c r="AA89" s="735"/>
      <c r="AB89" s="735"/>
      <c r="AC89" s="735"/>
      <c r="AD89" s="735"/>
      <c r="AE89" s="735"/>
      <c r="AF89" s="735"/>
      <c r="AG89" s="711"/>
      <c r="AH89" s="711"/>
      <c r="AI89" s="735"/>
    </row>
    <row r="90" spans="1:35" x14ac:dyDescent="0.2">
      <c r="A90" s="706" t="s">
        <v>169</v>
      </c>
      <c r="B90" s="555">
        <f>+B69+B72+B78+B81+B84</f>
        <v>8</v>
      </c>
      <c r="C90" s="731">
        <f>+C69+C72+C78+C81+C84</f>
        <v>5548.48</v>
      </c>
      <c r="D90" s="731">
        <f>+D69+D72+D78+D81+D84</f>
        <v>9147.5</v>
      </c>
      <c r="E90" s="731"/>
      <c r="F90" s="731"/>
      <c r="G90" s="731"/>
      <c r="H90" s="731"/>
      <c r="I90" s="731"/>
      <c r="J90" s="731"/>
      <c r="K90" s="731">
        <f t="shared" ref="K90:L90" si="66">+K69+K72+K78+K81+K84</f>
        <v>14695.98</v>
      </c>
      <c r="L90" s="731">
        <f t="shared" si="66"/>
        <v>8000</v>
      </c>
      <c r="M90" s="731"/>
      <c r="N90" s="731">
        <f>+N69+N72+N78+N81+N84</f>
        <v>8000</v>
      </c>
      <c r="O90" s="731">
        <f t="shared" ref="O90:P90" si="67">+O69+O72+O78+O81+O84</f>
        <v>176351.76</v>
      </c>
      <c r="P90" s="731">
        <f t="shared" si="67"/>
        <v>176351.76</v>
      </c>
      <c r="Q90" s="555">
        <f>+Q69+Q72+Q78+Q81+Q84</f>
        <v>8</v>
      </c>
      <c r="R90" s="731">
        <f>+R69+R72+R78+R81+R84</f>
        <v>5548.48</v>
      </c>
      <c r="S90" s="731">
        <f>+S69+S72+S78+S81+S84</f>
        <v>9927.5</v>
      </c>
      <c r="T90" s="731"/>
      <c r="U90" s="731"/>
      <c r="V90" s="731"/>
      <c r="W90" s="731"/>
      <c r="X90" s="731"/>
      <c r="Y90" s="731"/>
      <c r="Z90" s="731">
        <f t="shared" ref="Z90:AA90" si="68">+Z69+Z72+Z78+Z81+Z84</f>
        <v>15475.98</v>
      </c>
      <c r="AA90" s="731">
        <f t="shared" si="68"/>
        <v>8000</v>
      </c>
      <c r="AB90" s="731"/>
      <c r="AC90" s="731">
        <f>+AC69+AC72+AC78+AC81+AC84</f>
        <v>8000</v>
      </c>
      <c r="AD90" s="731">
        <f t="shared" ref="AD90:AF90" si="69">+AD69+AD72+AD78+AD81+AD84</f>
        <v>185711.76</v>
      </c>
      <c r="AE90" s="731">
        <f t="shared" si="69"/>
        <v>185711.76</v>
      </c>
      <c r="AF90" s="731">
        <f t="shared" si="69"/>
        <v>-9360</v>
      </c>
      <c r="AG90" s="555">
        <f>+AG69+AG72+AG78+AG81+AG84</f>
        <v>0</v>
      </c>
      <c r="AH90" s="555">
        <f>+AH69+AH72+AH78+AH81+AH84</f>
        <v>7</v>
      </c>
      <c r="AI90" s="731">
        <f t="shared" ref="AI90" si="70">+AI69+AI72+AI78+AI81+AI84</f>
        <v>153028.12</v>
      </c>
    </row>
    <row r="91" spans="1:35" x14ac:dyDescent="0.2">
      <c r="B91" s="17"/>
      <c r="C91" s="17"/>
      <c r="D91" s="17"/>
      <c r="E91" s="17"/>
      <c r="F91" s="17"/>
      <c r="G91" s="17"/>
      <c r="H91" s="17"/>
      <c r="I91" s="17"/>
      <c r="J91" s="17"/>
      <c r="K91" s="17"/>
      <c r="L91" s="17"/>
      <c r="M91" s="17"/>
      <c r="N91" s="17"/>
      <c r="O91" s="17"/>
      <c r="P91" s="17"/>
      <c r="R91" s="17"/>
      <c r="S91" s="17"/>
      <c r="T91" s="17"/>
      <c r="U91" s="17"/>
      <c r="V91" s="17"/>
      <c r="W91" s="17"/>
      <c r="X91" s="17"/>
      <c r="Y91" s="17"/>
      <c r="Z91" s="17"/>
      <c r="AA91" s="17"/>
      <c r="AB91" s="17"/>
      <c r="AC91" s="17"/>
      <c r="AD91" s="17"/>
      <c r="AE91" s="17"/>
      <c r="AF91" s="17"/>
      <c r="AG91" s="17"/>
      <c r="AH91" s="17"/>
      <c r="AI91" s="17"/>
    </row>
    <row r="92" spans="1:35" x14ac:dyDescent="0.2">
      <c r="B92" s="17"/>
      <c r="C92" s="17"/>
      <c r="D92" s="17"/>
      <c r="E92" s="17"/>
      <c r="F92" s="17"/>
      <c r="G92" s="17"/>
      <c r="H92" s="17"/>
      <c r="I92" s="17"/>
      <c r="J92" s="17"/>
      <c r="K92" s="17"/>
      <c r="L92" s="17"/>
      <c r="M92" s="17"/>
      <c r="N92" s="17"/>
      <c r="O92" s="17"/>
      <c r="P92" s="17"/>
      <c r="R92" s="17"/>
      <c r="S92" s="17"/>
      <c r="T92" s="17"/>
      <c r="U92" s="17"/>
      <c r="V92" s="17"/>
      <c r="W92" s="17"/>
      <c r="X92" s="17"/>
      <c r="Y92" s="17"/>
      <c r="Z92" s="17"/>
      <c r="AA92" s="17"/>
      <c r="AB92" s="17"/>
      <c r="AC92" s="17"/>
      <c r="AD92" s="17"/>
      <c r="AE92" s="17"/>
      <c r="AF92" s="17"/>
      <c r="AG92" s="17"/>
      <c r="AH92" s="17"/>
      <c r="AI92" s="17"/>
    </row>
    <row r="93" spans="1:35" ht="24" x14ac:dyDescent="0.2">
      <c r="A93" s="706" t="s">
        <v>417</v>
      </c>
      <c r="B93" s="740"/>
      <c r="C93" s="741"/>
      <c r="D93" s="741"/>
      <c r="E93" s="741"/>
      <c r="F93" s="741"/>
      <c r="G93" s="741"/>
      <c r="H93" s="741"/>
      <c r="I93" s="741"/>
      <c r="J93" s="741"/>
      <c r="K93" s="741"/>
      <c r="L93" s="741"/>
      <c r="M93" s="741"/>
      <c r="N93" s="741"/>
      <c r="O93" s="741"/>
      <c r="P93" s="741"/>
      <c r="Q93" s="741"/>
      <c r="R93" s="741"/>
      <c r="S93" s="741"/>
      <c r="T93" s="741"/>
      <c r="U93" s="741"/>
      <c r="V93" s="741"/>
      <c r="W93" s="741"/>
      <c r="X93" s="741"/>
      <c r="Y93" s="741"/>
      <c r="Z93" s="741"/>
      <c r="AA93" s="741"/>
      <c r="AB93" s="741"/>
      <c r="AC93" s="741"/>
      <c r="AD93" s="741"/>
      <c r="AE93" s="741"/>
      <c r="AF93" s="742"/>
      <c r="AG93" s="743"/>
      <c r="AH93" s="743"/>
      <c r="AI93" s="742"/>
    </row>
    <row r="94" spans="1:35" x14ac:dyDescent="0.2">
      <c r="A94" s="1485" t="s">
        <v>644</v>
      </c>
      <c r="B94" s="1487" t="s">
        <v>645</v>
      </c>
      <c r="C94" s="1487"/>
      <c r="D94" s="1487"/>
      <c r="E94" s="1487"/>
      <c r="F94" s="1487"/>
      <c r="G94" s="1487"/>
      <c r="H94" s="1487"/>
      <c r="I94" s="1487"/>
      <c r="J94" s="1487"/>
      <c r="K94" s="1487"/>
      <c r="L94" s="1487"/>
      <c r="M94" s="1487"/>
      <c r="N94" s="1487"/>
      <c r="O94" s="1487"/>
      <c r="P94" s="1487"/>
      <c r="Q94" s="1487" t="s">
        <v>646</v>
      </c>
      <c r="R94" s="1487"/>
      <c r="S94" s="1487"/>
      <c r="T94" s="1487"/>
      <c r="U94" s="1487"/>
      <c r="V94" s="1487"/>
      <c r="W94" s="1487"/>
      <c r="X94" s="1487"/>
      <c r="Y94" s="1487"/>
      <c r="Z94" s="1487"/>
      <c r="AA94" s="1487"/>
      <c r="AB94" s="1487"/>
      <c r="AC94" s="1487"/>
      <c r="AD94" s="1487"/>
      <c r="AE94" s="1487"/>
      <c r="AF94" s="1487" t="s">
        <v>647</v>
      </c>
      <c r="AG94" s="1487"/>
      <c r="AH94" s="1487" t="s">
        <v>648</v>
      </c>
      <c r="AI94" s="1487"/>
    </row>
    <row r="95" spans="1:35" ht="120" customHeight="1" x14ac:dyDescent="0.2">
      <c r="A95" s="1485"/>
      <c r="B95" s="691" t="s">
        <v>649</v>
      </c>
      <c r="C95" s="692" t="s">
        <v>650</v>
      </c>
      <c r="D95" s="692" t="s">
        <v>684</v>
      </c>
      <c r="E95" s="692" t="s">
        <v>652</v>
      </c>
      <c r="F95" s="692" t="s">
        <v>653</v>
      </c>
      <c r="G95" s="692" t="s">
        <v>654</v>
      </c>
      <c r="H95" s="692" t="s">
        <v>655</v>
      </c>
      <c r="I95" s="692" t="s">
        <v>656</v>
      </c>
      <c r="J95" s="692" t="s">
        <v>657</v>
      </c>
      <c r="K95" s="692" t="s">
        <v>658</v>
      </c>
      <c r="L95" s="692" t="s">
        <v>659</v>
      </c>
      <c r="M95" s="692" t="s">
        <v>660</v>
      </c>
      <c r="N95" s="692" t="s">
        <v>661</v>
      </c>
      <c r="O95" s="692" t="s">
        <v>662</v>
      </c>
      <c r="P95" s="692" t="s">
        <v>685</v>
      </c>
      <c r="Q95" s="691" t="s">
        <v>649</v>
      </c>
      <c r="R95" s="692" t="s">
        <v>650</v>
      </c>
      <c r="S95" s="692" t="s">
        <v>651</v>
      </c>
      <c r="T95" s="692" t="s">
        <v>652</v>
      </c>
      <c r="U95" s="692" t="s">
        <v>653</v>
      </c>
      <c r="V95" s="692" t="s">
        <v>654</v>
      </c>
      <c r="W95" s="692" t="s">
        <v>655</v>
      </c>
      <c r="X95" s="692" t="s">
        <v>656</v>
      </c>
      <c r="Y95" s="692" t="s">
        <v>657</v>
      </c>
      <c r="Z95" s="692" t="s">
        <v>658</v>
      </c>
      <c r="AA95" s="692" t="s">
        <v>659</v>
      </c>
      <c r="AB95" s="692" t="s">
        <v>660</v>
      </c>
      <c r="AC95" s="692" t="s">
        <v>661</v>
      </c>
      <c r="AD95" s="692" t="s">
        <v>662</v>
      </c>
      <c r="AE95" s="692" t="s">
        <v>686</v>
      </c>
      <c r="AF95" s="692" t="s">
        <v>664</v>
      </c>
      <c r="AG95" s="691" t="s">
        <v>665</v>
      </c>
      <c r="AH95" s="691" t="s">
        <v>649</v>
      </c>
      <c r="AI95" s="692" t="s">
        <v>687</v>
      </c>
    </row>
    <row r="96" spans="1:35" x14ac:dyDescent="0.2">
      <c r="A96" s="1486"/>
      <c r="B96" s="555" t="s">
        <v>667</v>
      </c>
      <c r="C96" s="733" t="s">
        <v>668</v>
      </c>
      <c r="D96" s="733" t="s">
        <v>669</v>
      </c>
      <c r="E96" s="733" t="s">
        <v>670</v>
      </c>
      <c r="F96" s="734" t="s">
        <v>671</v>
      </c>
      <c r="G96" s="734" t="s">
        <v>672</v>
      </c>
      <c r="H96" s="734" t="s">
        <v>673</v>
      </c>
      <c r="I96" s="734" t="s">
        <v>674</v>
      </c>
      <c r="J96" s="734" t="s">
        <v>675</v>
      </c>
      <c r="K96" s="734" t="s">
        <v>676</v>
      </c>
      <c r="L96" s="734" t="s">
        <v>677</v>
      </c>
      <c r="M96" s="734" t="s">
        <v>678</v>
      </c>
      <c r="N96" s="734" t="s">
        <v>679</v>
      </c>
      <c r="O96" s="734" t="s">
        <v>680</v>
      </c>
      <c r="P96" s="734" t="s">
        <v>681</v>
      </c>
      <c r="Q96" s="555" t="s">
        <v>667</v>
      </c>
      <c r="R96" s="733" t="s">
        <v>668</v>
      </c>
      <c r="S96" s="733" t="s">
        <v>669</v>
      </c>
      <c r="T96" s="733" t="s">
        <v>670</v>
      </c>
      <c r="U96" s="734" t="s">
        <v>671</v>
      </c>
      <c r="V96" s="734" t="s">
        <v>672</v>
      </c>
      <c r="W96" s="734" t="s">
        <v>673</v>
      </c>
      <c r="X96" s="734" t="s">
        <v>674</v>
      </c>
      <c r="Y96" s="734" t="s">
        <v>675</v>
      </c>
      <c r="Z96" s="734" t="s">
        <v>676</v>
      </c>
      <c r="AA96" s="734" t="s">
        <v>677</v>
      </c>
      <c r="AB96" s="734" t="s">
        <v>678</v>
      </c>
      <c r="AC96" s="734" t="s">
        <v>679</v>
      </c>
      <c r="AD96" s="734" t="s">
        <v>680</v>
      </c>
      <c r="AE96" s="734" t="s">
        <v>681</v>
      </c>
      <c r="AF96" s="733"/>
      <c r="AG96" s="555"/>
      <c r="AH96" s="555"/>
      <c r="AI96" s="733"/>
    </row>
    <row r="97" spans="1:35" x14ac:dyDescent="0.2">
      <c r="A97" s="704"/>
      <c r="B97" s="711"/>
      <c r="C97" s="735"/>
      <c r="D97" s="735"/>
      <c r="E97" s="735"/>
      <c r="F97" s="735"/>
      <c r="G97" s="735"/>
      <c r="H97" s="735"/>
      <c r="I97" s="735"/>
      <c r="J97" s="735"/>
      <c r="K97" s="735"/>
      <c r="L97" s="735"/>
      <c r="M97" s="735"/>
      <c r="N97" s="735"/>
      <c r="O97" s="735"/>
      <c r="P97" s="735"/>
      <c r="Q97" s="421"/>
      <c r="R97" s="735"/>
      <c r="S97" s="735"/>
      <c r="T97" s="735"/>
      <c r="U97" s="735"/>
      <c r="V97" s="735"/>
      <c r="W97" s="735"/>
      <c r="X97" s="735"/>
      <c r="Y97" s="735"/>
      <c r="Z97" s="735"/>
      <c r="AA97" s="735"/>
      <c r="AB97" s="735"/>
      <c r="AC97" s="735"/>
      <c r="AD97" s="735"/>
      <c r="AE97" s="735"/>
      <c r="AF97" s="735"/>
      <c r="AG97" s="711"/>
      <c r="AH97" s="711"/>
      <c r="AI97" s="735"/>
    </row>
    <row r="98" spans="1:35" x14ac:dyDescent="0.2">
      <c r="A98" s="704" t="s">
        <v>688</v>
      </c>
      <c r="B98" s="711">
        <v>22</v>
      </c>
      <c r="C98" s="735"/>
      <c r="D98" s="735"/>
      <c r="E98" s="735"/>
      <c r="F98" s="735"/>
      <c r="G98" s="735"/>
      <c r="H98" s="735"/>
      <c r="I98" s="735"/>
      <c r="J98" s="735"/>
      <c r="K98" s="735"/>
      <c r="L98" s="735"/>
      <c r="M98" s="735"/>
      <c r="N98" s="735"/>
      <c r="O98" s="735"/>
      <c r="P98" s="735"/>
      <c r="Q98" s="421">
        <v>22</v>
      </c>
      <c r="R98" s="735"/>
      <c r="S98" s="735"/>
      <c r="T98" s="735"/>
      <c r="U98" s="735"/>
      <c r="V98" s="735"/>
      <c r="W98" s="735"/>
      <c r="X98" s="735"/>
      <c r="Y98" s="735"/>
      <c r="Z98" s="735"/>
      <c r="AA98" s="735"/>
      <c r="AB98" s="735"/>
      <c r="AC98" s="735"/>
      <c r="AD98" s="735"/>
      <c r="AE98" s="735"/>
      <c r="AF98" s="735"/>
      <c r="AG98" s="711"/>
      <c r="AH98" s="711">
        <v>22</v>
      </c>
      <c r="AI98" s="735"/>
    </row>
    <row r="99" spans="1:35" x14ac:dyDescent="0.2">
      <c r="A99" s="853" t="s">
        <v>701</v>
      </c>
      <c r="B99" s="711"/>
      <c r="C99" s="735">
        <v>1037.71</v>
      </c>
      <c r="D99" s="735">
        <v>1965</v>
      </c>
      <c r="E99" s="735"/>
      <c r="F99" s="735"/>
      <c r="G99" s="735"/>
      <c r="H99" s="735"/>
      <c r="I99" s="735"/>
      <c r="J99" s="735"/>
      <c r="K99" s="735"/>
      <c r="L99" s="746">
        <v>1000</v>
      </c>
      <c r="M99" s="735"/>
      <c r="N99" s="735"/>
      <c r="O99" s="746">
        <f>SUM(C99+D99)*12+L99</f>
        <v>37032.520000000004</v>
      </c>
      <c r="P99" s="746">
        <f>+O99</f>
        <v>37032.520000000004</v>
      </c>
      <c r="Q99" s="421"/>
      <c r="R99" s="735">
        <v>1037.71</v>
      </c>
      <c r="S99" s="735">
        <v>1965</v>
      </c>
      <c r="T99" s="735"/>
      <c r="U99" s="735"/>
      <c r="V99" s="735"/>
      <c r="W99" s="735"/>
      <c r="X99" s="735"/>
      <c r="Y99" s="735"/>
      <c r="Z99" s="735"/>
      <c r="AA99" s="735">
        <v>1000</v>
      </c>
      <c r="AB99" s="735"/>
      <c r="AC99" s="735"/>
      <c r="AD99" s="746">
        <f>SUM(R99+S99)*12+AA99</f>
        <v>37032.520000000004</v>
      </c>
      <c r="AE99" s="746">
        <f>+AD99</f>
        <v>37032.520000000004</v>
      </c>
      <c r="AF99" s="735"/>
      <c r="AG99" s="711"/>
      <c r="AH99" s="711"/>
      <c r="AI99" s="746">
        <v>37032.520000000004</v>
      </c>
    </row>
    <row r="100" spans="1:35" x14ac:dyDescent="0.2">
      <c r="A100" s="854"/>
      <c r="B100" s="711"/>
      <c r="C100" s="735"/>
      <c r="D100" s="735"/>
      <c r="E100" s="735"/>
      <c r="F100" s="735"/>
      <c r="G100" s="735"/>
      <c r="H100" s="735"/>
      <c r="I100" s="735"/>
      <c r="J100" s="735"/>
      <c r="K100" s="735"/>
      <c r="L100" s="746"/>
      <c r="M100" s="735"/>
      <c r="N100" s="735"/>
      <c r="O100" s="746"/>
      <c r="P100" s="746"/>
      <c r="Q100" s="421"/>
      <c r="R100" s="735"/>
      <c r="S100" s="735"/>
      <c r="T100" s="735"/>
      <c r="U100" s="735"/>
      <c r="V100" s="735"/>
      <c r="W100" s="735"/>
      <c r="X100" s="735"/>
      <c r="Y100" s="735"/>
      <c r="Z100" s="735"/>
      <c r="AA100" s="735"/>
      <c r="AB100" s="735"/>
      <c r="AC100" s="735"/>
      <c r="AD100" s="746"/>
      <c r="AE100" s="746"/>
      <c r="AF100" s="735"/>
      <c r="AG100" s="711"/>
      <c r="AH100" s="711"/>
      <c r="AI100" s="746"/>
    </row>
    <row r="101" spans="1:35" x14ac:dyDescent="0.2">
      <c r="A101" s="853" t="s">
        <v>383</v>
      </c>
      <c r="B101" s="711"/>
      <c r="C101" s="735">
        <v>986.06</v>
      </c>
      <c r="D101" s="735">
        <v>1626</v>
      </c>
      <c r="E101" s="735"/>
      <c r="F101" s="735"/>
      <c r="G101" s="735"/>
      <c r="H101" s="735"/>
      <c r="I101" s="735"/>
      <c r="J101" s="735"/>
      <c r="K101" s="735"/>
      <c r="L101" s="746">
        <v>1000</v>
      </c>
      <c r="M101" s="735"/>
      <c r="N101" s="735"/>
      <c r="O101" s="746">
        <f t="shared" ref="O101:O105" si="71">SUM(C101+D101)*12+L101</f>
        <v>32344.720000000001</v>
      </c>
      <c r="P101" s="746">
        <f t="shared" ref="P101:P126" si="72">+O101</f>
        <v>32344.720000000001</v>
      </c>
      <c r="Q101" s="421"/>
      <c r="R101" s="735">
        <v>986.06</v>
      </c>
      <c r="S101" s="735">
        <v>1626</v>
      </c>
      <c r="T101" s="735"/>
      <c r="U101" s="735"/>
      <c r="V101" s="735"/>
      <c r="W101" s="735"/>
      <c r="X101" s="735"/>
      <c r="Y101" s="735"/>
      <c r="Z101" s="735"/>
      <c r="AA101" s="735">
        <v>1000</v>
      </c>
      <c r="AB101" s="735"/>
      <c r="AC101" s="735"/>
      <c r="AD101" s="746">
        <f t="shared" ref="AD101:AD105" si="73">SUM(R101+S101)*12+AA101</f>
        <v>32344.720000000001</v>
      </c>
      <c r="AE101" s="746">
        <f t="shared" ref="AE101:AE126" si="74">+AD101</f>
        <v>32344.720000000001</v>
      </c>
      <c r="AF101" s="735"/>
      <c r="AG101" s="711"/>
      <c r="AH101" s="711"/>
      <c r="AI101" s="746">
        <v>32344.720000000001</v>
      </c>
    </row>
    <row r="102" spans="1:35" x14ac:dyDescent="0.2">
      <c r="A102" s="853" t="s">
        <v>383</v>
      </c>
      <c r="B102" s="711"/>
      <c r="C102" s="735">
        <v>986.06</v>
      </c>
      <c r="D102" s="735">
        <v>1626</v>
      </c>
      <c r="E102" s="735"/>
      <c r="F102" s="735"/>
      <c r="G102" s="735"/>
      <c r="H102" s="735"/>
      <c r="I102" s="735"/>
      <c r="J102" s="735"/>
      <c r="K102" s="735"/>
      <c r="L102" s="746">
        <v>1000</v>
      </c>
      <c r="M102" s="735"/>
      <c r="N102" s="735"/>
      <c r="O102" s="746">
        <f t="shared" si="71"/>
        <v>32344.720000000001</v>
      </c>
      <c r="P102" s="746">
        <f t="shared" si="72"/>
        <v>32344.720000000001</v>
      </c>
      <c r="Q102" s="421"/>
      <c r="R102" s="735">
        <v>986.06</v>
      </c>
      <c r="S102" s="735">
        <v>1626</v>
      </c>
      <c r="T102" s="735"/>
      <c r="U102" s="735"/>
      <c r="V102" s="735"/>
      <c r="W102" s="735"/>
      <c r="X102" s="735"/>
      <c r="Y102" s="735"/>
      <c r="Z102" s="735"/>
      <c r="AA102" s="735">
        <v>1000</v>
      </c>
      <c r="AB102" s="735"/>
      <c r="AC102" s="735"/>
      <c r="AD102" s="746">
        <f t="shared" si="73"/>
        <v>32344.720000000001</v>
      </c>
      <c r="AE102" s="746">
        <f t="shared" si="74"/>
        <v>32344.720000000001</v>
      </c>
      <c r="AF102" s="735"/>
      <c r="AG102" s="711"/>
      <c r="AH102" s="711"/>
      <c r="AI102" s="746">
        <v>32344.720000000001</v>
      </c>
    </row>
    <row r="103" spans="1:35" x14ac:dyDescent="0.2">
      <c r="A103" s="853" t="s">
        <v>383</v>
      </c>
      <c r="B103" s="711"/>
      <c r="C103" s="735">
        <v>986.06</v>
      </c>
      <c r="D103" s="735">
        <v>1626</v>
      </c>
      <c r="E103" s="735"/>
      <c r="F103" s="735"/>
      <c r="G103" s="735"/>
      <c r="H103" s="735"/>
      <c r="I103" s="735"/>
      <c r="J103" s="735"/>
      <c r="K103" s="735"/>
      <c r="L103" s="746">
        <v>1000</v>
      </c>
      <c r="M103" s="735"/>
      <c r="N103" s="735"/>
      <c r="O103" s="746">
        <f t="shared" si="71"/>
        <v>32344.720000000001</v>
      </c>
      <c r="P103" s="746">
        <f t="shared" si="72"/>
        <v>32344.720000000001</v>
      </c>
      <c r="Q103" s="421"/>
      <c r="R103" s="735">
        <v>986.06</v>
      </c>
      <c r="S103" s="735">
        <v>1626</v>
      </c>
      <c r="T103" s="735"/>
      <c r="U103" s="735"/>
      <c r="V103" s="735"/>
      <c r="W103" s="735"/>
      <c r="X103" s="735"/>
      <c r="Y103" s="735"/>
      <c r="Z103" s="735"/>
      <c r="AA103" s="735">
        <v>1000</v>
      </c>
      <c r="AB103" s="735"/>
      <c r="AC103" s="735"/>
      <c r="AD103" s="746">
        <f t="shared" si="73"/>
        <v>32344.720000000001</v>
      </c>
      <c r="AE103" s="746">
        <f t="shared" si="74"/>
        <v>32344.720000000001</v>
      </c>
      <c r="AF103" s="735"/>
      <c r="AG103" s="711"/>
      <c r="AH103" s="711"/>
      <c r="AI103" s="746">
        <v>32344.720000000001</v>
      </c>
    </row>
    <row r="104" spans="1:35" x14ac:dyDescent="0.2">
      <c r="A104" s="853" t="s">
        <v>383</v>
      </c>
      <c r="B104" s="711"/>
      <c r="C104" s="735">
        <v>986.06</v>
      </c>
      <c r="D104" s="735">
        <v>1626</v>
      </c>
      <c r="E104" s="735"/>
      <c r="F104" s="735"/>
      <c r="G104" s="735"/>
      <c r="H104" s="735"/>
      <c r="I104" s="735"/>
      <c r="J104" s="735"/>
      <c r="K104" s="735"/>
      <c r="L104" s="746">
        <v>1000</v>
      </c>
      <c r="M104" s="735"/>
      <c r="N104" s="735"/>
      <c r="O104" s="746">
        <f t="shared" si="71"/>
        <v>32344.720000000001</v>
      </c>
      <c r="P104" s="746">
        <f t="shared" si="72"/>
        <v>32344.720000000001</v>
      </c>
      <c r="Q104" s="421"/>
      <c r="R104" s="735">
        <v>986.06</v>
      </c>
      <c r="S104" s="735">
        <v>1626</v>
      </c>
      <c r="T104" s="735"/>
      <c r="U104" s="735"/>
      <c r="V104" s="735"/>
      <c r="W104" s="735"/>
      <c r="X104" s="735"/>
      <c r="Y104" s="735"/>
      <c r="Z104" s="735"/>
      <c r="AA104" s="735">
        <v>1000</v>
      </c>
      <c r="AB104" s="735"/>
      <c r="AC104" s="735"/>
      <c r="AD104" s="746">
        <f t="shared" si="73"/>
        <v>32344.720000000001</v>
      </c>
      <c r="AE104" s="746">
        <f t="shared" si="74"/>
        <v>32344.720000000001</v>
      </c>
      <c r="AF104" s="735"/>
      <c r="AG104" s="711"/>
      <c r="AH104" s="711"/>
      <c r="AI104" s="746">
        <v>32344.720000000001</v>
      </c>
    </row>
    <row r="105" spans="1:35" x14ac:dyDescent="0.2">
      <c r="A105" s="853" t="s">
        <v>383</v>
      </c>
      <c r="B105" s="711"/>
      <c r="C105" s="735">
        <v>986.06</v>
      </c>
      <c r="D105" s="735">
        <v>1626</v>
      </c>
      <c r="E105" s="735"/>
      <c r="F105" s="735"/>
      <c r="G105" s="735"/>
      <c r="H105" s="735"/>
      <c r="I105" s="735"/>
      <c r="J105" s="735"/>
      <c r="K105" s="735"/>
      <c r="L105" s="746">
        <v>1000</v>
      </c>
      <c r="M105" s="735"/>
      <c r="N105" s="735"/>
      <c r="O105" s="746">
        <f t="shared" si="71"/>
        <v>32344.720000000001</v>
      </c>
      <c r="P105" s="746">
        <f t="shared" si="72"/>
        <v>32344.720000000001</v>
      </c>
      <c r="Q105" s="421"/>
      <c r="R105" s="735">
        <v>986.06</v>
      </c>
      <c r="S105" s="735">
        <v>1626</v>
      </c>
      <c r="T105" s="735"/>
      <c r="U105" s="735"/>
      <c r="V105" s="735"/>
      <c r="W105" s="735"/>
      <c r="X105" s="735"/>
      <c r="Y105" s="735"/>
      <c r="Z105" s="735"/>
      <c r="AA105" s="735">
        <v>1000</v>
      </c>
      <c r="AB105" s="735"/>
      <c r="AC105" s="735"/>
      <c r="AD105" s="746">
        <f t="shared" si="73"/>
        <v>32344.720000000001</v>
      </c>
      <c r="AE105" s="746">
        <f t="shared" si="74"/>
        <v>32344.720000000001</v>
      </c>
      <c r="AF105" s="735"/>
      <c r="AG105" s="711"/>
      <c r="AH105" s="711"/>
      <c r="AI105" s="746">
        <v>32344.720000000001</v>
      </c>
    </row>
    <row r="106" spans="1:35" x14ac:dyDescent="0.2">
      <c r="A106" s="854"/>
      <c r="B106" s="711"/>
      <c r="C106" s="735"/>
      <c r="D106" s="735"/>
      <c r="E106" s="735"/>
      <c r="F106" s="735"/>
      <c r="G106" s="735"/>
      <c r="H106" s="735"/>
      <c r="I106" s="735"/>
      <c r="J106" s="735"/>
      <c r="K106" s="735"/>
      <c r="L106" s="746"/>
      <c r="M106" s="735"/>
      <c r="N106" s="735"/>
      <c r="O106" s="735"/>
      <c r="P106" s="735"/>
      <c r="Q106" s="421"/>
      <c r="R106" s="735"/>
      <c r="S106" s="735"/>
      <c r="T106" s="735"/>
      <c r="U106" s="735"/>
      <c r="V106" s="735"/>
      <c r="W106" s="735"/>
      <c r="X106" s="735"/>
      <c r="Y106" s="735"/>
      <c r="Z106" s="735"/>
      <c r="AA106" s="735"/>
      <c r="AB106" s="735"/>
      <c r="AC106" s="735"/>
      <c r="AD106" s="735"/>
      <c r="AE106" s="735"/>
      <c r="AF106" s="735"/>
      <c r="AG106" s="711"/>
      <c r="AH106" s="711"/>
      <c r="AI106" s="735"/>
    </row>
    <row r="107" spans="1:35" x14ac:dyDescent="0.2">
      <c r="A107" s="853" t="s">
        <v>384</v>
      </c>
      <c r="B107" s="711"/>
      <c r="C107" s="735">
        <v>931.18</v>
      </c>
      <c r="D107" s="735">
        <v>1466</v>
      </c>
      <c r="E107" s="735"/>
      <c r="F107" s="735"/>
      <c r="G107" s="735"/>
      <c r="H107" s="735"/>
      <c r="I107" s="735"/>
      <c r="J107" s="735"/>
      <c r="K107" s="735"/>
      <c r="L107" s="746">
        <v>1000</v>
      </c>
      <c r="M107" s="735"/>
      <c r="N107" s="735"/>
      <c r="O107" s="746">
        <f t="shared" ref="O107:O109" si="75">SUM(C107+D107)*12+L107</f>
        <v>29766.159999999996</v>
      </c>
      <c r="P107" s="746">
        <f t="shared" si="72"/>
        <v>29766.159999999996</v>
      </c>
      <c r="Q107" s="421"/>
      <c r="R107" s="735">
        <v>931.18</v>
      </c>
      <c r="S107" s="735">
        <v>1466</v>
      </c>
      <c r="T107" s="735"/>
      <c r="U107" s="735"/>
      <c r="V107" s="735"/>
      <c r="W107" s="735"/>
      <c r="X107" s="735"/>
      <c r="Y107" s="735"/>
      <c r="Z107" s="735"/>
      <c r="AA107" s="735">
        <v>1000</v>
      </c>
      <c r="AB107" s="735"/>
      <c r="AC107" s="735"/>
      <c r="AD107" s="746">
        <f t="shared" ref="AD107:AD109" si="76">SUM(R107+S107)*12+AA107</f>
        <v>29766.159999999996</v>
      </c>
      <c r="AE107" s="746">
        <f t="shared" si="74"/>
        <v>29766.159999999996</v>
      </c>
      <c r="AF107" s="735"/>
      <c r="AG107" s="711"/>
      <c r="AH107" s="711"/>
      <c r="AI107" s="746">
        <v>29766.159999999996</v>
      </c>
    </row>
    <row r="108" spans="1:35" x14ac:dyDescent="0.2">
      <c r="A108" s="853" t="s">
        <v>384</v>
      </c>
      <c r="B108" s="711"/>
      <c r="C108" s="735">
        <v>891.29</v>
      </c>
      <c r="D108" s="735">
        <v>1466</v>
      </c>
      <c r="E108" s="735"/>
      <c r="F108" s="735"/>
      <c r="G108" s="735"/>
      <c r="H108" s="735"/>
      <c r="I108" s="735"/>
      <c r="J108" s="735"/>
      <c r="K108" s="735"/>
      <c r="L108" s="746">
        <v>1000</v>
      </c>
      <c r="M108" s="735"/>
      <c r="N108" s="735"/>
      <c r="O108" s="746">
        <f t="shared" si="75"/>
        <v>29287.48</v>
      </c>
      <c r="P108" s="746">
        <f t="shared" si="72"/>
        <v>29287.48</v>
      </c>
      <c r="Q108" s="421"/>
      <c r="R108" s="735">
        <v>891.29</v>
      </c>
      <c r="S108" s="735">
        <v>1466</v>
      </c>
      <c r="T108" s="735"/>
      <c r="U108" s="735"/>
      <c r="V108" s="735"/>
      <c r="W108" s="735"/>
      <c r="X108" s="735"/>
      <c r="Y108" s="735"/>
      <c r="Z108" s="735"/>
      <c r="AA108" s="735">
        <v>1000</v>
      </c>
      <c r="AB108" s="735"/>
      <c r="AC108" s="735"/>
      <c r="AD108" s="746">
        <f t="shared" si="76"/>
        <v>29287.48</v>
      </c>
      <c r="AE108" s="746">
        <f t="shared" si="74"/>
        <v>29287.48</v>
      </c>
      <c r="AF108" s="735"/>
      <c r="AG108" s="711"/>
      <c r="AH108" s="711"/>
      <c r="AI108" s="746">
        <v>29287.48</v>
      </c>
    </row>
    <row r="109" spans="1:35" x14ac:dyDescent="0.2">
      <c r="A109" s="853" t="s">
        <v>384</v>
      </c>
      <c r="B109" s="711"/>
      <c r="C109" s="735">
        <v>827.75</v>
      </c>
      <c r="D109" s="735">
        <v>1466</v>
      </c>
      <c r="E109" s="735"/>
      <c r="F109" s="735"/>
      <c r="G109" s="735"/>
      <c r="H109" s="735"/>
      <c r="I109" s="735"/>
      <c r="J109" s="735"/>
      <c r="K109" s="735"/>
      <c r="L109" s="746">
        <v>1000</v>
      </c>
      <c r="M109" s="735"/>
      <c r="N109" s="735"/>
      <c r="O109" s="746">
        <f t="shared" si="75"/>
        <v>28525</v>
      </c>
      <c r="P109" s="746">
        <f t="shared" si="72"/>
        <v>28525</v>
      </c>
      <c r="Q109" s="421"/>
      <c r="R109" s="735">
        <v>827.75</v>
      </c>
      <c r="S109" s="735">
        <v>1466</v>
      </c>
      <c r="T109" s="735"/>
      <c r="U109" s="735"/>
      <c r="V109" s="735"/>
      <c r="W109" s="735"/>
      <c r="X109" s="735"/>
      <c r="Y109" s="735"/>
      <c r="Z109" s="735"/>
      <c r="AA109" s="735">
        <v>1000</v>
      </c>
      <c r="AB109" s="735"/>
      <c r="AC109" s="735"/>
      <c r="AD109" s="746">
        <f t="shared" si="76"/>
        <v>28525</v>
      </c>
      <c r="AE109" s="746">
        <f t="shared" si="74"/>
        <v>28525</v>
      </c>
      <c r="AF109" s="735"/>
      <c r="AG109" s="711"/>
      <c r="AH109" s="711"/>
      <c r="AI109" s="746">
        <v>28525</v>
      </c>
    </row>
    <row r="110" spans="1:35" x14ac:dyDescent="0.2">
      <c r="A110" s="854"/>
      <c r="B110" s="711"/>
      <c r="C110" s="735"/>
      <c r="D110" s="735"/>
      <c r="E110" s="735"/>
      <c r="F110" s="735"/>
      <c r="G110" s="735"/>
      <c r="H110" s="735"/>
      <c r="I110" s="735"/>
      <c r="J110" s="735"/>
      <c r="K110" s="735"/>
      <c r="L110" s="746"/>
      <c r="M110" s="735"/>
      <c r="N110" s="735"/>
      <c r="O110" s="735"/>
      <c r="P110" s="735"/>
      <c r="Q110" s="421"/>
      <c r="R110" s="735"/>
      <c r="S110" s="735"/>
      <c r="T110" s="735"/>
      <c r="U110" s="735"/>
      <c r="V110" s="735"/>
      <c r="W110" s="735"/>
      <c r="X110" s="735"/>
      <c r="Y110" s="735"/>
      <c r="Z110" s="735"/>
      <c r="AA110" s="735"/>
      <c r="AB110" s="735"/>
      <c r="AC110" s="735"/>
      <c r="AD110" s="735"/>
      <c r="AE110" s="735"/>
      <c r="AF110" s="735"/>
      <c r="AG110" s="711"/>
      <c r="AH110" s="711"/>
      <c r="AI110" s="735"/>
    </row>
    <row r="111" spans="1:35" x14ac:dyDescent="0.2">
      <c r="A111" s="853" t="s">
        <v>386</v>
      </c>
      <c r="B111" s="711"/>
      <c r="C111" s="735">
        <v>698.59</v>
      </c>
      <c r="D111" s="735">
        <v>1236</v>
      </c>
      <c r="E111" s="735"/>
      <c r="F111" s="735"/>
      <c r="G111" s="735"/>
      <c r="H111" s="735"/>
      <c r="I111" s="735"/>
      <c r="J111" s="735"/>
      <c r="K111" s="735"/>
      <c r="L111" s="746">
        <v>1000</v>
      </c>
      <c r="M111" s="735"/>
      <c r="N111" s="735"/>
      <c r="O111" s="746">
        <f t="shared" ref="O111:O115" si="77">SUM(C111+D111)*12+L111</f>
        <v>24215.08</v>
      </c>
      <c r="P111" s="746">
        <f t="shared" si="72"/>
        <v>24215.08</v>
      </c>
      <c r="Q111" s="421"/>
      <c r="R111" s="735">
        <v>698.59</v>
      </c>
      <c r="S111" s="735">
        <v>1236</v>
      </c>
      <c r="T111" s="735"/>
      <c r="U111" s="735"/>
      <c r="V111" s="735"/>
      <c r="W111" s="735"/>
      <c r="X111" s="735"/>
      <c r="Y111" s="735"/>
      <c r="Z111" s="735"/>
      <c r="AA111" s="735">
        <v>1000</v>
      </c>
      <c r="AB111" s="735"/>
      <c r="AC111" s="735"/>
      <c r="AD111" s="746">
        <f t="shared" ref="AD111:AD115" si="78">SUM(R111+S111)*12+AA111</f>
        <v>24215.08</v>
      </c>
      <c r="AE111" s="746">
        <f t="shared" si="74"/>
        <v>24215.08</v>
      </c>
      <c r="AF111" s="735"/>
      <c r="AG111" s="711"/>
      <c r="AH111" s="711"/>
      <c r="AI111" s="746">
        <v>24215.08</v>
      </c>
    </row>
    <row r="112" spans="1:35" x14ac:dyDescent="0.2">
      <c r="A112" s="853" t="s">
        <v>386</v>
      </c>
      <c r="B112" s="711"/>
      <c r="C112" s="735">
        <v>827.75</v>
      </c>
      <c r="D112" s="735">
        <v>1236</v>
      </c>
      <c r="E112" s="735"/>
      <c r="F112" s="735"/>
      <c r="G112" s="735"/>
      <c r="H112" s="735"/>
      <c r="I112" s="735"/>
      <c r="J112" s="735"/>
      <c r="K112" s="735"/>
      <c r="L112" s="746">
        <v>1000</v>
      </c>
      <c r="M112" s="735"/>
      <c r="N112" s="735"/>
      <c r="O112" s="746">
        <f t="shared" si="77"/>
        <v>25765</v>
      </c>
      <c r="P112" s="746">
        <f t="shared" si="72"/>
        <v>25765</v>
      </c>
      <c r="Q112" s="421"/>
      <c r="R112" s="735">
        <v>827.75</v>
      </c>
      <c r="S112" s="735">
        <v>1236</v>
      </c>
      <c r="T112" s="735"/>
      <c r="U112" s="735"/>
      <c r="V112" s="735"/>
      <c r="W112" s="735"/>
      <c r="X112" s="735"/>
      <c r="Y112" s="735"/>
      <c r="Z112" s="735"/>
      <c r="AA112" s="735">
        <v>1000</v>
      </c>
      <c r="AB112" s="735"/>
      <c r="AC112" s="735"/>
      <c r="AD112" s="746">
        <f t="shared" si="78"/>
        <v>25765</v>
      </c>
      <c r="AE112" s="746">
        <f t="shared" si="74"/>
        <v>25765</v>
      </c>
      <c r="AF112" s="735"/>
      <c r="AG112" s="711"/>
      <c r="AH112" s="711"/>
      <c r="AI112" s="746">
        <v>25765</v>
      </c>
    </row>
    <row r="113" spans="1:35" x14ac:dyDescent="0.2">
      <c r="A113" s="853" t="s">
        <v>386</v>
      </c>
      <c r="B113" s="711"/>
      <c r="C113" s="735">
        <v>807.44</v>
      </c>
      <c r="D113" s="735">
        <v>1236</v>
      </c>
      <c r="E113" s="735"/>
      <c r="F113" s="735"/>
      <c r="G113" s="735"/>
      <c r="H113" s="735"/>
      <c r="I113" s="735"/>
      <c r="J113" s="735"/>
      <c r="K113" s="735"/>
      <c r="L113" s="746">
        <v>1000</v>
      </c>
      <c r="M113" s="735"/>
      <c r="N113" s="735"/>
      <c r="O113" s="746">
        <f t="shared" si="77"/>
        <v>25521.279999999999</v>
      </c>
      <c r="P113" s="746">
        <f t="shared" si="72"/>
        <v>25521.279999999999</v>
      </c>
      <c r="Q113" s="421"/>
      <c r="R113" s="735">
        <v>807.44</v>
      </c>
      <c r="S113" s="735">
        <v>1236</v>
      </c>
      <c r="T113" s="735"/>
      <c r="U113" s="735"/>
      <c r="V113" s="735"/>
      <c r="W113" s="735"/>
      <c r="X113" s="735"/>
      <c r="Y113" s="735"/>
      <c r="Z113" s="735"/>
      <c r="AA113" s="735">
        <v>1000</v>
      </c>
      <c r="AB113" s="735"/>
      <c r="AC113" s="735"/>
      <c r="AD113" s="746">
        <f t="shared" si="78"/>
        <v>25521.279999999999</v>
      </c>
      <c r="AE113" s="746">
        <f t="shared" si="74"/>
        <v>25521.279999999999</v>
      </c>
      <c r="AF113" s="735"/>
      <c r="AG113" s="711"/>
      <c r="AH113" s="711"/>
      <c r="AI113" s="746">
        <v>25521.279999999999</v>
      </c>
    </row>
    <row r="114" spans="1:35" x14ac:dyDescent="0.2">
      <c r="A114" s="853" t="s">
        <v>386</v>
      </c>
      <c r="B114" s="711"/>
      <c r="C114" s="735">
        <v>714.01</v>
      </c>
      <c r="D114" s="735">
        <v>1187</v>
      </c>
      <c r="E114" s="735"/>
      <c r="F114" s="735"/>
      <c r="G114" s="735"/>
      <c r="H114" s="735"/>
      <c r="I114" s="735"/>
      <c r="J114" s="735"/>
      <c r="K114" s="735"/>
      <c r="L114" s="746">
        <v>1000</v>
      </c>
      <c r="M114" s="735"/>
      <c r="N114" s="735"/>
      <c r="O114" s="746">
        <f t="shared" si="77"/>
        <v>23812.12</v>
      </c>
      <c r="P114" s="746">
        <f t="shared" si="72"/>
        <v>23812.12</v>
      </c>
      <c r="Q114" s="421"/>
      <c r="R114" s="735">
        <v>714.01</v>
      </c>
      <c r="S114" s="735">
        <v>1187</v>
      </c>
      <c r="T114" s="735"/>
      <c r="U114" s="735"/>
      <c r="V114" s="735"/>
      <c r="W114" s="735"/>
      <c r="X114" s="735"/>
      <c r="Y114" s="735"/>
      <c r="Z114" s="735"/>
      <c r="AA114" s="735">
        <v>1000</v>
      </c>
      <c r="AB114" s="735"/>
      <c r="AC114" s="735"/>
      <c r="AD114" s="746">
        <f t="shared" si="78"/>
        <v>23812.12</v>
      </c>
      <c r="AE114" s="746">
        <f t="shared" si="74"/>
        <v>23812.12</v>
      </c>
      <c r="AF114" s="735"/>
      <c r="AG114" s="711"/>
      <c r="AH114" s="711"/>
      <c r="AI114" s="746">
        <v>23812.12</v>
      </c>
    </row>
    <row r="115" spans="1:35" x14ac:dyDescent="0.2">
      <c r="A115" s="853" t="s">
        <v>386</v>
      </c>
      <c r="B115" s="711"/>
      <c r="C115" s="735">
        <v>714.01</v>
      </c>
      <c r="D115" s="735">
        <v>1166</v>
      </c>
      <c r="E115" s="735"/>
      <c r="F115" s="735"/>
      <c r="G115" s="735"/>
      <c r="H115" s="735"/>
      <c r="I115" s="735"/>
      <c r="J115" s="735"/>
      <c r="K115" s="735"/>
      <c r="L115" s="746">
        <v>1000</v>
      </c>
      <c r="M115" s="735"/>
      <c r="N115" s="735"/>
      <c r="O115" s="746">
        <f t="shared" si="77"/>
        <v>23560.12</v>
      </c>
      <c r="P115" s="746">
        <f t="shared" si="72"/>
        <v>23560.12</v>
      </c>
      <c r="Q115" s="421"/>
      <c r="R115" s="735">
        <v>714.01</v>
      </c>
      <c r="S115" s="735">
        <v>1166</v>
      </c>
      <c r="T115" s="735"/>
      <c r="U115" s="735"/>
      <c r="V115" s="735"/>
      <c r="W115" s="735"/>
      <c r="X115" s="735"/>
      <c r="Y115" s="735"/>
      <c r="Z115" s="735"/>
      <c r="AA115" s="735">
        <v>1000</v>
      </c>
      <c r="AB115" s="735"/>
      <c r="AC115" s="735"/>
      <c r="AD115" s="746">
        <f t="shared" si="78"/>
        <v>23560.12</v>
      </c>
      <c r="AE115" s="746">
        <f t="shared" si="74"/>
        <v>23560.12</v>
      </c>
      <c r="AF115" s="735"/>
      <c r="AG115" s="711"/>
      <c r="AH115" s="711"/>
      <c r="AI115" s="746">
        <v>23560.12</v>
      </c>
    </row>
    <row r="116" spans="1:35" x14ac:dyDescent="0.2">
      <c r="A116" s="854"/>
      <c r="B116" s="711"/>
      <c r="C116" s="735"/>
      <c r="D116" s="735"/>
      <c r="E116" s="735"/>
      <c r="F116" s="735"/>
      <c r="G116" s="735"/>
      <c r="H116" s="735"/>
      <c r="I116" s="735"/>
      <c r="J116" s="735"/>
      <c r="K116" s="735"/>
      <c r="L116" s="746"/>
      <c r="M116" s="735"/>
      <c r="N116" s="735"/>
      <c r="O116" s="735"/>
      <c r="P116" s="735"/>
      <c r="Q116" s="421"/>
      <c r="R116" s="735"/>
      <c r="S116" s="735"/>
      <c r="T116" s="735"/>
      <c r="U116" s="735"/>
      <c r="V116" s="735"/>
      <c r="W116" s="735"/>
      <c r="X116" s="735"/>
      <c r="Y116" s="735"/>
      <c r="Z116" s="735"/>
      <c r="AA116" s="735"/>
      <c r="AB116" s="735"/>
      <c r="AC116" s="735"/>
      <c r="AD116" s="735"/>
      <c r="AE116" s="735"/>
      <c r="AF116" s="735"/>
      <c r="AG116" s="711"/>
      <c r="AH116" s="711"/>
      <c r="AI116" s="735"/>
    </row>
    <row r="117" spans="1:35" x14ac:dyDescent="0.2">
      <c r="A117" s="853" t="s">
        <v>390</v>
      </c>
      <c r="B117" s="711"/>
      <c r="C117" s="735">
        <v>574.92999999999995</v>
      </c>
      <c r="D117" s="735">
        <v>1007</v>
      </c>
      <c r="E117" s="735"/>
      <c r="F117" s="735"/>
      <c r="G117" s="735"/>
      <c r="H117" s="735"/>
      <c r="I117" s="735"/>
      <c r="J117" s="735"/>
      <c r="K117" s="735"/>
      <c r="L117" s="746">
        <v>1000</v>
      </c>
      <c r="M117" s="735"/>
      <c r="N117" s="735"/>
      <c r="O117" s="746">
        <f t="shared" ref="O117:O120" si="79">SUM(C117+D117)*12+L117</f>
        <v>19983.159999999996</v>
      </c>
      <c r="P117" s="746">
        <f t="shared" si="72"/>
        <v>19983.159999999996</v>
      </c>
      <c r="Q117" s="421"/>
      <c r="R117" s="735">
        <v>574.92999999999995</v>
      </c>
      <c r="S117" s="735">
        <v>1007</v>
      </c>
      <c r="T117" s="735"/>
      <c r="U117" s="735"/>
      <c r="V117" s="735"/>
      <c r="W117" s="735"/>
      <c r="X117" s="735"/>
      <c r="Y117" s="735"/>
      <c r="Z117" s="735"/>
      <c r="AA117" s="735">
        <v>1000</v>
      </c>
      <c r="AB117" s="735"/>
      <c r="AC117" s="735"/>
      <c r="AD117" s="746">
        <f t="shared" ref="AD117:AD120" si="80">SUM(R117+S117)*12+AA117</f>
        <v>19983.159999999996</v>
      </c>
      <c r="AE117" s="746">
        <f t="shared" si="74"/>
        <v>19983.159999999996</v>
      </c>
      <c r="AF117" s="735"/>
      <c r="AG117" s="711"/>
      <c r="AH117" s="711"/>
      <c r="AI117" s="746">
        <v>19983.159999999996</v>
      </c>
    </row>
    <row r="118" spans="1:35" x14ac:dyDescent="0.2">
      <c r="A118" s="853" t="s">
        <v>390</v>
      </c>
      <c r="B118" s="711"/>
      <c r="C118" s="735">
        <v>635.44000000000005</v>
      </c>
      <c r="D118" s="735">
        <v>1076</v>
      </c>
      <c r="E118" s="735"/>
      <c r="F118" s="735"/>
      <c r="G118" s="735"/>
      <c r="H118" s="735"/>
      <c r="I118" s="735"/>
      <c r="J118" s="735"/>
      <c r="K118" s="735"/>
      <c r="L118" s="746">
        <v>1000</v>
      </c>
      <c r="M118" s="735"/>
      <c r="N118" s="735"/>
      <c r="O118" s="746">
        <f t="shared" si="79"/>
        <v>21537.279999999999</v>
      </c>
      <c r="P118" s="746">
        <f t="shared" si="72"/>
        <v>21537.279999999999</v>
      </c>
      <c r="Q118" s="421"/>
      <c r="R118" s="735">
        <v>635.44000000000005</v>
      </c>
      <c r="S118" s="735">
        <v>1076</v>
      </c>
      <c r="T118" s="735"/>
      <c r="U118" s="735"/>
      <c r="V118" s="735"/>
      <c r="W118" s="735"/>
      <c r="X118" s="735"/>
      <c r="Y118" s="735"/>
      <c r="Z118" s="735"/>
      <c r="AA118" s="735">
        <v>1000</v>
      </c>
      <c r="AB118" s="735"/>
      <c r="AC118" s="735"/>
      <c r="AD118" s="746">
        <f t="shared" si="80"/>
        <v>21537.279999999999</v>
      </c>
      <c r="AE118" s="746">
        <f t="shared" si="74"/>
        <v>21537.279999999999</v>
      </c>
      <c r="AF118" s="735"/>
      <c r="AG118" s="711"/>
      <c r="AH118" s="711"/>
      <c r="AI118" s="746">
        <v>21537.279999999999</v>
      </c>
    </row>
    <row r="119" spans="1:35" x14ac:dyDescent="0.2">
      <c r="A119" s="853" t="s">
        <v>390</v>
      </c>
      <c r="B119" s="711"/>
      <c r="C119" s="735">
        <v>620.54</v>
      </c>
      <c r="D119" s="735">
        <v>1076</v>
      </c>
      <c r="E119" s="735"/>
      <c r="F119" s="735"/>
      <c r="G119" s="735"/>
      <c r="H119" s="735"/>
      <c r="I119" s="735"/>
      <c r="J119" s="735"/>
      <c r="K119" s="735"/>
      <c r="L119" s="746">
        <v>1000</v>
      </c>
      <c r="M119" s="735"/>
      <c r="N119" s="735"/>
      <c r="O119" s="746">
        <f t="shared" si="79"/>
        <v>21358.48</v>
      </c>
      <c r="P119" s="746">
        <f t="shared" si="72"/>
        <v>21358.48</v>
      </c>
      <c r="Q119" s="421"/>
      <c r="R119" s="735">
        <v>620.54</v>
      </c>
      <c r="S119" s="735">
        <v>1076</v>
      </c>
      <c r="T119" s="735"/>
      <c r="U119" s="735"/>
      <c r="V119" s="735"/>
      <c r="W119" s="735"/>
      <c r="X119" s="735"/>
      <c r="Y119" s="735"/>
      <c r="Z119" s="735"/>
      <c r="AA119" s="735">
        <v>1000</v>
      </c>
      <c r="AB119" s="735"/>
      <c r="AC119" s="735"/>
      <c r="AD119" s="746">
        <f t="shared" si="80"/>
        <v>21358.48</v>
      </c>
      <c r="AE119" s="746">
        <f t="shared" si="74"/>
        <v>21358.48</v>
      </c>
      <c r="AF119" s="735"/>
      <c r="AG119" s="711"/>
      <c r="AH119" s="711"/>
      <c r="AI119" s="746">
        <v>21358.48</v>
      </c>
    </row>
    <row r="120" spans="1:35" x14ac:dyDescent="0.2">
      <c r="A120" s="853" t="s">
        <v>390</v>
      </c>
      <c r="B120" s="711"/>
      <c r="C120" s="735">
        <v>574.92999999999995</v>
      </c>
      <c r="D120" s="735">
        <v>987</v>
      </c>
      <c r="E120" s="735"/>
      <c r="F120" s="735"/>
      <c r="G120" s="735"/>
      <c r="H120" s="735"/>
      <c r="I120" s="735"/>
      <c r="J120" s="735"/>
      <c r="K120" s="735"/>
      <c r="L120" s="746">
        <v>1000</v>
      </c>
      <c r="M120" s="735"/>
      <c r="N120" s="735"/>
      <c r="O120" s="746">
        <f t="shared" si="79"/>
        <v>19743.159999999996</v>
      </c>
      <c r="P120" s="746">
        <f t="shared" si="72"/>
        <v>19743.159999999996</v>
      </c>
      <c r="Q120" s="421"/>
      <c r="R120" s="735">
        <v>574.92999999999995</v>
      </c>
      <c r="S120" s="735">
        <v>987</v>
      </c>
      <c r="T120" s="735"/>
      <c r="U120" s="735"/>
      <c r="V120" s="735"/>
      <c r="W120" s="735"/>
      <c r="X120" s="735"/>
      <c r="Y120" s="735"/>
      <c r="Z120" s="735"/>
      <c r="AA120" s="735">
        <v>1000</v>
      </c>
      <c r="AB120" s="735"/>
      <c r="AC120" s="735"/>
      <c r="AD120" s="746">
        <f t="shared" si="80"/>
        <v>19743.159999999996</v>
      </c>
      <c r="AE120" s="746">
        <f t="shared" si="74"/>
        <v>19743.159999999996</v>
      </c>
      <c r="AF120" s="735"/>
      <c r="AG120" s="711"/>
      <c r="AH120" s="711"/>
      <c r="AI120" s="746">
        <v>19743.159999999996</v>
      </c>
    </row>
    <row r="121" spans="1:35" x14ac:dyDescent="0.2">
      <c r="A121" s="854"/>
      <c r="B121" s="711"/>
      <c r="C121" s="735"/>
      <c r="D121" s="735"/>
      <c r="E121" s="735"/>
      <c r="F121" s="735"/>
      <c r="G121" s="735"/>
      <c r="H121" s="735"/>
      <c r="I121" s="735"/>
      <c r="J121" s="735"/>
      <c r="K121" s="735"/>
      <c r="L121" s="746"/>
      <c r="M121" s="735"/>
      <c r="N121" s="735"/>
      <c r="O121" s="735"/>
      <c r="P121" s="735"/>
      <c r="Q121" s="421"/>
      <c r="R121" s="735"/>
      <c r="S121" s="735"/>
      <c r="T121" s="735"/>
      <c r="U121" s="735"/>
      <c r="V121" s="735"/>
      <c r="W121" s="735"/>
      <c r="X121" s="735"/>
      <c r="Y121" s="735"/>
      <c r="Z121" s="735"/>
      <c r="AA121" s="735"/>
      <c r="AB121" s="735"/>
      <c r="AC121" s="735"/>
      <c r="AD121" s="735"/>
      <c r="AE121" s="735"/>
      <c r="AF121" s="735"/>
      <c r="AG121" s="711"/>
      <c r="AH121" s="711"/>
      <c r="AI121" s="735"/>
    </row>
    <row r="122" spans="1:35" x14ac:dyDescent="0.2">
      <c r="A122" s="853" t="s">
        <v>391</v>
      </c>
      <c r="B122" s="711"/>
      <c r="C122" s="735">
        <v>827.75</v>
      </c>
      <c r="D122" s="735">
        <v>1076</v>
      </c>
      <c r="E122" s="735"/>
      <c r="F122" s="735"/>
      <c r="G122" s="735"/>
      <c r="H122" s="735"/>
      <c r="I122" s="735"/>
      <c r="J122" s="735"/>
      <c r="K122" s="735"/>
      <c r="L122" s="746">
        <v>1000</v>
      </c>
      <c r="M122" s="735"/>
      <c r="N122" s="735"/>
      <c r="O122" s="746">
        <f t="shared" ref="O122:O124" si="81">SUM(C122+D122)*12+L122</f>
        <v>23845</v>
      </c>
      <c r="P122" s="746">
        <f t="shared" si="72"/>
        <v>23845</v>
      </c>
      <c r="Q122" s="421"/>
      <c r="R122" s="735">
        <v>827.75</v>
      </c>
      <c r="S122" s="735">
        <v>1076</v>
      </c>
      <c r="T122" s="735"/>
      <c r="U122" s="735"/>
      <c r="V122" s="735"/>
      <c r="W122" s="735"/>
      <c r="X122" s="735"/>
      <c r="Y122" s="735"/>
      <c r="Z122" s="735"/>
      <c r="AA122" s="735">
        <v>1000</v>
      </c>
      <c r="AB122" s="735"/>
      <c r="AC122" s="735"/>
      <c r="AD122" s="746">
        <f t="shared" ref="AD122:AD124" si="82">SUM(R122+S122)*12+AA122</f>
        <v>23845</v>
      </c>
      <c r="AE122" s="746">
        <f t="shared" si="74"/>
        <v>23845</v>
      </c>
      <c r="AF122" s="735"/>
      <c r="AG122" s="711"/>
      <c r="AH122" s="711"/>
      <c r="AI122" s="746">
        <v>23845</v>
      </c>
    </row>
    <row r="123" spans="1:35" x14ac:dyDescent="0.2">
      <c r="A123" s="853" t="s">
        <v>391</v>
      </c>
      <c r="B123" s="711"/>
      <c r="C123" s="735">
        <v>567.16999999999996</v>
      </c>
      <c r="D123" s="735">
        <v>1007</v>
      </c>
      <c r="E123" s="735"/>
      <c r="F123" s="735"/>
      <c r="G123" s="735"/>
      <c r="H123" s="735"/>
      <c r="I123" s="735"/>
      <c r="J123" s="735"/>
      <c r="K123" s="735"/>
      <c r="L123" s="746">
        <v>1000</v>
      </c>
      <c r="M123" s="735"/>
      <c r="N123" s="735"/>
      <c r="O123" s="746">
        <f t="shared" si="81"/>
        <v>19890.04</v>
      </c>
      <c r="P123" s="746">
        <f t="shared" si="72"/>
        <v>19890.04</v>
      </c>
      <c r="Q123" s="421"/>
      <c r="R123" s="735">
        <v>567.16999999999996</v>
      </c>
      <c r="S123" s="735">
        <v>1007</v>
      </c>
      <c r="T123" s="735"/>
      <c r="U123" s="735"/>
      <c r="V123" s="735"/>
      <c r="W123" s="735"/>
      <c r="X123" s="735"/>
      <c r="Y123" s="735"/>
      <c r="Z123" s="735"/>
      <c r="AA123" s="735">
        <v>1000</v>
      </c>
      <c r="AB123" s="735"/>
      <c r="AC123" s="735"/>
      <c r="AD123" s="746">
        <f t="shared" si="82"/>
        <v>19890.04</v>
      </c>
      <c r="AE123" s="746">
        <f t="shared" si="74"/>
        <v>19890.04</v>
      </c>
      <c r="AF123" s="735"/>
      <c r="AG123" s="711"/>
      <c r="AH123" s="711"/>
      <c r="AI123" s="746">
        <v>19890.04</v>
      </c>
    </row>
    <row r="124" spans="1:35" x14ac:dyDescent="0.2">
      <c r="A124" s="853" t="s">
        <v>391</v>
      </c>
      <c r="B124" s="711"/>
      <c r="C124" s="735">
        <v>658.59</v>
      </c>
      <c r="D124" s="735">
        <v>1076</v>
      </c>
      <c r="E124" s="735"/>
      <c r="F124" s="735"/>
      <c r="G124" s="735"/>
      <c r="H124" s="735"/>
      <c r="I124" s="735"/>
      <c r="J124" s="735"/>
      <c r="K124" s="735"/>
      <c r="L124" s="746">
        <v>1000</v>
      </c>
      <c r="M124" s="735"/>
      <c r="N124" s="735"/>
      <c r="O124" s="746">
        <f t="shared" si="81"/>
        <v>21815.08</v>
      </c>
      <c r="P124" s="746">
        <f t="shared" si="72"/>
        <v>21815.08</v>
      </c>
      <c r="Q124" s="421"/>
      <c r="R124" s="735">
        <v>658.59</v>
      </c>
      <c r="S124" s="735">
        <v>1076</v>
      </c>
      <c r="T124" s="735"/>
      <c r="U124" s="735"/>
      <c r="V124" s="735"/>
      <c r="W124" s="735"/>
      <c r="X124" s="735"/>
      <c r="Y124" s="735"/>
      <c r="Z124" s="735"/>
      <c r="AA124" s="735">
        <v>1000</v>
      </c>
      <c r="AB124" s="735"/>
      <c r="AC124" s="735"/>
      <c r="AD124" s="746">
        <f t="shared" si="82"/>
        <v>21815.08</v>
      </c>
      <c r="AE124" s="746">
        <f t="shared" si="74"/>
        <v>21815.08</v>
      </c>
      <c r="AF124" s="735"/>
      <c r="AG124" s="711"/>
      <c r="AH124" s="711"/>
      <c r="AI124" s="746">
        <v>21815.08</v>
      </c>
    </row>
    <row r="125" spans="1:35" x14ac:dyDescent="0.2">
      <c r="A125" s="854"/>
      <c r="B125" s="711"/>
      <c r="C125" s="735"/>
      <c r="D125" s="735"/>
      <c r="E125" s="735"/>
      <c r="F125" s="735"/>
      <c r="G125" s="735"/>
      <c r="H125" s="735"/>
      <c r="I125" s="735"/>
      <c r="J125" s="735"/>
      <c r="K125" s="735"/>
      <c r="L125" s="746"/>
      <c r="M125" s="735"/>
      <c r="N125" s="735"/>
      <c r="O125" s="735"/>
      <c r="P125" s="735"/>
      <c r="Q125" s="421"/>
      <c r="R125" s="735"/>
      <c r="S125" s="735"/>
      <c r="T125" s="735"/>
      <c r="U125" s="735"/>
      <c r="V125" s="735"/>
      <c r="W125" s="735"/>
      <c r="X125" s="735"/>
      <c r="Y125" s="735"/>
      <c r="Z125" s="735"/>
      <c r="AA125" s="735"/>
      <c r="AB125" s="735"/>
      <c r="AC125" s="735"/>
      <c r="AD125" s="735"/>
      <c r="AE125" s="735"/>
      <c r="AF125" s="735"/>
      <c r="AG125" s="711"/>
      <c r="AH125" s="711"/>
      <c r="AI125" s="735"/>
    </row>
    <row r="126" spans="1:35" x14ac:dyDescent="0.2">
      <c r="A126" s="853" t="s">
        <v>394</v>
      </c>
      <c r="B126" s="711"/>
      <c r="C126" s="735">
        <v>564.44000000000005</v>
      </c>
      <c r="D126" s="735">
        <v>986.44</v>
      </c>
      <c r="E126" s="735"/>
      <c r="F126" s="735"/>
      <c r="G126" s="735"/>
      <c r="H126" s="735"/>
      <c r="I126" s="735"/>
      <c r="J126" s="735"/>
      <c r="K126" s="735"/>
      <c r="L126" s="746">
        <v>1000</v>
      </c>
      <c r="M126" s="735"/>
      <c r="N126" s="735"/>
      <c r="O126" s="746">
        <f t="shared" ref="O126" si="83">SUM(C126+D126)*12+L126</f>
        <v>19610.560000000001</v>
      </c>
      <c r="P126" s="746">
        <f t="shared" si="72"/>
        <v>19610.560000000001</v>
      </c>
      <c r="Q126" s="421"/>
      <c r="R126" s="735">
        <v>564.44000000000005</v>
      </c>
      <c r="S126" s="735">
        <v>986.44</v>
      </c>
      <c r="T126" s="735"/>
      <c r="U126" s="735"/>
      <c r="V126" s="735"/>
      <c r="W126" s="735"/>
      <c r="X126" s="735"/>
      <c r="Y126" s="735"/>
      <c r="Z126" s="735"/>
      <c r="AA126" s="735">
        <v>1000</v>
      </c>
      <c r="AB126" s="735"/>
      <c r="AC126" s="735"/>
      <c r="AD126" s="746">
        <f t="shared" ref="AD126" si="84">SUM(R126+S126)*12+AA126</f>
        <v>19610.560000000001</v>
      </c>
      <c r="AE126" s="746">
        <f t="shared" si="74"/>
        <v>19610.560000000001</v>
      </c>
      <c r="AF126" s="735"/>
      <c r="AG126" s="711"/>
      <c r="AH126" s="711"/>
      <c r="AI126" s="746">
        <v>19610.560000000001</v>
      </c>
    </row>
    <row r="127" spans="1:35" x14ac:dyDescent="0.2">
      <c r="A127" s="854"/>
      <c r="B127" s="711"/>
      <c r="C127" s="735"/>
      <c r="D127" s="735"/>
      <c r="E127" s="735"/>
      <c r="F127" s="735"/>
      <c r="G127" s="735"/>
      <c r="H127" s="735"/>
      <c r="I127" s="735"/>
      <c r="J127" s="735"/>
      <c r="K127" s="735"/>
      <c r="L127" s="746"/>
      <c r="M127" s="735"/>
      <c r="N127" s="735"/>
      <c r="O127" s="735"/>
      <c r="P127" s="735"/>
      <c r="Q127" s="421"/>
      <c r="R127" s="735"/>
      <c r="S127" s="735"/>
      <c r="T127" s="735"/>
      <c r="U127" s="735"/>
      <c r="V127" s="735"/>
      <c r="W127" s="735"/>
      <c r="X127" s="735"/>
      <c r="Y127" s="735"/>
      <c r="Z127" s="735"/>
      <c r="AA127" s="735"/>
      <c r="AB127" s="735"/>
      <c r="AC127" s="735"/>
      <c r="AD127" s="735"/>
      <c r="AE127" s="735"/>
      <c r="AF127" s="735"/>
      <c r="AG127" s="711"/>
      <c r="AH127" s="711"/>
      <c r="AI127" s="735"/>
    </row>
    <row r="128" spans="1:35" x14ac:dyDescent="0.2">
      <c r="A128" s="854"/>
      <c r="B128" s="711"/>
      <c r="C128" s="735"/>
      <c r="D128" s="735"/>
      <c r="E128" s="735"/>
      <c r="F128" s="735"/>
      <c r="G128" s="735"/>
      <c r="H128" s="735"/>
      <c r="I128" s="735"/>
      <c r="J128" s="735"/>
      <c r="K128" s="735"/>
      <c r="L128" s="746"/>
      <c r="M128" s="735"/>
      <c r="N128" s="735"/>
      <c r="O128" s="735"/>
      <c r="P128" s="735"/>
      <c r="Q128" s="421"/>
      <c r="R128" s="735"/>
      <c r="S128" s="735"/>
      <c r="T128" s="735"/>
      <c r="U128" s="735"/>
      <c r="V128" s="735"/>
      <c r="W128" s="735"/>
      <c r="X128" s="735"/>
      <c r="Y128" s="735"/>
      <c r="Z128" s="735"/>
      <c r="AA128" s="735"/>
      <c r="AB128" s="735"/>
      <c r="AC128" s="735"/>
      <c r="AD128" s="735"/>
      <c r="AE128" s="735"/>
      <c r="AF128" s="735"/>
      <c r="AG128" s="711"/>
      <c r="AH128" s="711"/>
      <c r="AI128" s="735"/>
    </row>
    <row r="129" spans="1:35" x14ac:dyDescent="0.2">
      <c r="A129" s="854"/>
      <c r="B129" s="711"/>
      <c r="C129" s="735"/>
      <c r="D129" s="735"/>
      <c r="E129" s="735"/>
      <c r="F129" s="735"/>
      <c r="G129" s="735"/>
      <c r="H129" s="735"/>
      <c r="I129" s="735"/>
      <c r="J129" s="735"/>
      <c r="K129" s="735"/>
      <c r="L129" s="746"/>
      <c r="M129" s="735"/>
      <c r="N129" s="735"/>
      <c r="O129" s="735"/>
      <c r="P129" s="735"/>
      <c r="Q129" s="421"/>
      <c r="R129" s="735"/>
      <c r="S129" s="735"/>
      <c r="T129" s="735"/>
      <c r="U129" s="735"/>
      <c r="V129" s="735"/>
      <c r="W129" s="735"/>
      <c r="X129" s="735"/>
      <c r="Y129" s="735"/>
      <c r="Z129" s="735"/>
      <c r="AA129" s="735"/>
      <c r="AB129" s="735"/>
      <c r="AC129" s="735"/>
      <c r="AD129" s="735"/>
      <c r="AE129" s="735"/>
      <c r="AF129" s="735"/>
      <c r="AG129" s="711"/>
      <c r="AH129" s="711"/>
      <c r="AI129" s="735"/>
    </row>
    <row r="130" spans="1:35" x14ac:dyDescent="0.2">
      <c r="A130" s="706" t="s">
        <v>169</v>
      </c>
      <c r="B130" s="743">
        <v>22</v>
      </c>
      <c r="C130" s="742">
        <f>SUM(C99:C129)</f>
        <v>17403.82</v>
      </c>
      <c r="D130" s="742">
        <f>SUM(D99:D129)</f>
        <v>28845.439999999999</v>
      </c>
      <c r="E130" s="742"/>
      <c r="F130" s="742"/>
      <c r="G130" s="742"/>
      <c r="H130" s="742"/>
      <c r="I130" s="742"/>
      <c r="J130" s="742"/>
      <c r="K130" s="742"/>
      <c r="L130" s="747">
        <f>SUM(L99:L129)</f>
        <v>22000</v>
      </c>
      <c r="M130" s="742"/>
      <c r="N130" s="742"/>
      <c r="O130" s="742">
        <f>SUM(O99:O129)</f>
        <v>576991.11999999988</v>
      </c>
      <c r="P130" s="742">
        <f>SUM(P99:P129)</f>
        <v>576991.11999999988</v>
      </c>
      <c r="Q130" s="712"/>
      <c r="R130" s="742">
        <f>SUM(R99:R129)</f>
        <v>17403.82</v>
      </c>
      <c r="S130" s="742">
        <f>SUM(S99:S129)</f>
        <v>28845.439999999999</v>
      </c>
      <c r="T130" s="742"/>
      <c r="U130" s="742"/>
      <c r="V130" s="742"/>
      <c r="W130" s="742"/>
      <c r="X130" s="742"/>
      <c r="Y130" s="742"/>
      <c r="Z130" s="742"/>
      <c r="AA130" s="742">
        <f>SUM(AA99:AA129)</f>
        <v>22000</v>
      </c>
      <c r="AB130" s="742"/>
      <c r="AC130" s="742"/>
      <c r="AD130" s="742">
        <f>SUM(AD99:AD129)</f>
        <v>576991.11999999988</v>
      </c>
      <c r="AE130" s="742">
        <f>SUM(AE97:AE129)</f>
        <v>576991.11999999988</v>
      </c>
      <c r="AF130" s="742"/>
      <c r="AG130" s="743"/>
      <c r="AH130" s="743"/>
      <c r="AI130" s="742">
        <f>SUM(AI99:AI129)</f>
        <v>576991.11999999988</v>
      </c>
    </row>
    <row r="131" spans="1:35" x14ac:dyDescent="0.2">
      <c r="A131" s="855"/>
      <c r="B131" s="748"/>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c r="AA131" s="749"/>
      <c r="AB131" s="749"/>
      <c r="AC131" s="749"/>
      <c r="AD131" s="749"/>
      <c r="AE131" s="749"/>
    </row>
    <row r="132" spans="1:35" x14ac:dyDescent="0.2">
      <c r="A132" s="855"/>
      <c r="B132" s="748"/>
      <c r="C132" s="749"/>
      <c r="D132" s="749"/>
      <c r="E132" s="749"/>
      <c r="F132" s="749"/>
      <c r="G132" s="749"/>
      <c r="H132" s="749"/>
      <c r="I132" s="749"/>
      <c r="J132" s="749"/>
      <c r="K132" s="749"/>
      <c r="L132" s="749"/>
      <c r="M132" s="749"/>
      <c r="N132" s="749"/>
      <c r="O132" s="749"/>
      <c r="P132" s="749"/>
      <c r="Q132" s="749"/>
      <c r="R132" s="749"/>
      <c r="S132" s="749"/>
      <c r="T132" s="749"/>
      <c r="U132" s="749"/>
      <c r="V132" s="749"/>
      <c r="W132" s="749"/>
      <c r="X132" s="749"/>
      <c r="Y132" s="749"/>
      <c r="Z132" s="749"/>
      <c r="AA132" s="749"/>
      <c r="AB132" s="749"/>
      <c r="AC132" s="749"/>
      <c r="AD132" s="749"/>
      <c r="AE132" s="749"/>
    </row>
    <row r="133" spans="1:35" ht="24" x14ac:dyDescent="0.2">
      <c r="A133" s="706" t="s">
        <v>418</v>
      </c>
      <c r="B133" s="740"/>
      <c r="C133" s="741"/>
      <c r="D133" s="741"/>
      <c r="E133" s="741"/>
      <c r="F133" s="741"/>
      <c r="G133" s="741"/>
      <c r="H133" s="741"/>
      <c r="I133" s="741"/>
      <c r="J133" s="741"/>
      <c r="K133" s="741"/>
      <c r="L133" s="741"/>
      <c r="M133" s="741"/>
      <c r="N133" s="741"/>
      <c r="O133" s="741"/>
      <c r="P133" s="741"/>
      <c r="Q133" s="741"/>
      <c r="R133" s="741"/>
      <c r="S133" s="741"/>
      <c r="T133" s="741"/>
      <c r="U133" s="741"/>
      <c r="V133" s="741"/>
      <c r="W133" s="741"/>
      <c r="X133" s="741"/>
      <c r="Y133" s="741"/>
      <c r="Z133" s="741"/>
      <c r="AA133" s="741"/>
      <c r="AB133" s="741"/>
      <c r="AC133" s="741"/>
      <c r="AD133" s="741"/>
      <c r="AE133" s="741"/>
      <c r="AF133" s="742"/>
      <c r="AG133" s="743"/>
      <c r="AH133" s="743"/>
      <c r="AI133" s="742"/>
    </row>
    <row r="134" spans="1:35" x14ac:dyDescent="0.2">
      <c r="A134" s="1485" t="s">
        <v>644</v>
      </c>
      <c r="B134" s="1487" t="s">
        <v>645</v>
      </c>
      <c r="C134" s="1487"/>
      <c r="D134" s="1487"/>
      <c r="E134" s="1487"/>
      <c r="F134" s="1487"/>
      <c r="G134" s="1487"/>
      <c r="H134" s="1487"/>
      <c r="I134" s="1487"/>
      <c r="J134" s="1487"/>
      <c r="K134" s="1487"/>
      <c r="L134" s="1487"/>
      <c r="M134" s="1487"/>
      <c r="N134" s="1487"/>
      <c r="O134" s="1487"/>
      <c r="P134" s="1487"/>
      <c r="Q134" s="1487" t="s">
        <v>646</v>
      </c>
      <c r="R134" s="1487"/>
      <c r="S134" s="1487"/>
      <c r="T134" s="1487"/>
      <c r="U134" s="1487"/>
      <c r="V134" s="1487"/>
      <c r="W134" s="1487"/>
      <c r="X134" s="1487"/>
      <c r="Y134" s="1487"/>
      <c r="Z134" s="1487"/>
      <c r="AA134" s="1487"/>
      <c r="AB134" s="1487"/>
      <c r="AC134" s="1487"/>
      <c r="AD134" s="1487"/>
      <c r="AE134" s="1487"/>
      <c r="AF134" s="1487" t="s">
        <v>647</v>
      </c>
      <c r="AG134" s="1487"/>
      <c r="AH134" s="1487" t="s">
        <v>648</v>
      </c>
      <c r="AI134" s="1487"/>
    </row>
    <row r="135" spans="1:35" ht="120" customHeight="1" x14ac:dyDescent="0.2">
      <c r="A135" s="1485"/>
      <c r="B135" s="691" t="s">
        <v>649</v>
      </c>
      <c r="C135" s="692" t="s">
        <v>650</v>
      </c>
      <c r="D135" s="692" t="s">
        <v>684</v>
      </c>
      <c r="E135" s="692" t="s">
        <v>652</v>
      </c>
      <c r="F135" s="692" t="s">
        <v>653</v>
      </c>
      <c r="G135" s="692" t="s">
        <v>654</v>
      </c>
      <c r="H135" s="692" t="s">
        <v>655</v>
      </c>
      <c r="I135" s="692" t="s">
        <v>656</v>
      </c>
      <c r="J135" s="692" t="s">
        <v>657</v>
      </c>
      <c r="K135" s="692" t="s">
        <v>658</v>
      </c>
      <c r="L135" s="692" t="s">
        <v>659</v>
      </c>
      <c r="M135" s="692" t="s">
        <v>660</v>
      </c>
      <c r="N135" s="692" t="s">
        <v>661</v>
      </c>
      <c r="O135" s="692" t="s">
        <v>662</v>
      </c>
      <c r="P135" s="692" t="s">
        <v>685</v>
      </c>
      <c r="Q135" s="691" t="s">
        <v>649</v>
      </c>
      <c r="R135" s="692" t="s">
        <v>650</v>
      </c>
      <c r="S135" s="692" t="s">
        <v>651</v>
      </c>
      <c r="T135" s="692" t="s">
        <v>652</v>
      </c>
      <c r="U135" s="692" t="s">
        <v>653</v>
      </c>
      <c r="V135" s="692" t="s">
        <v>654</v>
      </c>
      <c r="W135" s="692" t="s">
        <v>655</v>
      </c>
      <c r="X135" s="692" t="s">
        <v>656</v>
      </c>
      <c r="Y135" s="692" t="s">
        <v>657</v>
      </c>
      <c r="Z135" s="692" t="s">
        <v>658</v>
      </c>
      <c r="AA135" s="692" t="s">
        <v>659</v>
      </c>
      <c r="AB135" s="692" t="s">
        <v>660</v>
      </c>
      <c r="AC135" s="692" t="s">
        <v>661</v>
      </c>
      <c r="AD135" s="692" t="s">
        <v>662</v>
      </c>
      <c r="AE135" s="692" t="s">
        <v>686</v>
      </c>
      <c r="AF135" s="692" t="s">
        <v>664</v>
      </c>
      <c r="AG135" s="691" t="s">
        <v>665</v>
      </c>
      <c r="AH135" s="691" t="s">
        <v>649</v>
      </c>
      <c r="AI135" s="692" t="s">
        <v>687</v>
      </c>
    </row>
    <row r="136" spans="1:35" x14ac:dyDescent="0.2">
      <c r="A136" s="1486"/>
      <c r="B136" s="555" t="s">
        <v>667</v>
      </c>
      <c r="C136" s="733" t="s">
        <v>668</v>
      </c>
      <c r="D136" s="733" t="s">
        <v>669</v>
      </c>
      <c r="E136" s="733" t="s">
        <v>670</v>
      </c>
      <c r="F136" s="734" t="s">
        <v>671</v>
      </c>
      <c r="G136" s="734" t="s">
        <v>672</v>
      </c>
      <c r="H136" s="734" t="s">
        <v>673</v>
      </c>
      <c r="I136" s="734" t="s">
        <v>674</v>
      </c>
      <c r="J136" s="734" t="s">
        <v>675</v>
      </c>
      <c r="K136" s="734" t="s">
        <v>676</v>
      </c>
      <c r="L136" s="734" t="s">
        <v>677</v>
      </c>
      <c r="M136" s="734" t="s">
        <v>678</v>
      </c>
      <c r="N136" s="734" t="s">
        <v>679</v>
      </c>
      <c r="O136" s="734" t="s">
        <v>680</v>
      </c>
      <c r="P136" s="734" t="s">
        <v>681</v>
      </c>
      <c r="Q136" s="555" t="s">
        <v>667</v>
      </c>
      <c r="R136" s="733" t="s">
        <v>668</v>
      </c>
      <c r="S136" s="733" t="s">
        <v>669</v>
      </c>
      <c r="T136" s="733" t="s">
        <v>670</v>
      </c>
      <c r="U136" s="734" t="s">
        <v>671</v>
      </c>
      <c r="V136" s="734" t="s">
        <v>672</v>
      </c>
      <c r="W136" s="734" t="s">
        <v>673</v>
      </c>
      <c r="X136" s="734" t="s">
        <v>674</v>
      </c>
      <c r="Y136" s="734" t="s">
        <v>675</v>
      </c>
      <c r="Z136" s="734" t="s">
        <v>676</v>
      </c>
      <c r="AA136" s="734" t="s">
        <v>677</v>
      </c>
      <c r="AB136" s="734" t="s">
        <v>678</v>
      </c>
      <c r="AC136" s="734" t="s">
        <v>679</v>
      </c>
      <c r="AD136" s="734" t="s">
        <v>680</v>
      </c>
      <c r="AE136" s="734" t="s">
        <v>681</v>
      </c>
      <c r="AF136" s="733"/>
      <c r="AG136" s="555"/>
      <c r="AH136" s="555"/>
      <c r="AI136" s="733"/>
    </row>
    <row r="137" spans="1:35" x14ac:dyDescent="0.2">
      <c r="A137" s="704"/>
      <c r="B137" s="711"/>
      <c r="C137" s="735"/>
      <c r="D137" s="735"/>
      <c r="E137" s="735"/>
      <c r="F137" s="735"/>
      <c r="G137" s="735"/>
      <c r="H137" s="735"/>
      <c r="I137" s="735"/>
      <c r="J137" s="735"/>
      <c r="K137" s="735"/>
      <c r="L137" s="735"/>
      <c r="M137" s="735"/>
      <c r="N137" s="735"/>
      <c r="O137" s="735"/>
      <c r="P137" s="735"/>
      <c r="Q137" s="421"/>
      <c r="R137" s="735"/>
      <c r="S137" s="735"/>
      <c r="T137" s="735"/>
      <c r="U137" s="735"/>
      <c r="V137" s="735"/>
      <c r="W137" s="735"/>
      <c r="X137" s="735"/>
      <c r="Y137" s="735"/>
      <c r="Z137" s="735"/>
      <c r="AA137" s="735"/>
      <c r="AB137" s="735"/>
      <c r="AC137" s="735"/>
      <c r="AD137" s="735"/>
      <c r="AE137" s="735"/>
      <c r="AF137" s="735"/>
      <c r="AG137" s="711"/>
      <c r="AH137" s="711"/>
      <c r="AI137" s="735"/>
    </row>
    <row r="138" spans="1:35" x14ac:dyDescent="0.2">
      <c r="A138" s="704" t="s">
        <v>688</v>
      </c>
      <c r="B138" s="711"/>
      <c r="C138" s="735"/>
      <c r="D138" s="735"/>
      <c r="E138" s="735"/>
      <c r="F138" s="735"/>
      <c r="G138" s="735"/>
      <c r="H138" s="735"/>
      <c r="I138" s="735"/>
      <c r="J138" s="735"/>
      <c r="K138" s="735"/>
      <c r="L138" s="735"/>
      <c r="M138" s="735"/>
      <c r="N138" s="735"/>
      <c r="O138" s="735"/>
      <c r="P138" s="735"/>
      <c r="Q138" s="421"/>
      <c r="R138" s="735"/>
      <c r="S138" s="735"/>
      <c r="T138" s="735"/>
      <c r="U138" s="735"/>
      <c r="V138" s="735"/>
      <c r="W138" s="735"/>
      <c r="X138" s="735"/>
      <c r="Y138" s="735"/>
      <c r="Z138" s="735"/>
      <c r="AA138" s="735"/>
      <c r="AB138" s="735"/>
      <c r="AC138" s="735"/>
      <c r="AD138" s="735"/>
      <c r="AE138" s="735"/>
      <c r="AF138" s="735"/>
      <c r="AG138" s="711"/>
      <c r="AH138" s="711"/>
      <c r="AI138" s="735"/>
    </row>
    <row r="139" spans="1:35" x14ac:dyDescent="0.2">
      <c r="A139" s="856" t="s">
        <v>702</v>
      </c>
      <c r="B139" s="711"/>
      <c r="C139" s="735"/>
      <c r="D139" s="735"/>
      <c r="E139" s="735"/>
      <c r="F139" s="735"/>
      <c r="G139" s="735"/>
      <c r="H139" s="735"/>
      <c r="I139" s="735"/>
      <c r="J139" s="735"/>
      <c r="K139" s="735"/>
      <c r="L139" s="735"/>
      <c r="M139" s="735"/>
      <c r="N139" s="735"/>
      <c r="O139" s="735"/>
      <c r="P139" s="735"/>
      <c r="Q139" s="421"/>
      <c r="R139" s="735"/>
      <c r="S139" s="735"/>
      <c r="T139" s="735"/>
      <c r="U139" s="735"/>
      <c r="V139" s="735"/>
      <c r="W139" s="735"/>
      <c r="X139" s="735"/>
      <c r="Y139" s="735"/>
      <c r="Z139" s="735"/>
      <c r="AA139" s="735"/>
      <c r="AB139" s="735"/>
      <c r="AC139" s="735"/>
      <c r="AD139" s="735"/>
      <c r="AE139" s="735"/>
      <c r="AF139" s="735"/>
      <c r="AG139" s="711"/>
      <c r="AH139" s="711"/>
      <c r="AI139" s="735"/>
    </row>
    <row r="140" spans="1:35" x14ac:dyDescent="0.2">
      <c r="A140" s="707" t="s">
        <v>703</v>
      </c>
      <c r="B140" s="751">
        <v>1</v>
      </c>
      <c r="C140" s="752">
        <v>1038.1099999999999</v>
      </c>
      <c r="D140" s="752">
        <v>2762</v>
      </c>
      <c r="E140" s="752">
        <v>0</v>
      </c>
      <c r="F140" s="752">
        <v>0</v>
      </c>
      <c r="G140" s="752">
        <v>0</v>
      </c>
      <c r="H140" s="752">
        <v>0</v>
      </c>
      <c r="I140" s="752">
        <v>0</v>
      </c>
      <c r="J140" s="752">
        <v>0</v>
      </c>
      <c r="K140" s="752">
        <f t="shared" ref="K140:K145" si="85">SUM(C140,D140,E140,F140,G140,H140,I140,J140)</f>
        <v>3800.1099999999997</v>
      </c>
      <c r="L140" s="752">
        <v>1000</v>
      </c>
      <c r="M140" s="752">
        <v>0</v>
      </c>
      <c r="N140" s="752">
        <f t="shared" ref="N140:N145" si="86">SUM(L140,M140)</f>
        <v>1000</v>
      </c>
      <c r="O140" s="752">
        <f t="shared" ref="O140:O145" si="87">SUM(K140*12+N140)</f>
        <v>46601.319999999992</v>
      </c>
      <c r="P140" s="753">
        <f t="shared" ref="P140:P145" si="88">SUM(B140*O140)</f>
        <v>46601.319999999992</v>
      </c>
      <c r="Q140" s="751">
        <v>1</v>
      </c>
      <c r="R140" s="752">
        <v>1038.1099999999999</v>
      </c>
      <c r="S140" s="752">
        <v>2762</v>
      </c>
      <c r="T140" s="752">
        <v>0</v>
      </c>
      <c r="U140" s="752">
        <v>0</v>
      </c>
      <c r="V140" s="752">
        <v>0</v>
      </c>
      <c r="W140" s="752">
        <v>0</v>
      </c>
      <c r="X140" s="752">
        <v>0</v>
      </c>
      <c r="Y140" s="752">
        <v>0</v>
      </c>
      <c r="Z140" s="752">
        <f t="shared" ref="Z140:Z145" si="89">SUM(R140,S140,T140,U140,V140,W140,X140,Y140)</f>
        <v>3800.1099999999997</v>
      </c>
      <c r="AA140" s="752">
        <v>1000</v>
      </c>
      <c r="AB140" s="752">
        <v>0</v>
      </c>
      <c r="AC140" s="752">
        <f t="shared" ref="AC140:AC145" si="90">SUM(AA140,AB140)</f>
        <v>1000</v>
      </c>
      <c r="AD140" s="752">
        <f t="shared" ref="AD140:AD145" si="91">SUM(Z140*12+AC140)</f>
        <v>46601.319999999992</v>
      </c>
      <c r="AE140" s="753">
        <f t="shared" ref="AE140:AE145" si="92">SUM(Q140*AD140)</f>
        <v>46601.319999999992</v>
      </c>
      <c r="AF140" s="735">
        <v>0</v>
      </c>
      <c r="AG140" s="711">
        <v>0</v>
      </c>
      <c r="AH140" s="711">
        <v>1</v>
      </c>
      <c r="AI140" s="735">
        <v>46601.32</v>
      </c>
    </row>
    <row r="141" spans="1:35" x14ac:dyDescent="0.2">
      <c r="A141" s="707" t="s">
        <v>704</v>
      </c>
      <c r="B141" s="751">
        <v>1</v>
      </c>
      <c r="C141" s="752">
        <v>932.67</v>
      </c>
      <c r="D141" s="752">
        <v>1800</v>
      </c>
      <c r="E141" s="752">
        <v>0</v>
      </c>
      <c r="F141" s="752">
        <v>0</v>
      </c>
      <c r="G141" s="752">
        <v>0</v>
      </c>
      <c r="H141" s="752">
        <v>0</v>
      </c>
      <c r="I141" s="752">
        <v>0</v>
      </c>
      <c r="J141" s="752">
        <v>0</v>
      </c>
      <c r="K141" s="752">
        <f t="shared" si="85"/>
        <v>2732.67</v>
      </c>
      <c r="L141" s="752">
        <v>1000</v>
      </c>
      <c r="M141" s="752">
        <v>0</v>
      </c>
      <c r="N141" s="752">
        <f t="shared" si="86"/>
        <v>1000</v>
      </c>
      <c r="O141" s="752">
        <f t="shared" si="87"/>
        <v>33792.04</v>
      </c>
      <c r="P141" s="753">
        <f t="shared" si="88"/>
        <v>33792.04</v>
      </c>
      <c r="Q141" s="751">
        <v>1</v>
      </c>
      <c r="R141" s="752">
        <v>932.67</v>
      </c>
      <c r="S141" s="752">
        <v>1800</v>
      </c>
      <c r="T141" s="752">
        <v>0</v>
      </c>
      <c r="U141" s="752">
        <v>0</v>
      </c>
      <c r="V141" s="752">
        <v>0</v>
      </c>
      <c r="W141" s="752">
        <v>0</v>
      </c>
      <c r="X141" s="752">
        <v>0</v>
      </c>
      <c r="Y141" s="752">
        <v>0</v>
      </c>
      <c r="Z141" s="752">
        <f t="shared" si="89"/>
        <v>2732.67</v>
      </c>
      <c r="AA141" s="752">
        <v>1000</v>
      </c>
      <c r="AB141" s="752">
        <v>0</v>
      </c>
      <c r="AC141" s="752">
        <f t="shared" si="90"/>
        <v>1000</v>
      </c>
      <c r="AD141" s="752">
        <f t="shared" si="91"/>
        <v>33792.04</v>
      </c>
      <c r="AE141" s="753">
        <f t="shared" si="92"/>
        <v>33792.04</v>
      </c>
      <c r="AF141" s="735">
        <v>0</v>
      </c>
      <c r="AG141" s="711">
        <v>0</v>
      </c>
      <c r="AH141" s="711">
        <v>1</v>
      </c>
      <c r="AI141" s="735">
        <v>33792.04</v>
      </c>
    </row>
    <row r="142" spans="1:35" x14ac:dyDescent="0.2">
      <c r="A142" s="707" t="s">
        <v>704</v>
      </c>
      <c r="B142" s="751">
        <v>1</v>
      </c>
      <c r="C142" s="752">
        <v>932.67</v>
      </c>
      <c r="D142" s="752">
        <v>1800</v>
      </c>
      <c r="E142" s="752">
        <v>0</v>
      </c>
      <c r="F142" s="752">
        <v>0</v>
      </c>
      <c r="G142" s="752">
        <v>0</v>
      </c>
      <c r="H142" s="752">
        <v>0</v>
      </c>
      <c r="I142" s="752">
        <v>0</v>
      </c>
      <c r="J142" s="752">
        <v>0</v>
      </c>
      <c r="K142" s="752">
        <f t="shared" si="85"/>
        <v>2732.67</v>
      </c>
      <c r="L142" s="752">
        <v>1000</v>
      </c>
      <c r="M142" s="752">
        <v>0</v>
      </c>
      <c r="N142" s="752">
        <f t="shared" si="86"/>
        <v>1000</v>
      </c>
      <c r="O142" s="752">
        <f t="shared" si="87"/>
        <v>33792.04</v>
      </c>
      <c r="P142" s="753">
        <f t="shared" si="88"/>
        <v>33792.04</v>
      </c>
      <c r="Q142" s="751">
        <v>1</v>
      </c>
      <c r="R142" s="752">
        <v>932.67</v>
      </c>
      <c r="S142" s="752">
        <v>1800</v>
      </c>
      <c r="T142" s="752">
        <v>0</v>
      </c>
      <c r="U142" s="752">
        <v>0</v>
      </c>
      <c r="V142" s="752">
        <v>0</v>
      </c>
      <c r="W142" s="752">
        <v>0</v>
      </c>
      <c r="X142" s="752">
        <v>0</v>
      </c>
      <c r="Y142" s="752">
        <v>0</v>
      </c>
      <c r="Z142" s="752">
        <f t="shared" si="89"/>
        <v>2732.67</v>
      </c>
      <c r="AA142" s="752">
        <v>1000</v>
      </c>
      <c r="AB142" s="752">
        <v>0</v>
      </c>
      <c r="AC142" s="752">
        <f t="shared" si="90"/>
        <v>1000</v>
      </c>
      <c r="AD142" s="752">
        <f t="shared" si="91"/>
        <v>33792.04</v>
      </c>
      <c r="AE142" s="753">
        <f t="shared" si="92"/>
        <v>33792.04</v>
      </c>
      <c r="AF142" s="735">
        <v>0</v>
      </c>
      <c r="AG142" s="711">
        <v>0</v>
      </c>
      <c r="AH142" s="711">
        <v>1</v>
      </c>
      <c r="AI142" s="735">
        <v>33792.04</v>
      </c>
    </row>
    <row r="143" spans="1:35" x14ac:dyDescent="0.2">
      <c r="A143" s="707" t="s">
        <v>704</v>
      </c>
      <c r="B143" s="751">
        <v>1</v>
      </c>
      <c r="C143" s="752">
        <v>932.67</v>
      </c>
      <c r="D143" s="752">
        <v>1800</v>
      </c>
      <c r="E143" s="752">
        <v>0</v>
      </c>
      <c r="F143" s="752">
        <v>0</v>
      </c>
      <c r="G143" s="752">
        <v>0</v>
      </c>
      <c r="H143" s="752">
        <v>0</v>
      </c>
      <c r="I143" s="752">
        <v>0</v>
      </c>
      <c r="J143" s="752">
        <v>0</v>
      </c>
      <c r="K143" s="752">
        <f t="shared" si="85"/>
        <v>2732.67</v>
      </c>
      <c r="L143" s="752">
        <v>1000</v>
      </c>
      <c r="M143" s="752">
        <v>0</v>
      </c>
      <c r="N143" s="752">
        <f t="shared" si="86"/>
        <v>1000</v>
      </c>
      <c r="O143" s="752">
        <f t="shared" si="87"/>
        <v>33792.04</v>
      </c>
      <c r="P143" s="753">
        <f t="shared" si="88"/>
        <v>33792.04</v>
      </c>
      <c r="Q143" s="751">
        <v>1</v>
      </c>
      <c r="R143" s="752">
        <v>932.67</v>
      </c>
      <c r="S143" s="752">
        <v>1800</v>
      </c>
      <c r="T143" s="752">
        <v>0</v>
      </c>
      <c r="U143" s="752">
        <v>0</v>
      </c>
      <c r="V143" s="752">
        <v>0</v>
      </c>
      <c r="W143" s="752">
        <v>0</v>
      </c>
      <c r="X143" s="752">
        <v>0</v>
      </c>
      <c r="Y143" s="752">
        <v>0</v>
      </c>
      <c r="Z143" s="752">
        <f t="shared" si="89"/>
        <v>2732.67</v>
      </c>
      <c r="AA143" s="752">
        <v>1000</v>
      </c>
      <c r="AB143" s="752">
        <v>0</v>
      </c>
      <c r="AC143" s="752">
        <f t="shared" si="90"/>
        <v>1000</v>
      </c>
      <c r="AD143" s="752">
        <f t="shared" si="91"/>
        <v>33792.04</v>
      </c>
      <c r="AE143" s="753">
        <f t="shared" si="92"/>
        <v>33792.04</v>
      </c>
      <c r="AF143" s="735">
        <v>0</v>
      </c>
      <c r="AG143" s="711">
        <v>0</v>
      </c>
      <c r="AH143" s="711">
        <v>1</v>
      </c>
      <c r="AI143" s="735">
        <v>33792.04</v>
      </c>
    </row>
    <row r="144" spans="1:35" x14ac:dyDescent="0.2">
      <c r="A144" s="707" t="s">
        <v>704</v>
      </c>
      <c r="B144" s="751">
        <v>1</v>
      </c>
      <c r="C144" s="752">
        <v>932.67</v>
      </c>
      <c r="D144" s="752">
        <v>1800</v>
      </c>
      <c r="E144" s="752">
        <v>0</v>
      </c>
      <c r="F144" s="752">
        <v>0</v>
      </c>
      <c r="G144" s="752">
        <v>0</v>
      </c>
      <c r="H144" s="752">
        <v>0</v>
      </c>
      <c r="I144" s="752">
        <v>0</v>
      </c>
      <c r="J144" s="752">
        <v>0</v>
      </c>
      <c r="K144" s="752">
        <f t="shared" si="85"/>
        <v>2732.67</v>
      </c>
      <c r="L144" s="752">
        <v>1000</v>
      </c>
      <c r="M144" s="752">
        <v>0</v>
      </c>
      <c r="N144" s="752">
        <f t="shared" si="86"/>
        <v>1000</v>
      </c>
      <c r="O144" s="752">
        <f t="shared" si="87"/>
        <v>33792.04</v>
      </c>
      <c r="P144" s="753">
        <f t="shared" si="88"/>
        <v>33792.04</v>
      </c>
      <c r="Q144" s="751">
        <v>1</v>
      </c>
      <c r="R144" s="752">
        <v>932.67</v>
      </c>
      <c r="S144" s="752">
        <v>1800</v>
      </c>
      <c r="T144" s="752">
        <v>0</v>
      </c>
      <c r="U144" s="752">
        <v>0</v>
      </c>
      <c r="V144" s="752">
        <v>0</v>
      </c>
      <c r="W144" s="752">
        <v>0</v>
      </c>
      <c r="X144" s="752">
        <v>0</v>
      </c>
      <c r="Y144" s="752">
        <v>0</v>
      </c>
      <c r="Z144" s="752">
        <f t="shared" si="89"/>
        <v>2732.67</v>
      </c>
      <c r="AA144" s="752">
        <v>1000</v>
      </c>
      <c r="AB144" s="752">
        <v>0</v>
      </c>
      <c r="AC144" s="752">
        <f t="shared" si="90"/>
        <v>1000</v>
      </c>
      <c r="AD144" s="752">
        <f t="shared" si="91"/>
        <v>33792.04</v>
      </c>
      <c r="AE144" s="753">
        <f t="shared" si="92"/>
        <v>33792.04</v>
      </c>
      <c r="AF144" s="735">
        <v>0</v>
      </c>
      <c r="AG144" s="711">
        <v>0</v>
      </c>
      <c r="AH144" s="711">
        <v>1</v>
      </c>
      <c r="AI144" s="735">
        <v>33792.04</v>
      </c>
    </row>
    <row r="145" spans="1:35" x14ac:dyDescent="0.2">
      <c r="A145" s="707" t="s">
        <v>704</v>
      </c>
      <c r="B145" s="751">
        <v>1</v>
      </c>
      <c r="C145" s="752">
        <v>932.67</v>
      </c>
      <c r="D145" s="752">
        <v>1800</v>
      </c>
      <c r="E145" s="752">
        <v>0</v>
      </c>
      <c r="F145" s="752">
        <v>0</v>
      </c>
      <c r="G145" s="752">
        <v>0</v>
      </c>
      <c r="H145" s="752">
        <v>0</v>
      </c>
      <c r="I145" s="752">
        <v>0</v>
      </c>
      <c r="J145" s="752">
        <v>0</v>
      </c>
      <c r="K145" s="752">
        <f t="shared" si="85"/>
        <v>2732.67</v>
      </c>
      <c r="L145" s="752">
        <v>1000</v>
      </c>
      <c r="M145" s="752">
        <v>0</v>
      </c>
      <c r="N145" s="752">
        <f t="shared" si="86"/>
        <v>1000</v>
      </c>
      <c r="O145" s="752">
        <f t="shared" si="87"/>
        <v>33792.04</v>
      </c>
      <c r="P145" s="753">
        <f t="shared" si="88"/>
        <v>33792.04</v>
      </c>
      <c r="Q145" s="751">
        <v>1</v>
      </c>
      <c r="R145" s="752">
        <v>932.67</v>
      </c>
      <c r="S145" s="752">
        <v>1800</v>
      </c>
      <c r="T145" s="752">
        <v>0</v>
      </c>
      <c r="U145" s="752">
        <v>0</v>
      </c>
      <c r="V145" s="752">
        <v>0</v>
      </c>
      <c r="W145" s="752">
        <v>0</v>
      </c>
      <c r="X145" s="752">
        <v>0</v>
      </c>
      <c r="Y145" s="752">
        <v>0</v>
      </c>
      <c r="Z145" s="752">
        <f t="shared" si="89"/>
        <v>2732.67</v>
      </c>
      <c r="AA145" s="752">
        <v>1000</v>
      </c>
      <c r="AB145" s="752">
        <v>0</v>
      </c>
      <c r="AC145" s="752">
        <f t="shared" si="90"/>
        <v>1000</v>
      </c>
      <c r="AD145" s="752">
        <f t="shared" si="91"/>
        <v>33792.04</v>
      </c>
      <c r="AE145" s="753">
        <f t="shared" si="92"/>
        <v>33792.04</v>
      </c>
      <c r="AF145" s="735">
        <v>0</v>
      </c>
      <c r="AG145" s="711">
        <v>0</v>
      </c>
      <c r="AH145" s="711">
        <v>1</v>
      </c>
      <c r="AI145" s="735">
        <v>33792.04</v>
      </c>
    </row>
    <row r="146" spans="1:35" x14ac:dyDescent="0.2">
      <c r="A146" s="857"/>
      <c r="B146" s="720"/>
      <c r="C146" s="754"/>
      <c r="D146" s="754"/>
      <c r="E146" s="754"/>
      <c r="F146" s="754"/>
      <c r="G146" s="754"/>
      <c r="H146" s="754"/>
      <c r="I146" s="754"/>
      <c r="J146" s="754"/>
      <c r="K146" s="754"/>
      <c r="L146" s="754"/>
      <c r="M146" s="754"/>
      <c r="N146" s="754"/>
      <c r="O146" s="754"/>
      <c r="P146" s="754"/>
      <c r="Q146" s="720"/>
      <c r="R146" s="754"/>
      <c r="S146" s="754"/>
      <c r="T146" s="754"/>
      <c r="U146" s="754"/>
      <c r="V146" s="754"/>
      <c r="W146" s="754"/>
      <c r="X146" s="754"/>
      <c r="Y146" s="754"/>
      <c r="Z146" s="754"/>
      <c r="AA146" s="754"/>
      <c r="AB146" s="754"/>
      <c r="AC146" s="754"/>
      <c r="AD146" s="754"/>
      <c r="AE146" s="754"/>
      <c r="AF146" s="735"/>
      <c r="AG146" s="711"/>
      <c r="AH146" s="711"/>
      <c r="AI146" s="735"/>
    </row>
    <row r="147" spans="1:35" x14ac:dyDescent="0.2">
      <c r="A147" s="709" t="s">
        <v>385</v>
      </c>
      <c r="B147" s="755"/>
      <c r="C147" s="756"/>
      <c r="D147" s="756"/>
      <c r="E147" s="756"/>
      <c r="F147" s="756"/>
      <c r="G147" s="756"/>
      <c r="H147" s="756"/>
      <c r="I147" s="756"/>
      <c r="J147" s="756"/>
      <c r="K147" s="756"/>
      <c r="L147" s="756"/>
      <c r="M147" s="756"/>
      <c r="N147" s="756"/>
      <c r="O147" s="756"/>
      <c r="P147" s="756"/>
      <c r="Q147" s="755"/>
      <c r="R147" s="756"/>
      <c r="S147" s="756"/>
      <c r="T147" s="756"/>
      <c r="U147" s="756"/>
      <c r="V147" s="756"/>
      <c r="W147" s="756"/>
      <c r="X147" s="756"/>
      <c r="Y147" s="756"/>
      <c r="Z147" s="756"/>
      <c r="AA147" s="756"/>
      <c r="AB147" s="756"/>
      <c r="AC147" s="756"/>
      <c r="AD147" s="756"/>
      <c r="AE147" s="756"/>
      <c r="AF147" s="735"/>
      <c r="AG147" s="711"/>
      <c r="AH147" s="711"/>
      <c r="AI147" s="735"/>
    </row>
    <row r="148" spans="1:35" x14ac:dyDescent="0.2">
      <c r="A148" s="710" t="s">
        <v>705</v>
      </c>
      <c r="B148" s="755">
        <v>1</v>
      </c>
      <c r="C148" s="757">
        <v>702.39</v>
      </c>
      <c r="D148" s="757">
        <v>1100</v>
      </c>
      <c r="E148" s="757">
        <v>0</v>
      </c>
      <c r="F148" s="757">
        <v>0</v>
      </c>
      <c r="G148" s="757">
        <v>0</v>
      </c>
      <c r="H148" s="757">
        <v>0</v>
      </c>
      <c r="I148" s="757">
        <v>0</v>
      </c>
      <c r="J148" s="757">
        <v>0</v>
      </c>
      <c r="K148" s="752">
        <f t="shared" ref="K148:K153" si="93">SUM(C148,D148,E148,F148,G148,H148,I148,J148)</f>
        <v>1802.3899999999999</v>
      </c>
      <c r="L148" s="757">
        <v>1000</v>
      </c>
      <c r="M148" s="757">
        <v>0</v>
      </c>
      <c r="N148" s="752">
        <f t="shared" ref="N148:N153" si="94">SUM(L148,M148)</f>
        <v>1000</v>
      </c>
      <c r="O148" s="752">
        <f t="shared" ref="O148:O153" si="95">SUM(K148*12+N148)</f>
        <v>22628.68</v>
      </c>
      <c r="P148" s="753">
        <f t="shared" ref="P148:P153" si="96">SUM(B148*O148)</f>
        <v>22628.68</v>
      </c>
      <c r="Q148" s="755">
        <v>1</v>
      </c>
      <c r="R148" s="757">
        <v>702.39</v>
      </c>
      <c r="S148" s="757">
        <v>1100</v>
      </c>
      <c r="T148" s="757">
        <v>0</v>
      </c>
      <c r="U148" s="757">
        <v>0</v>
      </c>
      <c r="V148" s="757">
        <v>0</v>
      </c>
      <c r="W148" s="757">
        <v>0</v>
      </c>
      <c r="X148" s="757">
        <v>0</v>
      </c>
      <c r="Y148" s="757">
        <v>0</v>
      </c>
      <c r="Z148" s="752">
        <f t="shared" ref="Z148:Z153" si="97">SUM(R148,S148,T148,U148,V148,W148,X148,Y148)</f>
        <v>1802.3899999999999</v>
      </c>
      <c r="AA148" s="757">
        <v>1000</v>
      </c>
      <c r="AB148" s="757">
        <v>0</v>
      </c>
      <c r="AC148" s="752">
        <f t="shared" ref="AC148:AC153" si="98">SUM(AA148,AB148)</f>
        <v>1000</v>
      </c>
      <c r="AD148" s="752">
        <f t="shared" ref="AD148:AD153" si="99">SUM(Z148*12+AC148)</f>
        <v>22628.68</v>
      </c>
      <c r="AE148" s="753">
        <f t="shared" ref="AE148:AE153" si="100">SUM(Q148*AD148)</f>
        <v>22628.68</v>
      </c>
      <c r="AF148" s="735">
        <v>0</v>
      </c>
      <c r="AG148" s="711">
        <v>0</v>
      </c>
      <c r="AH148" s="711">
        <v>1</v>
      </c>
      <c r="AI148" s="735">
        <v>22628.68</v>
      </c>
    </row>
    <row r="149" spans="1:35" x14ac:dyDescent="0.2">
      <c r="A149" s="710" t="s">
        <v>705</v>
      </c>
      <c r="B149" s="755">
        <v>1</v>
      </c>
      <c r="C149" s="757">
        <v>702.39</v>
      </c>
      <c r="D149" s="757">
        <v>1100</v>
      </c>
      <c r="E149" s="757">
        <v>0</v>
      </c>
      <c r="F149" s="757">
        <v>0</v>
      </c>
      <c r="G149" s="757">
        <v>0</v>
      </c>
      <c r="H149" s="757">
        <v>0</v>
      </c>
      <c r="I149" s="757">
        <v>0</v>
      </c>
      <c r="J149" s="757">
        <v>0</v>
      </c>
      <c r="K149" s="752">
        <f t="shared" si="93"/>
        <v>1802.3899999999999</v>
      </c>
      <c r="L149" s="757">
        <v>1000</v>
      </c>
      <c r="M149" s="757">
        <v>0</v>
      </c>
      <c r="N149" s="752">
        <f t="shared" si="94"/>
        <v>1000</v>
      </c>
      <c r="O149" s="752">
        <f t="shared" si="95"/>
        <v>22628.68</v>
      </c>
      <c r="P149" s="753">
        <f t="shared" si="96"/>
        <v>22628.68</v>
      </c>
      <c r="Q149" s="755">
        <v>1</v>
      </c>
      <c r="R149" s="757">
        <v>702.39</v>
      </c>
      <c r="S149" s="757">
        <v>1100</v>
      </c>
      <c r="T149" s="757">
        <v>0</v>
      </c>
      <c r="U149" s="757">
        <v>0</v>
      </c>
      <c r="V149" s="757">
        <v>0</v>
      </c>
      <c r="W149" s="757">
        <v>0</v>
      </c>
      <c r="X149" s="757">
        <v>0</v>
      </c>
      <c r="Y149" s="757">
        <v>0</v>
      </c>
      <c r="Z149" s="752">
        <f t="shared" si="97"/>
        <v>1802.3899999999999</v>
      </c>
      <c r="AA149" s="757">
        <v>1000</v>
      </c>
      <c r="AB149" s="757">
        <v>0</v>
      </c>
      <c r="AC149" s="752">
        <f t="shared" si="98"/>
        <v>1000</v>
      </c>
      <c r="AD149" s="752">
        <f t="shared" si="99"/>
        <v>22628.68</v>
      </c>
      <c r="AE149" s="753">
        <f t="shared" si="100"/>
        <v>22628.68</v>
      </c>
      <c r="AF149" s="735">
        <v>0</v>
      </c>
      <c r="AG149" s="711">
        <v>0</v>
      </c>
      <c r="AH149" s="711">
        <v>1</v>
      </c>
      <c r="AI149" s="735">
        <v>22628.68</v>
      </c>
    </row>
    <row r="150" spans="1:35" x14ac:dyDescent="0.2">
      <c r="A150" s="710" t="s">
        <v>706</v>
      </c>
      <c r="B150" s="755">
        <v>1</v>
      </c>
      <c r="C150" s="757">
        <v>691.26</v>
      </c>
      <c r="D150" s="757">
        <v>1100</v>
      </c>
      <c r="E150" s="757">
        <v>0</v>
      </c>
      <c r="F150" s="757">
        <v>0</v>
      </c>
      <c r="G150" s="757">
        <v>0</v>
      </c>
      <c r="H150" s="757">
        <v>0</v>
      </c>
      <c r="I150" s="757">
        <v>0</v>
      </c>
      <c r="J150" s="757">
        <v>0</v>
      </c>
      <c r="K150" s="752">
        <f t="shared" si="93"/>
        <v>1791.26</v>
      </c>
      <c r="L150" s="757">
        <v>1000</v>
      </c>
      <c r="M150" s="757">
        <v>0</v>
      </c>
      <c r="N150" s="752">
        <f t="shared" si="94"/>
        <v>1000</v>
      </c>
      <c r="O150" s="752">
        <f t="shared" si="95"/>
        <v>22495.119999999999</v>
      </c>
      <c r="P150" s="753">
        <f t="shared" si="96"/>
        <v>22495.119999999999</v>
      </c>
      <c r="Q150" s="755">
        <v>1</v>
      </c>
      <c r="R150" s="756">
        <v>0</v>
      </c>
      <c r="S150" s="756">
        <v>0</v>
      </c>
      <c r="T150" s="756">
        <v>0</v>
      </c>
      <c r="U150" s="756">
        <v>0</v>
      </c>
      <c r="V150" s="756">
        <v>0</v>
      </c>
      <c r="W150" s="756">
        <v>0</v>
      </c>
      <c r="X150" s="756">
        <v>0</v>
      </c>
      <c r="Y150" s="756">
        <v>0</v>
      </c>
      <c r="Z150" s="753">
        <f t="shared" si="97"/>
        <v>0</v>
      </c>
      <c r="AA150" s="756">
        <v>0</v>
      </c>
      <c r="AB150" s="756">
        <v>0</v>
      </c>
      <c r="AC150" s="753">
        <f t="shared" si="98"/>
        <v>0</v>
      </c>
      <c r="AD150" s="753">
        <f t="shared" si="99"/>
        <v>0</v>
      </c>
      <c r="AE150" s="753">
        <f t="shared" si="100"/>
        <v>0</v>
      </c>
      <c r="AF150" s="735"/>
      <c r="AG150" s="711">
        <v>22495.119999999999</v>
      </c>
      <c r="AH150" s="711">
        <v>1</v>
      </c>
      <c r="AI150" s="735">
        <v>22495.119999999999</v>
      </c>
    </row>
    <row r="151" spans="1:35" x14ac:dyDescent="0.2">
      <c r="A151" s="710" t="s">
        <v>706</v>
      </c>
      <c r="B151" s="755">
        <v>1</v>
      </c>
      <c r="C151" s="757">
        <v>691.26</v>
      </c>
      <c r="D151" s="757">
        <v>1100</v>
      </c>
      <c r="E151" s="757">
        <v>0</v>
      </c>
      <c r="F151" s="757">
        <v>0</v>
      </c>
      <c r="G151" s="757">
        <v>0</v>
      </c>
      <c r="H151" s="757">
        <v>0</v>
      </c>
      <c r="I151" s="757">
        <v>0</v>
      </c>
      <c r="J151" s="757">
        <v>0</v>
      </c>
      <c r="K151" s="752">
        <f t="shared" si="93"/>
        <v>1791.26</v>
      </c>
      <c r="L151" s="757">
        <v>1000</v>
      </c>
      <c r="M151" s="757">
        <v>0</v>
      </c>
      <c r="N151" s="752">
        <f t="shared" si="94"/>
        <v>1000</v>
      </c>
      <c r="O151" s="752">
        <f t="shared" si="95"/>
        <v>22495.119999999999</v>
      </c>
      <c r="P151" s="753">
        <f t="shared" si="96"/>
        <v>22495.119999999999</v>
      </c>
      <c r="Q151" s="755">
        <v>1</v>
      </c>
      <c r="R151" s="757">
        <v>691.26</v>
      </c>
      <c r="S151" s="757">
        <v>1100</v>
      </c>
      <c r="T151" s="757">
        <v>0</v>
      </c>
      <c r="U151" s="757">
        <v>0</v>
      </c>
      <c r="V151" s="757">
        <v>0</v>
      </c>
      <c r="W151" s="757">
        <v>0</v>
      </c>
      <c r="X151" s="757">
        <v>0</v>
      </c>
      <c r="Y151" s="757">
        <v>0</v>
      </c>
      <c r="Z151" s="752">
        <f t="shared" si="97"/>
        <v>1791.26</v>
      </c>
      <c r="AA151" s="757">
        <v>1000</v>
      </c>
      <c r="AB151" s="757">
        <v>0</v>
      </c>
      <c r="AC151" s="752">
        <f t="shared" si="98"/>
        <v>1000</v>
      </c>
      <c r="AD151" s="752">
        <f t="shared" si="99"/>
        <v>22495.119999999999</v>
      </c>
      <c r="AE151" s="753">
        <f t="shared" si="100"/>
        <v>22495.119999999999</v>
      </c>
      <c r="AF151" s="735">
        <v>0</v>
      </c>
      <c r="AG151" s="711">
        <v>0</v>
      </c>
      <c r="AH151" s="711">
        <v>1</v>
      </c>
      <c r="AI151" s="735">
        <v>22495.119999999999</v>
      </c>
    </row>
    <row r="152" spans="1:35" x14ac:dyDescent="0.2">
      <c r="A152" s="710" t="s">
        <v>706</v>
      </c>
      <c r="B152" s="755">
        <v>1</v>
      </c>
      <c r="C152" s="757">
        <v>691.26</v>
      </c>
      <c r="D152" s="757">
        <v>1190</v>
      </c>
      <c r="E152" s="757">
        <v>0</v>
      </c>
      <c r="F152" s="757">
        <v>0</v>
      </c>
      <c r="G152" s="757">
        <v>0</v>
      </c>
      <c r="H152" s="757">
        <v>0</v>
      </c>
      <c r="I152" s="757">
        <v>0</v>
      </c>
      <c r="J152" s="757">
        <v>0</v>
      </c>
      <c r="K152" s="752">
        <f t="shared" si="93"/>
        <v>1881.26</v>
      </c>
      <c r="L152" s="757">
        <v>1000</v>
      </c>
      <c r="M152" s="757">
        <v>0</v>
      </c>
      <c r="N152" s="752">
        <f t="shared" si="94"/>
        <v>1000</v>
      </c>
      <c r="O152" s="752">
        <f t="shared" si="95"/>
        <v>23575.119999999999</v>
      </c>
      <c r="P152" s="753">
        <f t="shared" si="96"/>
        <v>23575.119999999999</v>
      </c>
      <c r="Q152" s="755">
        <v>1</v>
      </c>
      <c r="R152" s="757">
        <v>691.26</v>
      </c>
      <c r="S152" s="757">
        <v>1190</v>
      </c>
      <c r="T152" s="757">
        <v>0</v>
      </c>
      <c r="U152" s="757">
        <v>0</v>
      </c>
      <c r="V152" s="757">
        <v>0</v>
      </c>
      <c r="W152" s="757">
        <v>0</v>
      </c>
      <c r="X152" s="757">
        <v>0</v>
      </c>
      <c r="Y152" s="757">
        <v>0</v>
      </c>
      <c r="Z152" s="752">
        <f t="shared" si="97"/>
        <v>1881.26</v>
      </c>
      <c r="AA152" s="757">
        <v>1000</v>
      </c>
      <c r="AB152" s="757">
        <v>0</v>
      </c>
      <c r="AC152" s="752">
        <f t="shared" si="98"/>
        <v>1000</v>
      </c>
      <c r="AD152" s="752">
        <f t="shared" si="99"/>
        <v>23575.119999999999</v>
      </c>
      <c r="AE152" s="753">
        <f t="shared" si="100"/>
        <v>23575.119999999999</v>
      </c>
      <c r="AF152" s="735">
        <v>0</v>
      </c>
      <c r="AG152" s="711">
        <v>0</v>
      </c>
      <c r="AH152" s="711">
        <v>1</v>
      </c>
      <c r="AI152" s="735">
        <v>23575.119999999999</v>
      </c>
    </row>
    <row r="153" spans="1:35" x14ac:dyDescent="0.2">
      <c r="A153" s="710" t="s">
        <v>706</v>
      </c>
      <c r="B153" s="755">
        <v>1</v>
      </c>
      <c r="C153" s="757">
        <v>691.26</v>
      </c>
      <c r="D153" s="757">
        <v>1190</v>
      </c>
      <c r="E153" s="757">
        <v>0</v>
      </c>
      <c r="F153" s="757">
        <v>0</v>
      </c>
      <c r="G153" s="757">
        <v>0</v>
      </c>
      <c r="H153" s="757">
        <v>0</v>
      </c>
      <c r="I153" s="757">
        <v>0</v>
      </c>
      <c r="J153" s="757">
        <v>0</v>
      </c>
      <c r="K153" s="752">
        <f t="shared" si="93"/>
        <v>1881.26</v>
      </c>
      <c r="L153" s="757">
        <v>1000</v>
      </c>
      <c r="M153" s="757">
        <v>0</v>
      </c>
      <c r="N153" s="752">
        <f t="shared" si="94"/>
        <v>1000</v>
      </c>
      <c r="O153" s="752">
        <f t="shared" si="95"/>
        <v>23575.119999999999</v>
      </c>
      <c r="P153" s="753">
        <f t="shared" si="96"/>
        <v>23575.119999999999</v>
      </c>
      <c r="Q153" s="755">
        <v>1</v>
      </c>
      <c r="R153" s="757">
        <v>691.26</v>
      </c>
      <c r="S153" s="757">
        <v>1190</v>
      </c>
      <c r="T153" s="757">
        <v>0</v>
      </c>
      <c r="U153" s="757">
        <v>0</v>
      </c>
      <c r="V153" s="757">
        <v>0</v>
      </c>
      <c r="W153" s="757">
        <v>0</v>
      </c>
      <c r="X153" s="757">
        <v>0</v>
      </c>
      <c r="Y153" s="757">
        <v>0</v>
      </c>
      <c r="Z153" s="752">
        <f t="shared" si="97"/>
        <v>1881.26</v>
      </c>
      <c r="AA153" s="757">
        <v>1000</v>
      </c>
      <c r="AB153" s="757">
        <v>0</v>
      </c>
      <c r="AC153" s="752">
        <f t="shared" si="98"/>
        <v>1000</v>
      </c>
      <c r="AD153" s="752">
        <f t="shared" si="99"/>
        <v>23575.119999999999</v>
      </c>
      <c r="AE153" s="753">
        <f t="shared" si="100"/>
        <v>23575.119999999999</v>
      </c>
      <c r="AF153" s="735">
        <v>0</v>
      </c>
      <c r="AG153" s="711">
        <v>0</v>
      </c>
      <c r="AH153" s="711">
        <v>1</v>
      </c>
      <c r="AI153" s="735">
        <v>23575.119999999999</v>
      </c>
    </row>
    <row r="154" spans="1:35" x14ac:dyDescent="0.2">
      <c r="A154" s="857"/>
      <c r="B154" s="720"/>
      <c r="C154" s="754"/>
      <c r="D154" s="754"/>
      <c r="E154" s="754"/>
      <c r="F154" s="754"/>
      <c r="G154" s="754"/>
      <c r="H154" s="754"/>
      <c r="I154" s="754"/>
      <c r="J154" s="754"/>
      <c r="K154" s="754"/>
      <c r="L154" s="754"/>
      <c r="M154" s="754"/>
      <c r="N154" s="754"/>
      <c r="O154" s="754"/>
      <c r="P154" s="754"/>
      <c r="Q154" s="720"/>
      <c r="R154" s="754"/>
      <c r="S154" s="754"/>
      <c r="T154" s="754"/>
      <c r="U154" s="754"/>
      <c r="V154" s="754"/>
      <c r="W154" s="754"/>
      <c r="X154" s="754"/>
      <c r="Y154" s="754"/>
      <c r="Z154" s="754"/>
      <c r="AA154" s="754"/>
      <c r="AB154" s="754"/>
      <c r="AC154" s="754"/>
      <c r="AD154" s="754"/>
      <c r="AE154" s="754"/>
      <c r="AF154" s="735"/>
      <c r="AG154" s="711"/>
      <c r="AH154" s="711"/>
      <c r="AI154" s="735"/>
    </row>
    <row r="155" spans="1:35" x14ac:dyDescent="0.2">
      <c r="A155" s="709" t="s">
        <v>389</v>
      </c>
      <c r="B155" s="755"/>
      <c r="C155" s="756"/>
      <c r="D155" s="756"/>
      <c r="E155" s="757"/>
      <c r="F155" s="757"/>
      <c r="G155" s="757"/>
      <c r="H155" s="757"/>
      <c r="I155" s="757"/>
      <c r="J155" s="757"/>
      <c r="K155" s="756"/>
      <c r="L155" s="756"/>
      <c r="M155" s="757"/>
      <c r="N155" s="757"/>
      <c r="O155" s="756"/>
      <c r="P155" s="757"/>
      <c r="Q155" s="755"/>
      <c r="R155" s="756"/>
      <c r="S155" s="756"/>
      <c r="T155" s="757"/>
      <c r="U155" s="757"/>
      <c r="V155" s="757"/>
      <c r="W155" s="757"/>
      <c r="X155" s="757"/>
      <c r="Y155" s="757"/>
      <c r="Z155" s="756"/>
      <c r="AA155" s="756"/>
      <c r="AB155" s="757"/>
      <c r="AC155" s="757"/>
      <c r="AD155" s="756"/>
      <c r="AE155" s="757"/>
      <c r="AF155" s="735"/>
      <c r="AG155" s="711"/>
      <c r="AH155" s="711"/>
      <c r="AI155" s="735"/>
    </row>
    <row r="156" spans="1:35" x14ac:dyDescent="0.2">
      <c r="A156" s="710" t="s">
        <v>707</v>
      </c>
      <c r="B156" s="755">
        <v>1</v>
      </c>
      <c r="C156" s="757">
        <v>574.92999999999995</v>
      </c>
      <c r="D156" s="757">
        <v>950</v>
      </c>
      <c r="E156" s="757">
        <v>0</v>
      </c>
      <c r="F156" s="757">
        <v>0</v>
      </c>
      <c r="G156" s="757">
        <v>0</v>
      </c>
      <c r="H156" s="757">
        <v>0</v>
      </c>
      <c r="I156" s="757">
        <v>0</v>
      </c>
      <c r="J156" s="757">
        <v>0</v>
      </c>
      <c r="K156" s="752">
        <f t="shared" ref="K156:K167" si="101">SUM(C156,D156,E156,F156,G156,H156,I156,J156)</f>
        <v>1524.9299999999998</v>
      </c>
      <c r="L156" s="757">
        <v>1000</v>
      </c>
      <c r="M156" s="757">
        <v>0</v>
      </c>
      <c r="N156" s="752">
        <f t="shared" ref="N156:N167" si="102">SUM(L156,M156)</f>
        <v>1000</v>
      </c>
      <c r="O156" s="752">
        <f t="shared" ref="O156:O167" si="103">SUM(K156*12+N156)</f>
        <v>19299.159999999996</v>
      </c>
      <c r="P156" s="753">
        <f t="shared" ref="P156:P167" si="104">SUM(B156*O156)</f>
        <v>19299.159999999996</v>
      </c>
      <c r="Q156" s="755">
        <v>1</v>
      </c>
      <c r="R156" s="757">
        <v>574.92999999999995</v>
      </c>
      <c r="S156" s="757">
        <v>950</v>
      </c>
      <c r="T156" s="757">
        <v>0</v>
      </c>
      <c r="U156" s="757">
        <v>0</v>
      </c>
      <c r="V156" s="757">
        <v>0</v>
      </c>
      <c r="W156" s="757">
        <v>0</v>
      </c>
      <c r="X156" s="757">
        <v>0</v>
      </c>
      <c r="Y156" s="757">
        <v>0</v>
      </c>
      <c r="Z156" s="752">
        <f t="shared" ref="Z156:Z167" si="105">SUM(R156,S156,T156,U156,V156,W156,X156,Y156)</f>
        <v>1524.9299999999998</v>
      </c>
      <c r="AA156" s="757">
        <v>1000</v>
      </c>
      <c r="AB156" s="757">
        <v>0</v>
      </c>
      <c r="AC156" s="752">
        <f t="shared" ref="AC156:AC167" si="106">SUM(AA156,AB156)</f>
        <v>1000</v>
      </c>
      <c r="AD156" s="752">
        <f t="shared" ref="AD156:AD167" si="107">SUM(Z156*12+AC156)</f>
        <v>19299.159999999996</v>
      </c>
      <c r="AE156" s="753">
        <f t="shared" ref="AE156:AE167" si="108">SUM(Q156*AD156)</f>
        <v>19299.159999999996</v>
      </c>
      <c r="AF156" s="735">
        <v>0</v>
      </c>
      <c r="AG156" s="711">
        <v>0</v>
      </c>
      <c r="AH156" s="711">
        <v>1</v>
      </c>
      <c r="AI156" s="735">
        <v>19299.16</v>
      </c>
    </row>
    <row r="157" spans="1:35" x14ac:dyDescent="0.2">
      <c r="A157" s="710" t="s">
        <v>707</v>
      </c>
      <c r="B157" s="755">
        <v>1</v>
      </c>
      <c r="C157" s="757">
        <v>574.92999999999995</v>
      </c>
      <c r="D157" s="757">
        <v>950</v>
      </c>
      <c r="E157" s="757">
        <v>0</v>
      </c>
      <c r="F157" s="757">
        <v>0</v>
      </c>
      <c r="G157" s="757">
        <v>0</v>
      </c>
      <c r="H157" s="757">
        <v>0</v>
      </c>
      <c r="I157" s="757">
        <v>0</v>
      </c>
      <c r="J157" s="757">
        <v>0</v>
      </c>
      <c r="K157" s="752">
        <f t="shared" si="101"/>
        <v>1524.9299999999998</v>
      </c>
      <c r="L157" s="757">
        <v>1000</v>
      </c>
      <c r="M157" s="757">
        <v>0</v>
      </c>
      <c r="N157" s="752">
        <f t="shared" si="102"/>
        <v>1000</v>
      </c>
      <c r="O157" s="752">
        <f t="shared" si="103"/>
        <v>19299.159999999996</v>
      </c>
      <c r="P157" s="753">
        <f t="shared" si="104"/>
        <v>19299.159999999996</v>
      </c>
      <c r="Q157" s="755">
        <v>1</v>
      </c>
      <c r="R157" s="757">
        <v>574.92999999999995</v>
      </c>
      <c r="S157" s="757">
        <v>950</v>
      </c>
      <c r="T157" s="757">
        <v>0</v>
      </c>
      <c r="U157" s="757">
        <v>0</v>
      </c>
      <c r="V157" s="757">
        <v>0</v>
      </c>
      <c r="W157" s="757">
        <v>0</v>
      </c>
      <c r="X157" s="757">
        <v>0</v>
      </c>
      <c r="Y157" s="757">
        <v>0</v>
      </c>
      <c r="Z157" s="752">
        <f t="shared" si="105"/>
        <v>1524.9299999999998</v>
      </c>
      <c r="AA157" s="757">
        <v>1000</v>
      </c>
      <c r="AB157" s="757">
        <v>0</v>
      </c>
      <c r="AC157" s="752">
        <f t="shared" si="106"/>
        <v>1000</v>
      </c>
      <c r="AD157" s="752">
        <f t="shared" si="107"/>
        <v>19299.159999999996</v>
      </c>
      <c r="AE157" s="753">
        <f t="shared" si="108"/>
        <v>19299.159999999996</v>
      </c>
      <c r="AF157" s="735">
        <v>0</v>
      </c>
      <c r="AG157" s="711">
        <v>0</v>
      </c>
      <c r="AH157" s="711">
        <v>1</v>
      </c>
      <c r="AI157" s="735">
        <v>19299.16</v>
      </c>
    </row>
    <row r="158" spans="1:35" x14ac:dyDescent="0.2">
      <c r="A158" s="710" t="s">
        <v>707</v>
      </c>
      <c r="B158" s="755">
        <v>1</v>
      </c>
      <c r="C158" s="757">
        <v>574.92999999999995</v>
      </c>
      <c r="D158" s="757">
        <v>950</v>
      </c>
      <c r="E158" s="757">
        <v>0</v>
      </c>
      <c r="F158" s="757">
        <v>0</v>
      </c>
      <c r="G158" s="757">
        <v>0</v>
      </c>
      <c r="H158" s="757">
        <v>0</v>
      </c>
      <c r="I158" s="757">
        <v>0</v>
      </c>
      <c r="J158" s="757">
        <v>0</v>
      </c>
      <c r="K158" s="752">
        <f t="shared" si="101"/>
        <v>1524.9299999999998</v>
      </c>
      <c r="L158" s="757">
        <v>1000</v>
      </c>
      <c r="M158" s="757">
        <v>0</v>
      </c>
      <c r="N158" s="752">
        <f t="shared" si="102"/>
        <v>1000</v>
      </c>
      <c r="O158" s="752">
        <f t="shared" si="103"/>
        <v>19299.159999999996</v>
      </c>
      <c r="P158" s="753">
        <f t="shared" si="104"/>
        <v>19299.159999999996</v>
      </c>
      <c r="Q158" s="755">
        <v>1</v>
      </c>
      <c r="R158" s="757">
        <v>574.92999999999995</v>
      </c>
      <c r="S158" s="757">
        <v>950</v>
      </c>
      <c r="T158" s="757">
        <v>0</v>
      </c>
      <c r="U158" s="757">
        <v>0</v>
      </c>
      <c r="V158" s="757">
        <v>0</v>
      </c>
      <c r="W158" s="757">
        <v>0</v>
      </c>
      <c r="X158" s="757">
        <v>0</v>
      </c>
      <c r="Y158" s="757">
        <v>0</v>
      </c>
      <c r="Z158" s="752">
        <f t="shared" si="105"/>
        <v>1524.9299999999998</v>
      </c>
      <c r="AA158" s="757">
        <v>1000</v>
      </c>
      <c r="AB158" s="757">
        <v>0</v>
      </c>
      <c r="AC158" s="752">
        <f t="shared" si="106"/>
        <v>1000</v>
      </c>
      <c r="AD158" s="752">
        <f t="shared" si="107"/>
        <v>19299.159999999996</v>
      </c>
      <c r="AE158" s="753">
        <f t="shared" si="108"/>
        <v>19299.159999999996</v>
      </c>
      <c r="AF158" s="735">
        <v>0</v>
      </c>
      <c r="AG158" s="711">
        <v>0</v>
      </c>
      <c r="AH158" s="711">
        <v>1</v>
      </c>
      <c r="AI158" s="735">
        <v>19299.16</v>
      </c>
    </row>
    <row r="159" spans="1:35" x14ac:dyDescent="0.2">
      <c r="A159" s="710" t="s">
        <v>707</v>
      </c>
      <c r="B159" s="755">
        <v>1</v>
      </c>
      <c r="C159" s="757">
        <v>574.92999999999995</v>
      </c>
      <c r="D159" s="757">
        <v>950</v>
      </c>
      <c r="E159" s="757">
        <v>0</v>
      </c>
      <c r="F159" s="757">
        <v>0</v>
      </c>
      <c r="G159" s="757">
        <v>0</v>
      </c>
      <c r="H159" s="757">
        <v>0</v>
      </c>
      <c r="I159" s="757">
        <v>0</v>
      </c>
      <c r="J159" s="757">
        <v>0</v>
      </c>
      <c r="K159" s="752">
        <f t="shared" si="101"/>
        <v>1524.9299999999998</v>
      </c>
      <c r="L159" s="757">
        <v>1000</v>
      </c>
      <c r="M159" s="757">
        <v>0</v>
      </c>
      <c r="N159" s="752">
        <f t="shared" si="102"/>
        <v>1000</v>
      </c>
      <c r="O159" s="752">
        <f t="shared" si="103"/>
        <v>19299.159999999996</v>
      </c>
      <c r="P159" s="753">
        <f t="shared" si="104"/>
        <v>19299.159999999996</v>
      </c>
      <c r="Q159" s="755">
        <v>1</v>
      </c>
      <c r="R159" s="757">
        <v>574.92999999999995</v>
      </c>
      <c r="S159" s="757">
        <v>950</v>
      </c>
      <c r="T159" s="757">
        <v>0</v>
      </c>
      <c r="U159" s="757">
        <v>0</v>
      </c>
      <c r="V159" s="757">
        <v>0</v>
      </c>
      <c r="W159" s="757">
        <v>0</v>
      </c>
      <c r="X159" s="757">
        <v>0</v>
      </c>
      <c r="Y159" s="757">
        <v>0</v>
      </c>
      <c r="Z159" s="752">
        <f t="shared" si="105"/>
        <v>1524.9299999999998</v>
      </c>
      <c r="AA159" s="757">
        <v>1000</v>
      </c>
      <c r="AB159" s="757">
        <v>0</v>
      </c>
      <c r="AC159" s="752">
        <f t="shared" si="106"/>
        <v>1000</v>
      </c>
      <c r="AD159" s="752">
        <f t="shared" si="107"/>
        <v>19299.159999999996</v>
      </c>
      <c r="AE159" s="753">
        <f t="shared" si="108"/>
        <v>19299.159999999996</v>
      </c>
      <c r="AF159" s="735">
        <v>0</v>
      </c>
      <c r="AG159" s="711">
        <v>0</v>
      </c>
      <c r="AH159" s="711">
        <v>1</v>
      </c>
      <c r="AI159" s="735">
        <v>19299.16</v>
      </c>
    </row>
    <row r="160" spans="1:35" x14ac:dyDescent="0.2">
      <c r="A160" s="710" t="s">
        <v>707</v>
      </c>
      <c r="B160" s="755">
        <v>1</v>
      </c>
      <c r="C160" s="757">
        <v>574.92999999999995</v>
      </c>
      <c r="D160" s="757">
        <v>950</v>
      </c>
      <c r="E160" s="757">
        <v>0</v>
      </c>
      <c r="F160" s="757">
        <v>0</v>
      </c>
      <c r="G160" s="757">
        <v>0</v>
      </c>
      <c r="H160" s="757">
        <v>0</v>
      </c>
      <c r="I160" s="757">
        <v>0</v>
      </c>
      <c r="J160" s="757">
        <v>0</v>
      </c>
      <c r="K160" s="752">
        <f t="shared" si="101"/>
        <v>1524.9299999999998</v>
      </c>
      <c r="L160" s="757">
        <v>1000</v>
      </c>
      <c r="M160" s="757">
        <v>0</v>
      </c>
      <c r="N160" s="752">
        <f t="shared" si="102"/>
        <v>1000</v>
      </c>
      <c r="O160" s="752">
        <f t="shared" si="103"/>
        <v>19299.159999999996</v>
      </c>
      <c r="P160" s="753">
        <f t="shared" si="104"/>
        <v>19299.159999999996</v>
      </c>
      <c r="Q160" s="755">
        <v>1</v>
      </c>
      <c r="R160" s="757">
        <v>574.92999999999995</v>
      </c>
      <c r="S160" s="757">
        <v>950</v>
      </c>
      <c r="T160" s="757">
        <v>0</v>
      </c>
      <c r="U160" s="757">
        <v>0</v>
      </c>
      <c r="V160" s="757">
        <v>0</v>
      </c>
      <c r="W160" s="757">
        <v>0</v>
      </c>
      <c r="X160" s="757">
        <v>0</v>
      </c>
      <c r="Y160" s="757">
        <v>0</v>
      </c>
      <c r="Z160" s="752">
        <f t="shared" si="105"/>
        <v>1524.9299999999998</v>
      </c>
      <c r="AA160" s="757">
        <v>1000</v>
      </c>
      <c r="AB160" s="757">
        <v>0</v>
      </c>
      <c r="AC160" s="752">
        <f t="shared" si="106"/>
        <v>1000</v>
      </c>
      <c r="AD160" s="752">
        <f t="shared" si="107"/>
        <v>19299.159999999996</v>
      </c>
      <c r="AE160" s="753">
        <f t="shared" si="108"/>
        <v>19299.159999999996</v>
      </c>
      <c r="AF160" s="735">
        <v>0</v>
      </c>
      <c r="AG160" s="711">
        <v>0</v>
      </c>
      <c r="AH160" s="711">
        <v>1</v>
      </c>
      <c r="AI160" s="735">
        <v>19299.16</v>
      </c>
    </row>
    <row r="161" spans="1:35" x14ac:dyDescent="0.2">
      <c r="A161" s="710" t="s">
        <v>707</v>
      </c>
      <c r="B161" s="755">
        <v>1</v>
      </c>
      <c r="C161" s="757">
        <v>574.92999999999995</v>
      </c>
      <c r="D161" s="757">
        <v>950</v>
      </c>
      <c r="E161" s="757">
        <v>0</v>
      </c>
      <c r="F161" s="757">
        <v>0</v>
      </c>
      <c r="G161" s="757">
        <v>0</v>
      </c>
      <c r="H161" s="757">
        <v>0</v>
      </c>
      <c r="I161" s="757">
        <v>0</v>
      </c>
      <c r="J161" s="757">
        <v>0</v>
      </c>
      <c r="K161" s="752">
        <f t="shared" si="101"/>
        <v>1524.9299999999998</v>
      </c>
      <c r="L161" s="757">
        <v>1000</v>
      </c>
      <c r="M161" s="757">
        <v>0</v>
      </c>
      <c r="N161" s="752">
        <f t="shared" si="102"/>
        <v>1000</v>
      </c>
      <c r="O161" s="752">
        <f t="shared" si="103"/>
        <v>19299.159999999996</v>
      </c>
      <c r="P161" s="753">
        <f t="shared" si="104"/>
        <v>19299.159999999996</v>
      </c>
      <c r="Q161" s="755">
        <v>1</v>
      </c>
      <c r="R161" s="757">
        <v>574.92999999999995</v>
      </c>
      <c r="S161" s="757">
        <v>950</v>
      </c>
      <c r="T161" s="757">
        <v>0</v>
      </c>
      <c r="U161" s="757">
        <v>0</v>
      </c>
      <c r="V161" s="757">
        <v>0</v>
      </c>
      <c r="W161" s="757">
        <v>0</v>
      </c>
      <c r="X161" s="757">
        <v>0</v>
      </c>
      <c r="Y161" s="757">
        <v>0</v>
      </c>
      <c r="Z161" s="752">
        <f t="shared" si="105"/>
        <v>1524.9299999999998</v>
      </c>
      <c r="AA161" s="757">
        <v>1000</v>
      </c>
      <c r="AB161" s="757">
        <v>0</v>
      </c>
      <c r="AC161" s="752">
        <f t="shared" si="106"/>
        <v>1000</v>
      </c>
      <c r="AD161" s="752">
        <f t="shared" si="107"/>
        <v>19299.159999999996</v>
      </c>
      <c r="AE161" s="753">
        <f t="shared" si="108"/>
        <v>19299.159999999996</v>
      </c>
      <c r="AF161" s="735">
        <v>0</v>
      </c>
      <c r="AG161" s="711">
        <v>0</v>
      </c>
      <c r="AH161" s="711">
        <v>1</v>
      </c>
      <c r="AI161" s="735">
        <v>19299.16</v>
      </c>
    </row>
    <row r="162" spans="1:35" x14ac:dyDescent="0.2">
      <c r="A162" s="710" t="s">
        <v>707</v>
      </c>
      <c r="B162" s="755">
        <v>1</v>
      </c>
      <c r="C162" s="757">
        <v>574.92999999999995</v>
      </c>
      <c r="D162" s="757">
        <v>950</v>
      </c>
      <c r="E162" s="757">
        <v>0</v>
      </c>
      <c r="F162" s="757">
        <v>0</v>
      </c>
      <c r="G162" s="757">
        <v>0</v>
      </c>
      <c r="H162" s="757">
        <v>0</v>
      </c>
      <c r="I162" s="757">
        <v>0</v>
      </c>
      <c r="J162" s="757">
        <v>0</v>
      </c>
      <c r="K162" s="752">
        <f t="shared" si="101"/>
        <v>1524.9299999999998</v>
      </c>
      <c r="L162" s="757">
        <v>1000</v>
      </c>
      <c r="M162" s="757">
        <v>0</v>
      </c>
      <c r="N162" s="752">
        <f t="shared" si="102"/>
        <v>1000</v>
      </c>
      <c r="O162" s="752">
        <f t="shared" si="103"/>
        <v>19299.159999999996</v>
      </c>
      <c r="P162" s="753">
        <f t="shared" si="104"/>
        <v>19299.159999999996</v>
      </c>
      <c r="Q162" s="755">
        <v>1</v>
      </c>
      <c r="R162" s="757">
        <v>574.92999999999995</v>
      </c>
      <c r="S162" s="757">
        <v>950</v>
      </c>
      <c r="T162" s="757">
        <v>0</v>
      </c>
      <c r="U162" s="757">
        <v>0</v>
      </c>
      <c r="V162" s="757">
        <v>0</v>
      </c>
      <c r="W162" s="757">
        <v>0</v>
      </c>
      <c r="X162" s="757">
        <v>0</v>
      </c>
      <c r="Y162" s="757">
        <v>0</v>
      </c>
      <c r="Z162" s="752">
        <f t="shared" si="105"/>
        <v>1524.9299999999998</v>
      </c>
      <c r="AA162" s="757">
        <v>1000</v>
      </c>
      <c r="AB162" s="757">
        <v>0</v>
      </c>
      <c r="AC162" s="752">
        <f t="shared" si="106"/>
        <v>1000</v>
      </c>
      <c r="AD162" s="752">
        <f t="shared" si="107"/>
        <v>19299.159999999996</v>
      </c>
      <c r="AE162" s="753">
        <f t="shared" si="108"/>
        <v>19299.159999999996</v>
      </c>
      <c r="AF162" s="735">
        <v>0</v>
      </c>
      <c r="AG162" s="711">
        <v>0</v>
      </c>
      <c r="AH162" s="711">
        <v>1</v>
      </c>
      <c r="AI162" s="735">
        <v>19299.16</v>
      </c>
    </row>
    <row r="163" spans="1:35" x14ac:dyDescent="0.2">
      <c r="A163" s="710" t="s">
        <v>707</v>
      </c>
      <c r="B163" s="755">
        <v>1</v>
      </c>
      <c r="C163" s="757">
        <v>574.92999999999995</v>
      </c>
      <c r="D163" s="757">
        <v>950</v>
      </c>
      <c r="E163" s="757">
        <v>0</v>
      </c>
      <c r="F163" s="757">
        <v>0</v>
      </c>
      <c r="G163" s="757">
        <v>0</v>
      </c>
      <c r="H163" s="757">
        <v>0</v>
      </c>
      <c r="I163" s="757">
        <v>0</v>
      </c>
      <c r="J163" s="757">
        <v>0</v>
      </c>
      <c r="K163" s="752">
        <f t="shared" si="101"/>
        <v>1524.9299999999998</v>
      </c>
      <c r="L163" s="757">
        <v>1000</v>
      </c>
      <c r="M163" s="757">
        <v>0</v>
      </c>
      <c r="N163" s="752">
        <f t="shared" si="102"/>
        <v>1000</v>
      </c>
      <c r="O163" s="752">
        <f t="shared" si="103"/>
        <v>19299.159999999996</v>
      </c>
      <c r="P163" s="753">
        <f t="shared" si="104"/>
        <v>19299.159999999996</v>
      </c>
      <c r="Q163" s="755">
        <v>1</v>
      </c>
      <c r="R163" s="757">
        <v>574.92999999999995</v>
      </c>
      <c r="S163" s="757">
        <v>950</v>
      </c>
      <c r="T163" s="757">
        <v>0</v>
      </c>
      <c r="U163" s="757">
        <v>0</v>
      </c>
      <c r="V163" s="757">
        <v>0</v>
      </c>
      <c r="W163" s="757">
        <v>0</v>
      </c>
      <c r="X163" s="757">
        <v>0</v>
      </c>
      <c r="Y163" s="757">
        <v>0</v>
      </c>
      <c r="Z163" s="752">
        <f t="shared" si="105"/>
        <v>1524.9299999999998</v>
      </c>
      <c r="AA163" s="757">
        <v>1000</v>
      </c>
      <c r="AB163" s="757">
        <v>0</v>
      </c>
      <c r="AC163" s="752">
        <f t="shared" si="106"/>
        <v>1000</v>
      </c>
      <c r="AD163" s="752">
        <f t="shared" si="107"/>
        <v>19299.159999999996</v>
      </c>
      <c r="AE163" s="753">
        <f t="shared" si="108"/>
        <v>19299.159999999996</v>
      </c>
      <c r="AF163" s="735">
        <v>0</v>
      </c>
      <c r="AG163" s="711">
        <v>0</v>
      </c>
      <c r="AH163" s="711">
        <v>1</v>
      </c>
      <c r="AI163" s="735">
        <v>19299.16</v>
      </c>
    </row>
    <row r="164" spans="1:35" x14ac:dyDescent="0.2">
      <c r="A164" s="710" t="s">
        <v>708</v>
      </c>
      <c r="B164" s="755">
        <v>1</v>
      </c>
      <c r="C164" s="757">
        <v>567.16999999999996</v>
      </c>
      <c r="D164" s="757">
        <v>950</v>
      </c>
      <c r="E164" s="757">
        <v>0</v>
      </c>
      <c r="F164" s="757">
        <v>0</v>
      </c>
      <c r="G164" s="757">
        <v>0</v>
      </c>
      <c r="H164" s="757">
        <v>0</v>
      </c>
      <c r="I164" s="757">
        <v>0</v>
      </c>
      <c r="J164" s="757">
        <v>0</v>
      </c>
      <c r="K164" s="752">
        <f t="shared" si="101"/>
        <v>1517.17</v>
      </c>
      <c r="L164" s="757">
        <v>1000</v>
      </c>
      <c r="M164" s="757">
        <v>0</v>
      </c>
      <c r="N164" s="752">
        <f t="shared" si="102"/>
        <v>1000</v>
      </c>
      <c r="O164" s="752">
        <f t="shared" si="103"/>
        <v>19206.04</v>
      </c>
      <c r="P164" s="753">
        <f t="shared" si="104"/>
        <v>19206.04</v>
      </c>
      <c r="Q164" s="755">
        <v>1</v>
      </c>
      <c r="R164" s="757">
        <v>567.16999999999996</v>
      </c>
      <c r="S164" s="757">
        <v>950</v>
      </c>
      <c r="T164" s="757">
        <v>0</v>
      </c>
      <c r="U164" s="757">
        <v>0</v>
      </c>
      <c r="V164" s="757">
        <v>0</v>
      </c>
      <c r="W164" s="757">
        <v>0</v>
      </c>
      <c r="X164" s="757">
        <v>0</v>
      </c>
      <c r="Y164" s="757">
        <v>0</v>
      </c>
      <c r="Z164" s="752">
        <f t="shared" si="105"/>
        <v>1517.17</v>
      </c>
      <c r="AA164" s="757">
        <v>1000</v>
      </c>
      <c r="AB164" s="757">
        <v>0</v>
      </c>
      <c r="AC164" s="752">
        <f t="shared" si="106"/>
        <v>1000</v>
      </c>
      <c r="AD164" s="752">
        <f t="shared" si="107"/>
        <v>19206.04</v>
      </c>
      <c r="AE164" s="753">
        <f t="shared" si="108"/>
        <v>19206.04</v>
      </c>
      <c r="AF164" s="735">
        <v>0</v>
      </c>
      <c r="AG164" s="711">
        <v>0</v>
      </c>
      <c r="AH164" s="711">
        <v>1</v>
      </c>
      <c r="AI164" s="735">
        <v>19206.04</v>
      </c>
    </row>
    <row r="165" spans="1:35" x14ac:dyDescent="0.2">
      <c r="A165" s="710" t="s">
        <v>708</v>
      </c>
      <c r="B165" s="755">
        <v>1</v>
      </c>
      <c r="C165" s="757">
        <v>567.16999999999996</v>
      </c>
      <c r="D165" s="757">
        <v>950</v>
      </c>
      <c r="E165" s="757">
        <v>0</v>
      </c>
      <c r="F165" s="757">
        <v>0</v>
      </c>
      <c r="G165" s="757">
        <v>0</v>
      </c>
      <c r="H165" s="757">
        <v>0</v>
      </c>
      <c r="I165" s="757">
        <v>0</v>
      </c>
      <c r="J165" s="757">
        <v>0</v>
      </c>
      <c r="K165" s="752">
        <f t="shared" si="101"/>
        <v>1517.17</v>
      </c>
      <c r="L165" s="757">
        <v>1000</v>
      </c>
      <c r="M165" s="757">
        <v>0</v>
      </c>
      <c r="N165" s="752">
        <f t="shared" si="102"/>
        <v>1000</v>
      </c>
      <c r="O165" s="752">
        <f t="shared" si="103"/>
        <v>19206.04</v>
      </c>
      <c r="P165" s="753">
        <f t="shared" si="104"/>
        <v>19206.04</v>
      </c>
      <c r="Q165" s="755">
        <v>1</v>
      </c>
      <c r="R165" s="757">
        <v>567.16999999999996</v>
      </c>
      <c r="S165" s="757">
        <v>950</v>
      </c>
      <c r="T165" s="757">
        <v>0</v>
      </c>
      <c r="U165" s="757">
        <v>0</v>
      </c>
      <c r="V165" s="757">
        <v>0</v>
      </c>
      <c r="W165" s="757">
        <v>0</v>
      </c>
      <c r="X165" s="757">
        <v>0</v>
      </c>
      <c r="Y165" s="757">
        <v>0</v>
      </c>
      <c r="Z165" s="752">
        <f t="shared" si="105"/>
        <v>1517.17</v>
      </c>
      <c r="AA165" s="757">
        <v>1000</v>
      </c>
      <c r="AB165" s="757">
        <v>0</v>
      </c>
      <c r="AC165" s="752">
        <f t="shared" si="106"/>
        <v>1000</v>
      </c>
      <c r="AD165" s="752">
        <f t="shared" si="107"/>
        <v>19206.04</v>
      </c>
      <c r="AE165" s="753">
        <f t="shared" si="108"/>
        <v>19206.04</v>
      </c>
      <c r="AF165" s="735">
        <v>0</v>
      </c>
      <c r="AG165" s="711">
        <v>0</v>
      </c>
      <c r="AH165" s="711">
        <v>1</v>
      </c>
      <c r="AI165" s="735">
        <v>19206.04</v>
      </c>
    </row>
    <row r="166" spans="1:35" x14ac:dyDescent="0.2">
      <c r="A166" s="710" t="s">
        <v>708</v>
      </c>
      <c r="B166" s="755">
        <v>1</v>
      </c>
      <c r="C166" s="757">
        <v>567.16999999999996</v>
      </c>
      <c r="D166" s="757">
        <v>950</v>
      </c>
      <c r="E166" s="757">
        <v>0</v>
      </c>
      <c r="F166" s="757">
        <v>0</v>
      </c>
      <c r="G166" s="757">
        <v>0</v>
      </c>
      <c r="H166" s="757">
        <v>0</v>
      </c>
      <c r="I166" s="757">
        <v>0</v>
      </c>
      <c r="J166" s="757">
        <v>0</v>
      </c>
      <c r="K166" s="752">
        <f t="shared" si="101"/>
        <v>1517.17</v>
      </c>
      <c r="L166" s="757">
        <v>1000</v>
      </c>
      <c r="M166" s="757">
        <v>0</v>
      </c>
      <c r="N166" s="752">
        <f t="shared" si="102"/>
        <v>1000</v>
      </c>
      <c r="O166" s="752">
        <f t="shared" si="103"/>
        <v>19206.04</v>
      </c>
      <c r="P166" s="753">
        <f t="shared" si="104"/>
        <v>19206.04</v>
      </c>
      <c r="Q166" s="755">
        <v>1</v>
      </c>
      <c r="R166" s="757">
        <v>567.16999999999996</v>
      </c>
      <c r="S166" s="757">
        <v>950</v>
      </c>
      <c r="T166" s="757">
        <v>0</v>
      </c>
      <c r="U166" s="757">
        <v>0</v>
      </c>
      <c r="V166" s="757">
        <v>0</v>
      </c>
      <c r="W166" s="757">
        <v>0</v>
      </c>
      <c r="X166" s="757">
        <v>0</v>
      </c>
      <c r="Y166" s="757">
        <v>0</v>
      </c>
      <c r="Z166" s="752">
        <f t="shared" si="105"/>
        <v>1517.17</v>
      </c>
      <c r="AA166" s="757">
        <v>1000</v>
      </c>
      <c r="AB166" s="757">
        <v>0</v>
      </c>
      <c r="AC166" s="752">
        <f t="shared" si="106"/>
        <v>1000</v>
      </c>
      <c r="AD166" s="752">
        <f t="shared" si="107"/>
        <v>19206.04</v>
      </c>
      <c r="AE166" s="753">
        <f t="shared" si="108"/>
        <v>19206.04</v>
      </c>
      <c r="AF166" s="735">
        <v>0</v>
      </c>
      <c r="AG166" s="711">
        <v>0</v>
      </c>
      <c r="AH166" s="711">
        <v>1</v>
      </c>
      <c r="AI166" s="735">
        <v>19206.04</v>
      </c>
    </row>
    <row r="167" spans="1:35" x14ac:dyDescent="0.2">
      <c r="A167" s="710" t="s">
        <v>708</v>
      </c>
      <c r="B167" s="755">
        <v>1</v>
      </c>
      <c r="C167" s="757">
        <v>567.16999999999996</v>
      </c>
      <c r="D167" s="757">
        <v>950</v>
      </c>
      <c r="E167" s="757">
        <v>0</v>
      </c>
      <c r="F167" s="757">
        <v>0</v>
      </c>
      <c r="G167" s="757">
        <v>0</v>
      </c>
      <c r="H167" s="757">
        <v>0</v>
      </c>
      <c r="I167" s="757">
        <v>0</v>
      </c>
      <c r="J167" s="757">
        <v>0</v>
      </c>
      <c r="K167" s="752">
        <f t="shared" si="101"/>
        <v>1517.17</v>
      </c>
      <c r="L167" s="757">
        <v>1000</v>
      </c>
      <c r="M167" s="757">
        <v>0</v>
      </c>
      <c r="N167" s="752">
        <f t="shared" si="102"/>
        <v>1000</v>
      </c>
      <c r="O167" s="752">
        <f t="shared" si="103"/>
        <v>19206.04</v>
      </c>
      <c r="P167" s="753">
        <f t="shared" si="104"/>
        <v>19206.04</v>
      </c>
      <c r="Q167" s="755">
        <v>1</v>
      </c>
      <c r="R167" s="757">
        <v>567.16999999999996</v>
      </c>
      <c r="S167" s="757">
        <v>950</v>
      </c>
      <c r="T167" s="757">
        <v>0</v>
      </c>
      <c r="U167" s="757">
        <v>0</v>
      </c>
      <c r="V167" s="757">
        <v>0</v>
      </c>
      <c r="W167" s="757">
        <v>0</v>
      </c>
      <c r="X167" s="757">
        <v>0</v>
      </c>
      <c r="Y167" s="757">
        <v>0</v>
      </c>
      <c r="Z167" s="752">
        <f t="shared" si="105"/>
        <v>1517.17</v>
      </c>
      <c r="AA167" s="757">
        <v>1000</v>
      </c>
      <c r="AB167" s="757">
        <v>0</v>
      </c>
      <c r="AC167" s="752">
        <f t="shared" si="106"/>
        <v>1000</v>
      </c>
      <c r="AD167" s="752">
        <f t="shared" si="107"/>
        <v>19206.04</v>
      </c>
      <c r="AE167" s="753">
        <f t="shared" si="108"/>
        <v>19206.04</v>
      </c>
      <c r="AF167" s="735">
        <v>0</v>
      </c>
      <c r="AG167" s="711">
        <v>0</v>
      </c>
      <c r="AH167" s="711">
        <v>1</v>
      </c>
      <c r="AI167" s="735">
        <v>19206.04</v>
      </c>
    </row>
    <row r="168" spans="1:35" x14ac:dyDescent="0.2">
      <c r="A168" s="704"/>
      <c r="B168" s="711"/>
      <c r="C168" s="735"/>
      <c r="D168" s="735"/>
      <c r="E168" s="735"/>
      <c r="F168" s="735"/>
      <c r="G168" s="735"/>
      <c r="H168" s="735"/>
      <c r="I168" s="735"/>
      <c r="J168" s="735"/>
      <c r="K168" s="735"/>
      <c r="L168" s="735"/>
      <c r="M168" s="735"/>
      <c r="N168" s="735"/>
      <c r="O168" s="735"/>
      <c r="P168" s="735"/>
      <c r="Q168" s="711"/>
      <c r="R168" s="735"/>
      <c r="S168" s="735"/>
      <c r="T168" s="735"/>
      <c r="U168" s="735"/>
      <c r="V168" s="735"/>
      <c r="W168" s="735"/>
      <c r="X168" s="735"/>
      <c r="Y168" s="735"/>
      <c r="Z168" s="735"/>
      <c r="AA168" s="735"/>
      <c r="AB168" s="735"/>
      <c r="AC168" s="735"/>
      <c r="AD168" s="735"/>
      <c r="AE168" s="735"/>
      <c r="AF168" s="735"/>
      <c r="AG168" s="711"/>
      <c r="AH168" s="711"/>
      <c r="AI168" s="735"/>
    </row>
    <row r="169" spans="1:35" x14ac:dyDescent="0.2">
      <c r="A169" s="704"/>
      <c r="B169" s="711"/>
      <c r="C169" s="735"/>
      <c r="D169" s="735"/>
      <c r="E169" s="735"/>
      <c r="F169" s="735"/>
      <c r="G169" s="735"/>
      <c r="H169" s="735"/>
      <c r="I169" s="735"/>
      <c r="J169" s="735"/>
      <c r="K169" s="735"/>
      <c r="L169" s="735"/>
      <c r="M169" s="735"/>
      <c r="N169" s="735"/>
      <c r="O169" s="735"/>
      <c r="P169" s="735"/>
      <c r="Q169" s="711"/>
      <c r="R169" s="735"/>
      <c r="S169" s="735"/>
      <c r="T169" s="735"/>
      <c r="U169" s="735"/>
      <c r="V169" s="735"/>
      <c r="W169" s="735"/>
      <c r="X169" s="735"/>
      <c r="Y169" s="735"/>
      <c r="Z169" s="735"/>
      <c r="AA169" s="735"/>
      <c r="AB169" s="735"/>
      <c r="AC169" s="735"/>
      <c r="AD169" s="735"/>
      <c r="AE169" s="735"/>
      <c r="AF169" s="735"/>
      <c r="AG169" s="711"/>
      <c r="AH169" s="711"/>
      <c r="AI169" s="735"/>
    </row>
    <row r="170" spans="1:35" x14ac:dyDescent="0.2">
      <c r="A170" s="706" t="s">
        <v>169</v>
      </c>
      <c r="B170" s="743">
        <f t="shared" ref="B170:L170" si="109">SUM(B140:B169)</f>
        <v>24</v>
      </c>
      <c r="C170" s="742">
        <f t="shared" si="109"/>
        <v>16739.400000000001</v>
      </c>
      <c r="D170" s="742">
        <f t="shared" si="109"/>
        <v>29942</v>
      </c>
      <c r="E170" s="742">
        <f t="shared" si="109"/>
        <v>0</v>
      </c>
      <c r="F170" s="742">
        <f t="shared" si="109"/>
        <v>0</v>
      </c>
      <c r="G170" s="742">
        <f t="shared" si="109"/>
        <v>0</v>
      </c>
      <c r="H170" s="742">
        <f t="shared" si="109"/>
        <v>0</v>
      </c>
      <c r="I170" s="742">
        <f t="shared" si="109"/>
        <v>0</v>
      </c>
      <c r="J170" s="742">
        <f t="shared" si="109"/>
        <v>0</v>
      </c>
      <c r="K170" s="742">
        <f t="shared" si="109"/>
        <v>46681.399999999987</v>
      </c>
      <c r="L170" s="742">
        <f t="shared" si="109"/>
        <v>24000</v>
      </c>
      <c r="M170" s="742"/>
      <c r="N170" s="742"/>
      <c r="O170" s="742">
        <f>SUM(O140:O169)</f>
        <v>584176.79999999993</v>
      </c>
      <c r="P170" s="742">
        <f>SUM(P140:P169)</f>
        <v>584176.79999999993</v>
      </c>
      <c r="Q170" s="743">
        <f>SUM(Q140:Q169)</f>
        <v>24</v>
      </c>
      <c r="R170" s="742">
        <f>SUM(R140:R169)</f>
        <v>16048.140000000003</v>
      </c>
      <c r="S170" s="742">
        <f>SUM(S140:S169)</f>
        <v>28842</v>
      </c>
      <c r="T170" s="742"/>
      <c r="U170" s="742"/>
      <c r="V170" s="742"/>
      <c r="W170" s="742"/>
      <c r="X170" s="742"/>
      <c r="Y170" s="742"/>
      <c r="Z170" s="742">
        <f>SUM(Z140:Z169)</f>
        <v>44890.139999999985</v>
      </c>
      <c r="AA170" s="742">
        <f>SUM(AA140:AA169)</f>
        <v>23000</v>
      </c>
      <c r="AB170" s="742"/>
      <c r="AC170" s="742"/>
      <c r="AD170" s="742">
        <f>SUM(AD140:AD169)</f>
        <v>561681.67999999982</v>
      </c>
      <c r="AE170" s="742">
        <f>SUM(AE140:AE169)</f>
        <v>561681.67999999982</v>
      </c>
      <c r="AF170" s="742"/>
      <c r="AG170" s="743">
        <f>SUM(AG140:AG169)</f>
        <v>22495.119999999999</v>
      </c>
      <c r="AH170" s="743">
        <f>SUM(AH140:AH169)</f>
        <v>24</v>
      </c>
      <c r="AI170" s="742">
        <f>SUM(AI140:AI169)</f>
        <v>584176.79999999993</v>
      </c>
    </row>
    <row r="171" spans="1:35" x14ac:dyDescent="0.2">
      <c r="B171" s="17"/>
      <c r="C171" s="17"/>
      <c r="D171" s="17"/>
      <c r="E171" s="17"/>
      <c r="F171" s="17"/>
      <c r="G171" s="17"/>
      <c r="H171" s="17"/>
      <c r="I171" s="17"/>
      <c r="J171" s="17"/>
      <c r="K171" s="17"/>
      <c r="L171" s="17"/>
      <c r="M171" s="17"/>
      <c r="N171" s="17"/>
      <c r="O171" s="17"/>
      <c r="P171" s="17"/>
      <c r="R171" s="17"/>
      <c r="S171" s="17"/>
      <c r="T171" s="17"/>
      <c r="U171" s="17"/>
      <c r="V171" s="17"/>
      <c r="W171" s="17"/>
      <c r="X171" s="17"/>
      <c r="Y171" s="17"/>
      <c r="Z171" s="17"/>
      <c r="AA171" s="17"/>
      <c r="AB171" s="17"/>
      <c r="AC171" s="17"/>
      <c r="AD171" s="17"/>
      <c r="AE171" s="17"/>
      <c r="AF171" s="17"/>
      <c r="AG171" s="17"/>
      <c r="AH171" s="17"/>
      <c r="AI171" s="17"/>
    </row>
    <row r="172" spans="1:35" x14ac:dyDescent="0.2">
      <c r="B172" s="17"/>
      <c r="C172" s="17"/>
      <c r="D172" s="17"/>
      <c r="E172" s="17"/>
      <c r="F172" s="17"/>
      <c r="G172" s="17"/>
      <c r="H172" s="17"/>
      <c r="I172" s="17"/>
      <c r="J172" s="17"/>
      <c r="K172" s="17"/>
      <c r="L172" s="17"/>
      <c r="M172" s="17"/>
      <c r="N172" s="17"/>
      <c r="O172" s="17"/>
      <c r="P172" s="17"/>
      <c r="R172" s="17"/>
      <c r="S172" s="17"/>
      <c r="T172" s="17"/>
      <c r="U172" s="17"/>
      <c r="V172" s="17"/>
      <c r="W172" s="17"/>
      <c r="X172" s="17"/>
      <c r="Y172" s="17"/>
      <c r="Z172" s="17"/>
      <c r="AA172" s="17"/>
      <c r="AB172" s="17"/>
      <c r="AC172" s="17"/>
      <c r="AD172" s="17"/>
      <c r="AE172" s="17"/>
      <c r="AF172" s="17"/>
      <c r="AG172" s="17"/>
      <c r="AH172" s="17"/>
      <c r="AI172" s="17"/>
    </row>
    <row r="173" spans="1:35" ht="24" x14ac:dyDescent="0.2">
      <c r="A173" s="706" t="s">
        <v>426</v>
      </c>
      <c r="B173" s="743"/>
      <c r="C173" s="742"/>
      <c r="D173" s="742"/>
      <c r="E173" s="742"/>
      <c r="F173" s="742"/>
      <c r="G173" s="742"/>
      <c r="H173" s="742"/>
      <c r="I173" s="742"/>
      <c r="J173" s="742"/>
      <c r="K173" s="742"/>
      <c r="L173" s="742"/>
      <c r="M173" s="742"/>
      <c r="N173" s="742"/>
      <c r="O173" s="742"/>
      <c r="P173" s="742"/>
      <c r="Q173" s="712"/>
      <c r="R173" s="742"/>
      <c r="S173" s="742"/>
      <c r="T173" s="742"/>
      <c r="U173" s="742"/>
      <c r="V173" s="742"/>
      <c r="W173" s="742"/>
      <c r="X173" s="742"/>
      <c r="Y173" s="742"/>
      <c r="Z173" s="742"/>
      <c r="AA173" s="742"/>
      <c r="AB173" s="742"/>
      <c r="AC173" s="742"/>
      <c r="AD173" s="742"/>
      <c r="AE173" s="742"/>
      <c r="AF173" s="742"/>
      <c r="AG173" s="743"/>
      <c r="AH173" s="743"/>
      <c r="AI173" s="742"/>
    </row>
    <row r="174" spans="1:35" x14ac:dyDescent="0.2">
      <c r="A174" s="1485" t="s">
        <v>644</v>
      </c>
      <c r="B174" s="1487" t="s">
        <v>645</v>
      </c>
      <c r="C174" s="1487"/>
      <c r="D174" s="1487"/>
      <c r="E174" s="1487"/>
      <c r="F174" s="1487"/>
      <c r="G174" s="1487"/>
      <c r="H174" s="1487"/>
      <c r="I174" s="1487"/>
      <c r="J174" s="1487"/>
      <c r="K174" s="1487"/>
      <c r="L174" s="1487"/>
      <c r="M174" s="1487"/>
      <c r="N174" s="1487"/>
      <c r="O174" s="1487"/>
      <c r="P174" s="1487"/>
      <c r="Q174" s="1487" t="s">
        <v>646</v>
      </c>
      <c r="R174" s="1487"/>
      <c r="S174" s="1487"/>
      <c r="T174" s="1487"/>
      <c r="U174" s="1487"/>
      <c r="V174" s="1487"/>
      <c r="W174" s="1487"/>
      <c r="X174" s="1487"/>
      <c r="Y174" s="1487"/>
      <c r="Z174" s="1487"/>
      <c r="AA174" s="1487"/>
      <c r="AB174" s="1487"/>
      <c r="AC174" s="1487"/>
      <c r="AD174" s="1487"/>
      <c r="AE174" s="1487"/>
      <c r="AF174" s="1487" t="s">
        <v>647</v>
      </c>
      <c r="AG174" s="1487"/>
      <c r="AH174" s="1487" t="s">
        <v>648</v>
      </c>
      <c r="AI174" s="1487"/>
    </row>
    <row r="175" spans="1:35" ht="120" customHeight="1" x14ac:dyDescent="0.2">
      <c r="A175" s="1485"/>
      <c r="B175" s="691" t="s">
        <v>649</v>
      </c>
      <c r="C175" s="692" t="s">
        <v>650</v>
      </c>
      <c r="D175" s="692" t="s">
        <v>684</v>
      </c>
      <c r="E175" s="692" t="s">
        <v>652</v>
      </c>
      <c r="F175" s="692" t="s">
        <v>653</v>
      </c>
      <c r="G175" s="692" t="s">
        <v>654</v>
      </c>
      <c r="H175" s="692" t="s">
        <v>655</v>
      </c>
      <c r="I175" s="692" t="s">
        <v>656</v>
      </c>
      <c r="J175" s="692" t="s">
        <v>657</v>
      </c>
      <c r="K175" s="692" t="s">
        <v>658</v>
      </c>
      <c r="L175" s="692" t="s">
        <v>659</v>
      </c>
      <c r="M175" s="692" t="s">
        <v>660</v>
      </c>
      <c r="N175" s="692" t="s">
        <v>661</v>
      </c>
      <c r="O175" s="692" t="s">
        <v>662</v>
      </c>
      <c r="P175" s="692" t="s">
        <v>685</v>
      </c>
      <c r="Q175" s="691" t="s">
        <v>649</v>
      </c>
      <c r="R175" s="692" t="s">
        <v>650</v>
      </c>
      <c r="S175" s="692" t="s">
        <v>651</v>
      </c>
      <c r="T175" s="692" t="s">
        <v>652</v>
      </c>
      <c r="U175" s="692" t="s">
        <v>653</v>
      </c>
      <c r="V175" s="692" t="s">
        <v>654</v>
      </c>
      <c r="W175" s="692" t="s">
        <v>655</v>
      </c>
      <c r="X175" s="692" t="s">
        <v>656</v>
      </c>
      <c r="Y175" s="692" t="s">
        <v>657</v>
      </c>
      <c r="Z175" s="692" t="s">
        <v>658</v>
      </c>
      <c r="AA175" s="692" t="s">
        <v>659</v>
      </c>
      <c r="AB175" s="692" t="s">
        <v>660</v>
      </c>
      <c r="AC175" s="692" t="s">
        <v>661</v>
      </c>
      <c r="AD175" s="692" t="s">
        <v>662</v>
      </c>
      <c r="AE175" s="692" t="s">
        <v>686</v>
      </c>
      <c r="AF175" s="692" t="s">
        <v>664</v>
      </c>
      <c r="AG175" s="691" t="s">
        <v>665</v>
      </c>
      <c r="AH175" s="691" t="s">
        <v>649</v>
      </c>
      <c r="AI175" s="692" t="s">
        <v>687</v>
      </c>
    </row>
    <row r="176" spans="1:35" x14ac:dyDescent="0.2">
      <c r="A176" s="1486"/>
      <c r="B176" s="555" t="s">
        <v>667</v>
      </c>
      <c r="C176" s="733" t="s">
        <v>668</v>
      </c>
      <c r="D176" s="733" t="s">
        <v>669</v>
      </c>
      <c r="E176" s="733" t="s">
        <v>670</v>
      </c>
      <c r="F176" s="734" t="s">
        <v>671</v>
      </c>
      <c r="G176" s="734" t="s">
        <v>672</v>
      </c>
      <c r="H176" s="734" t="s">
        <v>673</v>
      </c>
      <c r="I176" s="734" t="s">
        <v>674</v>
      </c>
      <c r="J176" s="734" t="s">
        <v>675</v>
      </c>
      <c r="K176" s="734" t="s">
        <v>676</v>
      </c>
      <c r="L176" s="734" t="s">
        <v>677</v>
      </c>
      <c r="M176" s="734" t="s">
        <v>678</v>
      </c>
      <c r="N176" s="734" t="s">
        <v>679</v>
      </c>
      <c r="O176" s="734" t="s">
        <v>680</v>
      </c>
      <c r="P176" s="734" t="s">
        <v>681</v>
      </c>
      <c r="Q176" s="555" t="s">
        <v>667</v>
      </c>
      <c r="R176" s="733" t="s">
        <v>668</v>
      </c>
      <c r="S176" s="733" t="s">
        <v>669</v>
      </c>
      <c r="T176" s="733" t="s">
        <v>670</v>
      </c>
      <c r="U176" s="734" t="s">
        <v>671</v>
      </c>
      <c r="V176" s="734" t="s">
        <v>672</v>
      </c>
      <c r="W176" s="734" t="s">
        <v>673</v>
      </c>
      <c r="X176" s="734" t="s">
        <v>674</v>
      </c>
      <c r="Y176" s="734" t="s">
        <v>675</v>
      </c>
      <c r="Z176" s="734" t="s">
        <v>676</v>
      </c>
      <c r="AA176" s="734" t="s">
        <v>677</v>
      </c>
      <c r="AB176" s="734" t="s">
        <v>678</v>
      </c>
      <c r="AC176" s="734" t="s">
        <v>679</v>
      </c>
      <c r="AD176" s="734" t="s">
        <v>680</v>
      </c>
      <c r="AE176" s="734" t="s">
        <v>681</v>
      </c>
      <c r="AF176" s="733"/>
      <c r="AG176" s="555"/>
      <c r="AH176" s="555"/>
      <c r="AI176" s="733"/>
    </row>
    <row r="177" spans="1:35" x14ac:dyDescent="0.2">
      <c r="A177" s="705" t="s">
        <v>688</v>
      </c>
      <c r="B177" s="711"/>
      <c r="C177" s="735"/>
      <c r="D177" s="735"/>
      <c r="E177" s="735"/>
      <c r="F177" s="735"/>
      <c r="G177" s="735"/>
      <c r="H177" s="735"/>
      <c r="I177" s="735"/>
      <c r="J177" s="735"/>
      <c r="K177" s="735"/>
      <c r="L177" s="735"/>
      <c r="M177" s="735"/>
      <c r="N177" s="735"/>
      <c r="O177" s="735"/>
      <c r="P177" s="735"/>
      <c r="Q177" s="421"/>
      <c r="R177" s="735"/>
      <c r="S177" s="735"/>
      <c r="T177" s="735"/>
      <c r="U177" s="735"/>
      <c r="V177" s="735"/>
      <c r="W177" s="735"/>
      <c r="X177" s="735"/>
      <c r="Y177" s="735"/>
      <c r="Z177" s="735"/>
      <c r="AA177" s="735"/>
      <c r="AB177" s="735"/>
      <c r="AC177" s="735"/>
      <c r="AD177" s="735"/>
      <c r="AE177" s="735"/>
      <c r="AF177" s="735"/>
      <c r="AG177" s="711"/>
      <c r="AH177" s="711"/>
      <c r="AI177" s="735"/>
    </row>
    <row r="178" spans="1:35" x14ac:dyDescent="0.2">
      <c r="A178" s="858" t="s">
        <v>709</v>
      </c>
      <c r="B178" s="711"/>
      <c r="C178" s="735"/>
      <c r="D178" s="735"/>
      <c r="E178" s="735"/>
      <c r="F178" s="735"/>
      <c r="G178" s="735"/>
      <c r="H178" s="735"/>
      <c r="I178" s="735"/>
      <c r="J178" s="735"/>
      <c r="K178" s="735"/>
      <c r="L178" s="735"/>
      <c r="M178" s="735"/>
      <c r="N178" s="735"/>
      <c r="O178" s="735"/>
      <c r="P178" s="735"/>
      <c r="Q178" s="421"/>
      <c r="R178" s="735"/>
      <c r="S178" s="735"/>
      <c r="T178" s="735"/>
      <c r="U178" s="735"/>
      <c r="V178" s="735"/>
      <c r="W178" s="735"/>
      <c r="X178" s="735"/>
      <c r="Y178" s="735"/>
      <c r="Z178" s="735"/>
      <c r="AA178" s="735"/>
      <c r="AB178" s="735"/>
      <c r="AC178" s="735"/>
      <c r="AD178" s="735"/>
      <c r="AE178" s="735"/>
      <c r="AF178" s="735"/>
      <c r="AG178" s="711"/>
      <c r="AH178" s="711"/>
      <c r="AI178" s="735"/>
    </row>
    <row r="179" spans="1:35" x14ac:dyDescent="0.2">
      <c r="A179" s="858" t="s">
        <v>710</v>
      </c>
      <c r="B179" s="711"/>
      <c r="C179" s="735"/>
      <c r="D179" s="735"/>
      <c r="E179" s="735"/>
      <c r="F179" s="735"/>
      <c r="G179" s="735"/>
      <c r="H179" s="735"/>
      <c r="I179" s="735"/>
      <c r="J179" s="735"/>
      <c r="K179" s="735"/>
      <c r="L179" s="735"/>
      <c r="M179" s="735"/>
      <c r="N179" s="735"/>
      <c r="O179" s="735"/>
      <c r="P179" s="735"/>
      <c r="Q179" s="421"/>
      <c r="R179" s="735"/>
      <c r="S179" s="735"/>
      <c r="T179" s="735"/>
      <c r="U179" s="735"/>
      <c r="V179" s="735"/>
      <c r="W179" s="735"/>
      <c r="X179" s="735"/>
      <c r="Y179" s="735"/>
      <c r="Z179" s="735"/>
      <c r="AA179" s="735"/>
      <c r="AB179" s="735"/>
      <c r="AC179" s="735"/>
      <c r="AD179" s="735"/>
      <c r="AE179" s="735"/>
      <c r="AF179" s="735"/>
      <c r="AG179" s="711"/>
      <c r="AH179" s="711"/>
      <c r="AI179" s="735"/>
    </row>
    <row r="180" spans="1:35" x14ac:dyDescent="0.2">
      <c r="A180" s="858" t="s">
        <v>711</v>
      </c>
      <c r="B180" s="711">
        <v>1</v>
      </c>
      <c r="C180" s="746">
        <v>1011.98</v>
      </c>
      <c r="D180" s="746">
        <v>3065</v>
      </c>
      <c r="E180" s="746">
        <v>0</v>
      </c>
      <c r="F180" s="746">
        <v>0</v>
      </c>
      <c r="G180" s="746">
        <v>0</v>
      </c>
      <c r="H180" s="746">
        <v>0</v>
      </c>
      <c r="I180" s="746">
        <v>0</v>
      </c>
      <c r="J180" s="746"/>
      <c r="K180" s="746">
        <v>4076.98</v>
      </c>
      <c r="L180" s="746">
        <v>1000</v>
      </c>
      <c r="M180" s="746">
        <v>0</v>
      </c>
      <c r="N180" s="746">
        <v>1000</v>
      </c>
      <c r="O180" s="746">
        <v>49923.76</v>
      </c>
      <c r="P180" s="746">
        <v>49923.76</v>
      </c>
      <c r="Q180" s="758">
        <v>1</v>
      </c>
      <c r="R180" s="746">
        <v>1011.98</v>
      </c>
      <c r="S180" s="746">
        <v>3065</v>
      </c>
      <c r="T180" s="746">
        <v>0</v>
      </c>
      <c r="U180" s="746">
        <v>0</v>
      </c>
      <c r="V180" s="746">
        <v>0</v>
      </c>
      <c r="W180" s="746">
        <v>0</v>
      </c>
      <c r="X180" s="746">
        <v>0</v>
      </c>
      <c r="Y180" s="746"/>
      <c r="Z180" s="746">
        <v>4076.98</v>
      </c>
      <c r="AA180" s="746">
        <v>1000</v>
      </c>
      <c r="AB180" s="746">
        <v>0</v>
      </c>
      <c r="AC180" s="746">
        <v>1000</v>
      </c>
      <c r="AD180" s="746">
        <v>49923.76</v>
      </c>
      <c r="AE180" s="746">
        <v>49923.76</v>
      </c>
      <c r="AF180" s="746">
        <v>0</v>
      </c>
      <c r="AG180" s="759">
        <v>0</v>
      </c>
      <c r="AH180" s="759">
        <v>1</v>
      </c>
      <c r="AI180" s="746">
        <v>49923.76</v>
      </c>
    </row>
    <row r="181" spans="1:35" x14ac:dyDescent="0.2">
      <c r="A181" s="858" t="s">
        <v>712</v>
      </c>
      <c r="B181" s="711"/>
      <c r="C181" s="746"/>
      <c r="D181" s="746"/>
      <c r="E181" s="746"/>
      <c r="F181" s="746"/>
      <c r="G181" s="746"/>
      <c r="H181" s="746"/>
      <c r="I181" s="746"/>
      <c r="J181" s="746"/>
      <c r="K181" s="746"/>
      <c r="L181" s="746"/>
      <c r="M181" s="746"/>
      <c r="N181" s="746"/>
      <c r="O181" s="746"/>
      <c r="P181" s="746"/>
      <c r="Q181" s="758"/>
      <c r="R181" s="746"/>
      <c r="S181" s="746"/>
      <c r="T181" s="746"/>
      <c r="U181" s="746"/>
      <c r="V181" s="746"/>
      <c r="W181" s="746"/>
      <c r="X181" s="746"/>
      <c r="Y181" s="746"/>
      <c r="Z181" s="746"/>
      <c r="AA181" s="746"/>
      <c r="AB181" s="746"/>
      <c r="AC181" s="746"/>
      <c r="AD181" s="746"/>
      <c r="AE181" s="746"/>
      <c r="AF181" s="746"/>
      <c r="AG181" s="759"/>
      <c r="AH181" s="759"/>
      <c r="AI181" s="746"/>
    </row>
    <row r="182" spans="1:35" x14ac:dyDescent="0.2">
      <c r="A182" s="858" t="s">
        <v>713</v>
      </c>
      <c r="B182" s="711">
        <v>5</v>
      </c>
      <c r="C182" s="746">
        <v>960.54</v>
      </c>
      <c r="D182" s="746">
        <v>2405</v>
      </c>
      <c r="E182" s="746">
        <v>0</v>
      </c>
      <c r="F182" s="746">
        <v>0</v>
      </c>
      <c r="G182" s="746">
        <v>0</v>
      </c>
      <c r="H182" s="746">
        <v>0</v>
      </c>
      <c r="I182" s="746">
        <v>0</v>
      </c>
      <c r="J182" s="746"/>
      <c r="K182" s="746">
        <v>3365.54</v>
      </c>
      <c r="L182" s="746">
        <v>1000</v>
      </c>
      <c r="M182" s="746">
        <v>0</v>
      </c>
      <c r="N182" s="746">
        <v>1000</v>
      </c>
      <c r="O182" s="746">
        <v>41386.480000000003</v>
      </c>
      <c r="P182" s="746">
        <v>206932.4</v>
      </c>
      <c r="Q182" s="758">
        <v>5</v>
      </c>
      <c r="R182" s="746">
        <v>960.54</v>
      </c>
      <c r="S182" s="746">
        <v>2405</v>
      </c>
      <c r="T182" s="746">
        <v>0</v>
      </c>
      <c r="U182" s="746">
        <v>0</v>
      </c>
      <c r="V182" s="746">
        <v>0</v>
      </c>
      <c r="W182" s="746">
        <v>0</v>
      </c>
      <c r="X182" s="746">
        <v>0</v>
      </c>
      <c r="Y182" s="746"/>
      <c r="Z182" s="746">
        <v>3365.54</v>
      </c>
      <c r="AA182" s="746">
        <v>1000</v>
      </c>
      <c r="AB182" s="746">
        <v>0</v>
      </c>
      <c r="AC182" s="746">
        <v>1000</v>
      </c>
      <c r="AD182" s="746">
        <v>41386.480000000003</v>
      </c>
      <c r="AE182" s="746">
        <v>206932.4</v>
      </c>
      <c r="AF182" s="746">
        <v>0</v>
      </c>
      <c r="AG182" s="759">
        <v>0</v>
      </c>
      <c r="AH182" s="759">
        <v>5</v>
      </c>
      <c r="AI182" s="746">
        <v>206932.4</v>
      </c>
    </row>
    <row r="183" spans="1:35" x14ac:dyDescent="0.2">
      <c r="A183" s="858" t="s">
        <v>714</v>
      </c>
      <c r="B183" s="711"/>
      <c r="C183" s="746"/>
      <c r="D183" s="746"/>
      <c r="E183" s="746"/>
      <c r="F183" s="746"/>
      <c r="G183" s="746"/>
      <c r="H183" s="746"/>
      <c r="I183" s="746"/>
      <c r="J183" s="746"/>
      <c r="K183" s="746"/>
      <c r="L183" s="746"/>
      <c r="M183" s="746"/>
      <c r="N183" s="746"/>
      <c r="O183" s="746"/>
      <c r="P183" s="746"/>
      <c r="Q183" s="758"/>
      <c r="R183" s="746"/>
      <c r="S183" s="746"/>
      <c r="T183" s="746"/>
      <c r="U183" s="746"/>
      <c r="V183" s="746"/>
      <c r="W183" s="746"/>
      <c r="X183" s="746"/>
      <c r="Y183" s="746"/>
      <c r="Z183" s="746"/>
      <c r="AA183" s="746"/>
      <c r="AB183" s="746"/>
      <c r="AC183" s="746"/>
      <c r="AD183" s="746"/>
      <c r="AE183" s="746"/>
      <c r="AF183" s="746"/>
      <c r="AG183" s="759"/>
      <c r="AH183" s="759"/>
      <c r="AI183" s="746"/>
    </row>
    <row r="184" spans="1:35" x14ac:dyDescent="0.2">
      <c r="A184" s="858" t="s">
        <v>715</v>
      </c>
      <c r="B184" s="711"/>
      <c r="C184" s="746"/>
      <c r="D184" s="746"/>
      <c r="E184" s="746"/>
      <c r="F184" s="746"/>
      <c r="G184" s="746"/>
      <c r="H184" s="746"/>
      <c r="I184" s="746"/>
      <c r="J184" s="746"/>
      <c r="K184" s="746"/>
      <c r="L184" s="746"/>
      <c r="M184" s="746"/>
      <c r="N184" s="746"/>
      <c r="O184" s="746"/>
      <c r="P184" s="746"/>
      <c r="Q184" s="758"/>
      <c r="R184" s="746"/>
      <c r="S184" s="746"/>
      <c r="T184" s="746"/>
      <c r="U184" s="746"/>
      <c r="V184" s="746"/>
      <c r="W184" s="746"/>
      <c r="X184" s="746"/>
      <c r="Y184" s="746"/>
      <c r="Z184" s="746"/>
      <c r="AA184" s="746"/>
      <c r="AB184" s="746"/>
      <c r="AC184" s="746"/>
      <c r="AD184" s="746"/>
      <c r="AE184" s="746"/>
      <c r="AF184" s="746"/>
      <c r="AG184" s="759"/>
      <c r="AH184" s="759"/>
      <c r="AI184" s="746"/>
    </row>
    <row r="185" spans="1:35" x14ac:dyDescent="0.2">
      <c r="A185" s="859" t="s">
        <v>385</v>
      </c>
      <c r="B185" s="711"/>
      <c r="C185" s="746"/>
      <c r="D185" s="746"/>
      <c r="E185" s="746"/>
      <c r="F185" s="746"/>
      <c r="G185" s="746"/>
      <c r="H185" s="746"/>
      <c r="I185" s="746"/>
      <c r="J185" s="746"/>
      <c r="K185" s="746"/>
      <c r="L185" s="746"/>
      <c r="M185" s="746"/>
      <c r="N185" s="746"/>
      <c r="O185" s="746"/>
      <c r="P185" s="746"/>
      <c r="Q185" s="758"/>
      <c r="R185" s="746"/>
      <c r="S185" s="746"/>
      <c r="T185" s="746"/>
      <c r="U185" s="746"/>
      <c r="V185" s="746"/>
      <c r="W185" s="746"/>
      <c r="X185" s="746"/>
      <c r="Y185" s="746"/>
      <c r="Z185" s="746"/>
      <c r="AA185" s="746"/>
      <c r="AB185" s="746"/>
      <c r="AC185" s="746"/>
      <c r="AD185" s="746"/>
      <c r="AE185" s="746"/>
      <c r="AF185" s="746"/>
      <c r="AG185" s="759"/>
      <c r="AH185" s="759"/>
      <c r="AI185" s="746"/>
    </row>
    <row r="186" spans="1:35" x14ac:dyDescent="0.2">
      <c r="A186" s="858" t="s">
        <v>705</v>
      </c>
      <c r="B186" s="711">
        <v>3</v>
      </c>
      <c r="C186" s="746">
        <v>719.46</v>
      </c>
      <c r="D186" s="746">
        <v>1547</v>
      </c>
      <c r="E186" s="746">
        <v>0</v>
      </c>
      <c r="F186" s="746">
        <v>0</v>
      </c>
      <c r="G186" s="746">
        <v>0</v>
      </c>
      <c r="H186" s="746">
        <v>0</v>
      </c>
      <c r="I186" s="746">
        <v>0</v>
      </c>
      <c r="J186" s="746"/>
      <c r="K186" s="746">
        <v>2266.46</v>
      </c>
      <c r="L186" s="746">
        <v>42160</v>
      </c>
      <c r="M186" s="746">
        <v>0</v>
      </c>
      <c r="N186" s="746">
        <v>1000</v>
      </c>
      <c r="O186" s="746">
        <v>28197.52</v>
      </c>
      <c r="P186" s="746">
        <v>84592.56</v>
      </c>
      <c r="Q186" s="758">
        <v>3</v>
      </c>
      <c r="R186" s="746">
        <v>719.46</v>
      </c>
      <c r="S186" s="746">
        <v>1547</v>
      </c>
      <c r="T186" s="746">
        <v>0</v>
      </c>
      <c r="U186" s="746">
        <v>0</v>
      </c>
      <c r="V186" s="746">
        <v>0</v>
      </c>
      <c r="W186" s="746">
        <v>0</v>
      </c>
      <c r="X186" s="746">
        <v>0</v>
      </c>
      <c r="Y186" s="746"/>
      <c r="Z186" s="746">
        <v>2266.46</v>
      </c>
      <c r="AA186" s="746">
        <v>42160</v>
      </c>
      <c r="AB186" s="746">
        <v>0</v>
      </c>
      <c r="AC186" s="746">
        <v>1000</v>
      </c>
      <c r="AD186" s="746">
        <v>28197.52</v>
      </c>
      <c r="AE186" s="746">
        <v>84592.56</v>
      </c>
      <c r="AF186" s="746">
        <v>0</v>
      </c>
      <c r="AG186" s="759">
        <v>0</v>
      </c>
      <c r="AH186" s="759">
        <v>3</v>
      </c>
      <c r="AI186" s="746">
        <v>84592.56</v>
      </c>
    </row>
    <row r="187" spans="1:35" x14ac:dyDescent="0.2">
      <c r="A187" s="858" t="s">
        <v>706</v>
      </c>
      <c r="B187" s="711">
        <v>3</v>
      </c>
      <c r="C187" s="746">
        <v>697.41</v>
      </c>
      <c r="D187" s="746">
        <v>1547</v>
      </c>
      <c r="E187" s="746">
        <v>0</v>
      </c>
      <c r="F187" s="746">
        <v>0</v>
      </c>
      <c r="G187" s="746">
        <v>0</v>
      </c>
      <c r="H187" s="746">
        <v>0</v>
      </c>
      <c r="I187" s="746">
        <v>0</v>
      </c>
      <c r="J187" s="746"/>
      <c r="K187" s="746">
        <v>2244.41</v>
      </c>
      <c r="L187" s="746">
        <v>50592</v>
      </c>
      <c r="M187" s="746">
        <v>0</v>
      </c>
      <c r="N187" s="746">
        <v>1000</v>
      </c>
      <c r="O187" s="746">
        <v>27932.92</v>
      </c>
      <c r="P187" s="746">
        <v>83798.759999999995</v>
      </c>
      <c r="Q187" s="758">
        <v>3</v>
      </c>
      <c r="R187" s="746">
        <v>697.41</v>
      </c>
      <c r="S187" s="746">
        <v>1547</v>
      </c>
      <c r="T187" s="746">
        <v>0</v>
      </c>
      <c r="U187" s="746">
        <v>0</v>
      </c>
      <c r="V187" s="746">
        <v>0</v>
      </c>
      <c r="W187" s="746">
        <v>0</v>
      </c>
      <c r="X187" s="746">
        <v>0</v>
      </c>
      <c r="Y187" s="746"/>
      <c r="Z187" s="746">
        <v>2244.41</v>
      </c>
      <c r="AA187" s="746">
        <v>50592</v>
      </c>
      <c r="AB187" s="746">
        <v>0</v>
      </c>
      <c r="AC187" s="746">
        <v>1000</v>
      </c>
      <c r="AD187" s="746">
        <v>27932.92</v>
      </c>
      <c r="AE187" s="746">
        <v>83798.759999999995</v>
      </c>
      <c r="AF187" s="746">
        <v>0</v>
      </c>
      <c r="AG187" s="759">
        <v>0</v>
      </c>
      <c r="AH187" s="759">
        <v>3</v>
      </c>
      <c r="AI187" s="746">
        <v>83798.759999999995</v>
      </c>
    </row>
    <row r="188" spans="1:35" x14ac:dyDescent="0.2">
      <c r="A188" s="858" t="s">
        <v>716</v>
      </c>
      <c r="B188" s="711"/>
      <c r="C188" s="746"/>
      <c r="D188" s="746"/>
      <c r="E188" s="746"/>
      <c r="F188" s="746"/>
      <c r="G188" s="746"/>
      <c r="H188" s="746"/>
      <c r="I188" s="746"/>
      <c r="J188" s="746"/>
      <c r="K188" s="746"/>
      <c r="L188" s="746"/>
      <c r="M188" s="746"/>
      <c r="N188" s="746"/>
      <c r="O188" s="746"/>
      <c r="P188" s="746"/>
      <c r="Q188" s="758"/>
      <c r="R188" s="746"/>
      <c r="S188" s="746"/>
      <c r="T188" s="746"/>
      <c r="U188" s="746"/>
      <c r="V188" s="746"/>
      <c r="W188" s="746"/>
      <c r="X188" s="746"/>
      <c r="Y188" s="746"/>
      <c r="Z188" s="746"/>
      <c r="AA188" s="746"/>
      <c r="AB188" s="746"/>
      <c r="AC188" s="746"/>
      <c r="AD188" s="746"/>
      <c r="AE188" s="746"/>
      <c r="AF188" s="746"/>
      <c r="AG188" s="759"/>
      <c r="AH188" s="759"/>
      <c r="AI188" s="746"/>
    </row>
    <row r="189" spans="1:35" x14ac:dyDescent="0.2">
      <c r="A189" s="858" t="s">
        <v>717</v>
      </c>
      <c r="B189" s="711"/>
      <c r="C189" s="746"/>
      <c r="D189" s="746"/>
      <c r="E189" s="746"/>
      <c r="F189" s="746"/>
      <c r="G189" s="746"/>
      <c r="H189" s="746"/>
      <c r="I189" s="746"/>
      <c r="J189" s="746"/>
      <c r="K189" s="746"/>
      <c r="L189" s="746"/>
      <c r="M189" s="746"/>
      <c r="N189" s="746"/>
      <c r="O189" s="746"/>
      <c r="P189" s="746"/>
      <c r="Q189" s="758"/>
      <c r="R189" s="746"/>
      <c r="S189" s="746"/>
      <c r="T189" s="746"/>
      <c r="U189" s="746"/>
      <c r="V189" s="746"/>
      <c r="W189" s="746"/>
      <c r="X189" s="746"/>
      <c r="Y189" s="746"/>
      <c r="Z189" s="746"/>
      <c r="AA189" s="746"/>
      <c r="AB189" s="746"/>
      <c r="AC189" s="746"/>
      <c r="AD189" s="746"/>
      <c r="AE189" s="746"/>
      <c r="AF189" s="746"/>
      <c r="AG189" s="759"/>
      <c r="AH189" s="759"/>
      <c r="AI189" s="746"/>
    </row>
    <row r="190" spans="1:35" x14ac:dyDescent="0.2">
      <c r="A190" s="858" t="s">
        <v>718</v>
      </c>
      <c r="B190" s="711"/>
      <c r="C190" s="746"/>
      <c r="D190" s="746"/>
      <c r="E190" s="746"/>
      <c r="F190" s="746"/>
      <c r="G190" s="746"/>
      <c r="H190" s="746"/>
      <c r="I190" s="746"/>
      <c r="J190" s="746"/>
      <c r="K190" s="746"/>
      <c r="L190" s="746"/>
      <c r="M190" s="746"/>
      <c r="N190" s="746"/>
      <c r="O190" s="746"/>
      <c r="P190" s="746"/>
      <c r="Q190" s="758"/>
      <c r="R190" s="746"/>
      <c r="S190" s="746"/>
      <c r="T190" s="746"/>
      <c r="U190" s="746"/>
      <c r="V190" s="746"/>
      <c r="W190" s="746"/>
      <c r="X190" s="746"/>
      <c r="Y190" s="746"/>
      <c r="Z190" s="746"/>
      <c r="AA190" s="746"/>
      <c r="AB190" s="746"/>
      <c r="AC190" s="746"/>
      <c r="AD190" s="746"/>
      <c r="AE190" s="746"/>
      <c r="AF190" s="746"/>
      <c r="AG190" s="759"/>
      <c r="AH190" s="759"/>
      <c r="AI190" s="746"/>
    </row>
    <row r="191" spans="1:35" x14ac:dyDescent="0.2">
      <c r="A191" s="858" t="s">
        <v>719</v>
      </c>
      <c r="B191" s="711"/>
      <c r="C191" s="746"/>
      <c r="D191" s="746"/>
      <c r="E191" s="746"/>
      <c r="F191" s="746"/>
      <c r="G191" s="746"/>
      <c r="H191" s="746"/>
      <c r="I191" s="746"/>
      <c r="J191" s="746"/>
      <c r="K191" s="746"/>
      <c r="L191" s="746"/>
      <c r="M191" s="746"/>
      <c r="N191" s="746"/>
      <c r="O191" s="746"/>
      <c r="P191" s="746"/>
      <c r="Q191" s="758"/>
      <c r="R191" s="746"/>
      <c r="S191" s="746"/>
      <c r="T191" s="746"/>
      <c r="U191" s="746"/>
      <c r="V191" s="746"/>
      <c r="W191" s="746"/>
      <c r="X191" s="746"/>
      <c r="Y191" s="746"/>
      <c r="Z191" s="746"/>
      <c r="AA191" s="746"/>
      <c r="AB191" s="746"/>
      <c r="AC191" s="746"/>
      <c r="AD191" s="746"/>
      <c r="AE191" s="746"/>
      <c r="AF191" s="746"/>
      <c r="AG191" s="759"/>
      <c r="AH191" s="759"/>
      <c r="AI191" s="746"/>
    </row>
    <row r="192" spans="1:35" x14ac:dyDescent="0.2">
      <c r="A192" s="859" t="s">
        <v>389</v>
      </c>
      <c r="B192" s="711"/>
      <c r="C192" s="746"/>
      <c r="D192" s="746"/>
      <c r="E192" s="746"/>
      <c r="F192" s="746"/>
      <c r="G192" s="746"/>
      <c r="H192" s="746"/>
      <c r="I192" s="746"/>
      <c r="J192" s="746"/>
      <c r="K192" s="746"/>
      <c r="L192" s="746"/>
      <c r="M192" s="746"/>
      <c r="N192" s="746"/>
      <c r="O192" s="746"/>
      <c r="P192" s="746"/>
      <c r="Q192" s="758"/>
      <c r="R192" s="746"/>
      <c r="S192" s="746"/>
      <c r="T192" s="746"/>
      <c r="U192" s="746"/>
      <c r="V192" s="746"/>
      <c r="W192" s="746"/>
      <c r="X192" s="746"/>
      <c r="Y192" s="746"/>
      <c r="Z192" s="746"/>
      <c r="AA192" s="746"/>
      <c r="AB192" s="746"/>
      <c r="AC192" s="746"/>
      <c r="AD192" s="746"/>
      <c r="AE192" s="746"/>
      <c r="AF192" s="746"/>
      <c r="AG192" s="759"/>
      <c r="AH192" s="759"/>
      <c r="AI192" s="746"/>
    </row>
    <row r="193" spans="1:35" ht="24" x14ac:dyDescent="0.2">
      <c r="A193" s="858" t="s">
        <v>720</v>
      </c>
      <c r="B193" s="711">
        <v>5</v>
      </c>
      <c r="C193" s="746">
        <v>599.78</v>
      </c>
      <c r="D193" s="746">
        <v>1353</v>
      </c>
      <c r="E193" s="746">
        <v>0</v>
      </c>
      <c r="F193" s="746">
        <v>0</v>
      </c>
      <c r="G193" s="746">
        <v>0</v>
      </c>
      <c r="H193" s="746">
        <v>0</v>
      </c>
      <c r="I193" s="746">
        <v>0</v>
      </c>
      <c r="J193" s="746"/>
      <c r="K193" s="746">
        <v>1952.78</v>
      </c>
      <c r="L193" s="746">
        <v>218178</v>
      </c>
      <c r="M193" s="746">
        <v>0</v>
      </c>
      <c r="N193" s="746">
        <v>1000</v>
      </c>
      <c r="O193" s="746">
        <v>24433.360000000001</v>
      </c>
      <c r="P193" s="746">
        <v>122166.8</v>
      </c>
      <c r="Q193" s="758">
        <v>5</v>
      </c>
      <c r="R193" s="746">
        <v>599.78</v>
      </c>
      <c r="S193" s="746">
        <v>1353</v>
      </c>
      <c r="T193" s="746">
        <v>0</v>
      </c>
      <c r="U193" s="746">
        <v>0</v>
      </c>
      <c r="V193" s="746">
        <v>0</v>
      </c>
      <c r="W193" s="746">
        <v>0</v>
      </c>
      <c r="X193" s="746">
        <v>0</v>
      </c>
      <c r="Y193" s="746"/>
      <c r="Z193" s="746">
        <v>1952.78</v>
      </c>
      <c r="AA193" s="746">
        <v>218178</v>
      </c>
      <c r="AB193" s="746">
        <v>0</v>
      </c>
      <c r="AC193" s="746">
        <v>1000</v>
      </c>
      <c r="AD193" s="746">
        <v>24433.360000000001</v>
      </c>
      <c r="AE193" s="746">
        <v>122166.8</v>
      </c>
      <c r="AF193" s="746">
        <v>0</v>
      </c>
      <c r="AG193" s="759">
        <v>0</v>
      </c>
      <c r="AH193" s="759">
        <v>5</v>
      </c>
      <c r="AI193" s="746">
        <v>122166.8</v>
      </c>
    </row>
    <row r="194" spans="1:35" ht="24" x14ac:dyDescent="0.2">
      <c r="A194" s="858" t="s">
        <v>721</v>
      </c>
      <c r="B194" s="711">
        <v>6</v>
      </c>
      <c r="C194" s="746">
        <v>577.36</v>
      </c>
      <c r="D194" s="746">
        <v>1353</v>
      </c>
      <c r="E194" s="746">
        <v>0</v>
      </c>
      <c r="F194" s="746">
        <v>0</v>
      </c>
      <c r="G194" s="746">
        <v>0</v>
      </c>
      <c r="H194" s="746">
        <v>0</v>
      </c>
      <c r="I194" s="746">
        <v>0</v>
      </c>
      <c r="J194" s="746"/>
      <c r="K194" s="746">
        <v>1930.36</v>
      </c>
      <c r="L194" s="746">
        <v>86428</v>
      </c>
      <c r="M194" s="746">
        <v>0</v>
      </c>
      <c r="N194" s="746">
        <v>86428</v>
      </c>
      <c r="O194" s="746">
        <v>109592.32000000001</v>
      </c>
      <c r="P194" s="746">
        <v>657533.92000000004</v>
      </c>
      <c r="Q194" s="758">
        <v>6</v>
      </c>
      <c r="R194" s="746">
        <v>577.36</v>
      </c>
      <c r="S194" s="746">
        <v>1353</v>
      </c>
      <c r="T194" s="746">
        <v>0</v>
      </c>
      <c r="U194" s="746">
        <v>0</v>
      </c>
      <c r="V194" s="746">
        <v>0</v>
      </c>
      <c r="W194" s="746">
        <v>0</v>
      </c>
      <c r="X194" s="746">
        <v>0</v>
      </c>
      <c r="Y194" s="746"/>
      <c r="Z194" s="746">
        <v>1930.36</v>
      </c>
      <c r="AA194" s="746">
        <v>86428</v>
      </c>
      <c r="AB194" s="746">
        <v>0</v>
      </c>
      <c r="AC194" s="746">
        <v>86428</v>
      </c>
      <c r="AD194" s="746">
        <v>109592.32000000001</v>
      </c>
      <c r="AE194" s="746">
        <v>657533.92000000004</v>
      </c>
      <c r="AF194" s="746">
        <v>0</v>
      </c>
      <c r="AG194" s="759">
        <v>0</v>
      </c>
      <c r="AH194" s="759">
        <v>6</v>
      </c>
      <c r="AI194" s="746">
        <v>657533.92000000004</v>
      </c>
    </row>
    <row r="195" spans="1:35" ht="24" x14ac:dyDescent="0.2">
      <c r="A195" s="858" t="s">
        <v>722</v>
      </c>
      <c r="B195" s="711"/>
      <c r="C195" s="746"/>
      <c r="D195" s="746"/>
      <c r="E195" s="746"/>
      <c r="F195" s="746"/>
      <c r="G195" s="746"/>
      <c r="H195" s="746"/>
      <c r="I195" s="746"/>
      <c r="J195" s="746"/>
      <c r="K195" s="746"/>
      <c r="L195" s="746"/>
      <c r="M195" s="746"/>
      <c r="N195" s="746"/>
      <c r="O195" s="746"/>
      <c r="P195" s="746"/>
      <c r="Q195" s="758"/>
      <c r="R195" s="746"/>
      <c r="S195" s="746"/>
      <c r="T195" s="746"/>
      <c r="U195" s="746"/>
      <c r="V195" s="746"/>
      <c r="W195" s="746"/>
      <c r="X195" s="746"/>
      <c r="Y195" s="746"/>
      <c r="Z195" s="746"/>
      <c r="AA195" s="746"/>
      <c r="AB195" s="746"/>
      <c r="AC195" s="746"/>
      <c r="AD195" s="746"/>
      <c r="AE195" s="746"/>
      <c r="AF195" s="746"/>
      <c r="AG195" s="759"/>
      <c r="AH195" s="759"/>
      <c r="AI195" s="746"/>
    </row>
    <row r="196" spans="1:35" ht="24" x14ac:dyDescent="0.2">
      <c r="A196" s="858" t="s">
        <v>723</v>
      </c>
      <c r="B196" s="711"/>
      <c r="C196" s="746"/>
      <c r="D196" s="746"/>
      <c r="E196" s="746"/>
      <c r="F196" s="746"/>
      <c r="G196" s="746"/>
      <c r="H196" s="746"/>
      <c r="I196" s="746"/>
      <c r="J196" s="746"/>
      <c r="K196" s="746"/>
      <c r="L196" s="746"/>
      <c r="M196" s="746"/>
      <c r="N196" s="746"/>
      <c r="O196" s="746"/>
      <c r="P196" s="746"/>
      <c r="Q196" s="758"/>
      <c r="R196" s="746"/>
      <c r="S196" s="746"/>
      <c r="T196" s="746"/>
      <c r="U196" s="746"/>
      <c r="V196" s="746"/>
      <c r="W196" s="746"/>
      <c r="X196" s="746"/>
      <c r="Y196" s="746"/>
      <c r="Z196" s="746"/>
      <c r="AA196" s="746"/>
      <c r="AB196" s="746"/>
      <c r="AC196" s="746"/>
      <c r="AD196" s="746"/>
      <c r="AE196" s="746"/>
      <c r="AF196" s="746"/>
      <c r="AG196" s="759"/>
      <c r="AH196" s="759"/>
      <c r="AI196" s="746"/>
    </row>
    <row r="197" spans="1:35" ht="24" x14ac:dyDescent="0.2">
      <c r="A197" s="858" t="s">
        <v>724</v>
      </c>
      <c r="B197" s="711"/>
      <c r="C197" s="746"/>
      <c r="D197" s="746"/>
      <c r="E197" s="746"/>
      <c r="F197" s="746"/>
      <c r="G197" s="746"/>
      <c r="H197" s="746"/>
      <c r="I197" s="746"/>
      <c r="J197" s="746"/>
      <c r="K197" s="746"/>
      <c r="L197" s="746"/>
      <c r="M197" s="746"/>
      <c r="N197" s="746"/>
      <c r="O197" s="746"/>
      <c r="P197" s="746"/>
      <c r="Q197" s="758"/>
      <c r="R197" s="746"/>
      <c r="S197" s="746"/>
      <c r="T197" s="746"/>
      <c r="U197" s="746"/>
      <c r="V197" s="746"/>
      <c r="W197" s="746"/>
      <c r="X197" s="746"/>
      <c r="Y197" s="746"/>
      <c r="Z197" s="746"/>
      <c r="AA197" s="746"/>
      <c r="AB197" s="746"/>
      <c r="AC197" s="746"/>
      <c r="AD197" s="746"/>
      <c r="AE197" s="746"/>
      <c r="AF197" s="746"/>
      <c r="AG197" s="759"/>
      <c r="AH197" s="759"/>
      <c r="AI197" s="746"/>
    </row>
    <row r="198" spans="1:35" ht="24" x14ac:dyDescent="0.2">
      <c r="A198" s="858" t="s">
        <v>725</v>
      </c>
      <c r="B198" s="711"/>
      <c r="C198" s="746"/>
      <c r="D198" s="746"/>
      <c r="E198" s="746"/>
      <c r="F198" s="746"/>
      <c r="G198" s="746"/>
      <c r="H198" s="746"/>
      <c r="I198" s="746"/>
      <c r="J198" s="746"/>
      <c r="K198" s="746"/>
      <c r="L198" s="746"/>
      <c r="M198" s="746"/>
      <c r="N198" s="746"/>
      <c r="O198" s="746"/>
      <c r="P198" s="746"/>
      <c r="Q198" s="758"/>
      <c r="R198" s="746"/>
      <c r="S198" s="746"/>
      <c r="T198" s="746"/>
      <c r="U198" s="746"/>
      <c r="V198" s="746"/>
      <c r="W198" s="746"/>
      <c r="X198" s="746"/>
      <c r="Y198" s="746"/>
      <c r="Z198" s="746"/>
      <c r="AA198" s="746"/>
      <c r="AB198" s="746"/>
      <c r="AC198" s="746"/>
      <c r="AD198" s="746"/>
      <c r="AE198" s="746"/>
      <c r="AF198" s="746"/>
      <c r="AG198" s="759"/>
      <c r="AH198" s="759"/>
      <c r="AI198" s="746"/>
    </row>
    <row r="199" spans="1:35" x14ac:dyDescent="0.2">
      <c r="A199" s="858" t="s">
        <v>726</v>
      </c>
      <c r="B199" s="711"/>
      <c r="C199" s="746"/>
      <c r="D199" s="746"/>
      <c r="E199" s="746"/>
      <c r="F199" s="746"/>
      <c r="G199" s="746"/>
      <c r="H199" s="746"/>
      <c r="I199" s="746"/>
      <c r="J199" s="746"/>
      <c r="K199" s="746"/>
      <c r="L199" s="746"/>
      <c r="M199" s="746"/>
      <c r="N199" s="746"/>
      <c r="O199" s="746"/>
      <c r="P199" s="746"/>
      <c r="Q199" s="758"/>
      <c r="R199" s="746"/>
      <c r="S199" s="746"/>
      <c r="T199" s="746"/>
      <c r="U199" s="746"/>
      <c r="V199" s="746"/>
      <c r="W199" s="746"/>
      <c r="X199" s="746"/>
      <c r="Y199" s="746"/>
      <c r="Z199" s="746"/>
      <c r="AA199" s="746"/>
      <c r="AB199" s="746"/>
      <c r="AC199" s="746"/>
      <c r="AD199" s="746"/>
      <c r="AE199" s="746"/>
      <c r="AF199" s="746"/>
      <c r="AG199" s="759"/>
      <c r="AH199" s="759"/>
      <c r="AI199" s="746"/>
    </row>
    <row r="200" spans="1:35" x14ac:dyDescent="0.2">
      <c r="A200" s="859" t="s">
        <v>393</v>
      </c>
      <c r="B200" s="711"/>
      <c r="C200" s="746"/>
      <c r="D200" s="746"/>
      <c r="E200" s="746"/>
      <c r="F200" s="746"/>
      <c r="G200" s="746"/>
      <c r="H200" s="746"/>
      <c r="I200" s="746"/>
      <c r="J200" s="746"/>
      <c r="K200" s="746"/>
      <c r="L200" s="746"/>
      <c r="M200" s="746"/>
      <c r="N200" s="746"/>
      <c r="O200" s="746"/>
      <c r="P200" s="746"/>
      <c r="Q200" s="758"/>
      <c r="R200" s="746"/>
      <c r="S200" s="746"/>
      <c r="T200" s="746"/>
      <c r="U200" s="746"/>
      <c r="V200" s="746"/>
      <c r="W200" s="746"/>
      <c r="X200" s="746"/>
      <c r="Y200" s="746"/>
      <c r="Z200" s="746"/>
      <c r="AA200" s="746"/>
      <c r="AB200" s="746"/>
      <c r="AC200" s="746"/>
      <c r="AD200" s="746"/>
      <c r="AE200" s="746"/>
      <c r="AF200" s="746"/>
      <c r="AG200" s="759"/>
      <c r="AH200" s="759"/>
      <c r="AI200" s="746"/>
    </row>
    <row r="201" spans="1:35" ht="24" x14ac:dyDescent="0.2">
      <c r="A201" s="858" t="s">
        <v>727</v>
      </c>
      <c r="B201" s="711"/>
      <c r="C201" s="746"/>
      <c r="D201" s="746"/>
      <c r="E201" s="746"/>
      <c r="F201" s="746"/>
      <c r="G201" s="746"/>
      <c r="H201" s="746"/>
      <c r="I201" s="746"/>
      <c r="J201" s="746"/>
      <c r="K201" s="746"/>
      <c r="L201" s="746"/>
      <c r="M201" s="746"/>
      <c r="N201" s="746"/>
      <c r="O201" s="746"/>
      <c r="P201" s="746"/>
      <c r="Q201" s="758"/>
      <c r="R201" s="746"/>
      <c r="S201" s="746"/>
      <c r="T201" s="746"/>
      <c r="U201" s="746"/>
      <c r="V201" s="746"/>
      <c r="W201" s="746"/>
      <c r="X201" s="746"/>
      <c r="Y201" s="746"/>
      <c r="Z201" s="746"/>
      <c r="AA201" s="746"/>
      <c r="AB201" s="746"/>
      <c r="AC201" s="746"/>
      <c r="AD201" s="746"/>
      <c r="AE201" s="746"/>
      <c r="AF201" s="746"/>
      <c r="AG201" s="759"/>
      <c r="AH201" s="759"/>
      <c r="AI201" s="746"/>
    </row>
    <row r="202" spans="1:35" ht="24" x14ac:dyDescent="0.2">
      <c r="A202" s="858" t="s">
        <v>728</v>
      </c>
      <c r="B202" s="711"/>
      <c r="C202" s="746"/>
      <c r="D202" s="746"/>
      <c r="E202" s="746"/>
      <c r="F202" s="746"/>
      <c r="G202" s="746"/>
      <c r="H202" s="746"/>
      <c r="I202" s="746"/>
      <c r="J202" s="746"/>
      <c r="K202" s="746"/>
      <c r="L202" s="746"/>
      <c r="M202" s="746"/>
      <c r="N202" s="746"/>
      <c r="O202" s="746"/>
      <c r="P202" s="746"/>
      <c r="Q202" s="758"/>
      <c r="R202" s="746"/>
      <c r="S202" s="746"/>
      <c r="T202" s="746"/>
      <c r="U202" s="746"/>
      <c r="V202" s="746"/>
      <c r="W202" s="746"/>
      <c r="X202" s="746"/>
      <c r="Y202" s="746"/>
      <c r="Z202" s="746"/>
      <c r="AA202" s="746"/>
      <c r="AB202" s="746"/>
      <c r="AC202" s="746"/>
      <c r="AD202" s="746"/>
      <c r="AE202" s="746"/>
      <c r="AF202" s="746"/>
      <c r="AG202" s="759"/>
      <c r="AH202" s="759"/>
      <c r="AI202" s="746"/>
    </row>
    <row r="203" spans="1:35" ht="24" x14ac:dyDescent="0.2">
      <c r="A203" s="858" t="s">
        <v>729</v>
      </c>
      <c r="B203" s="711"/>
      <c r="C203" s="746"/>
      <c r="D203" s="746"/>
      <c r="E203" s="746"/>
      <c r="F203" s="746"/>
      <c r="G203" s="746"/>
      <c r="H203" s="746"/>
      <c r="I203" s="746"/>
      <c r="J203" s="746"/>
      <c r="K203" s="746"/>
      <c r="L203" s="746"/>
      <c r="M203" s="746"/>
      <c r="N203" s="746"/>
      <c r="O203" s="746"/>
      <c r="P203" s="746"/>
      <c r="Q203" s="758"/>
      <c r="R203" s="746"/>
      <c r="S203" s="746"/>
      <c r="T203" s="746"/>
      <c r="U203" s="746"/>
      <c r="V203" s="746"/>
      <c r="W203" s="746"/>
      <c r="X203" s="746"/>
      <c r="Y203" s="746"/>
      <c r="Z203" s="746"/>
      <c r="AA203" s="746"/>
      <c r="AB203" s="746"/>
      <c r="AC203" s="746"/>
      <c r="AD203" s="746"/>
      <c r="AE203" s="746"/>
      <c r="AF203" s="746"/>
      <c r="AG203" s="759"/>
      <c r="AH203" s="759"/>
      <c r="AI203" s="746"/>
    </row>
    <row r="204" spans="1:35" ht="24" x14ac:dyDescent="0.2">
      <c r="A204" s="858" t="s">
        <v>730</v>
      </c>
      <c r="B204" s="711"/>
      <c r="C204" s="746"/>
      <c r="D204" s="746"/>
      <c r="E204" s="746"/>
      <c r="F204" s="746"/>
      <c r="G204" s="746"/>
      <c r="H204" s="746"/>
      <c r="I204" s="746"/>
      <c r="J204" s="746"/>
      <c r="K204" s="746"/>
      <c r="L204" s="746"/>
      <c r="M204" s="746"/>
      <c r="N204" s="746"/>
      <c r="O204" s="746"/>
      <c r="P204" s="746"/>
      <c r="Q204" s="758"/>
      <c r="R204" s="746"/>
      <c r="S204" s="746"/>
      <c r="T204" s="746"/>
      <c r="U204" s="746"/>
      <c r="V204" s="746"/>
      <c r="W204" s="746"/>
      <c r="X204" s="746"/>
      <c r="Y204" s="746"/>
      <c r="Z204" s="746"/>
      <c r="AA204" s="746"/>
      <c r="AB204" s="746"/>
      <c r="AC204" s="746"/>
      <c r="AD204" s="746"/>
      <c r="AE204" s="746"/>
      <c r="AF204" s="746"/>
      <c r="AG204" s="759"/>
      <c r="AH204" s="759"/>
      <c r="AI204" s="746"/>
    </row>
    <row r="205" spans="1:35" ht="24" x14ac:dyDescent="0.2">
      <c r="A205" s="858" t="s">
        <v>731</v>
      </c>
      <c r="B205" s="711"/>
      <c r="C205" s="746"/>
      <c r="D205" s="746"/>
      <c r="E205" s="746"/>
      <c r="F205" s="746"/>
      <c r="G205" s="746"/>
      <c r="H205" s="746"/>
      <c r="I205" s="746"/>
      <c r="J205" s="746"/>
      <c r="K205" s="746"/>
      <c r="L205" s="746"/>
      <c r="M205" s="746"/>
      <c r="N205" s="746"/>
      <c r="O205" s="746"/>
      <c r="P205" s="746"/>
      <c r="Q205" s="758"/>
      <c r="R205" s="746"/>
      <c r="S205" s="746"/>
      <c r="T205" s="746"/>
      <c r="U205" s="746"/>
      <c r="V205" s="746"/>
      <c r="W205" s="746"/>
      <c r="X205" s="746"/>
      <c r="Y205" s="746"/>
      <c r="Z205" s="746"/>
      <c r="AA205" s="746"/>
      <c r="AB205" s="746"/>
      <c r="AC205" s="746"/>
      <c r="AD205" s="746"/>
      <c r="AE205" s="746"/>
      <c r="AF205" s="746"/>
      <c r="AG205" s="759"/>
      <c r="AH205" s="759"/>
      <c r="AI205" s="746"/>
    </row>
    <row r="206" spans="1:35" x14ac:dyDescent="0.2">
      <c r="A206" s="706" t="s">
        <v>169</v>
      </c>
      <c r="B206" s="760">
        <f>SUM(B178:B205)</f>
        <v>23</v>
      </c>
      <c r="C206" s="761">
        <f t="shared" ref="C206:AH206" si="110">SUM(C178:C205)</f>
        <v>4566.53</v>
      </c>
      <c r="D206" s="761">
        <f t="shared" si="110"/>
        <v>11270</v>
      </c>
      <c r="E206" s="761">
        <f t="shared" si="110"/>
        <v>0</v>
      </c>
      <c r="F206" s="761">
        <f t="shared" si="110"/>
        <v>0</v>
      </c>
      <c r="G206" s="761">
        <f t="shared" si="110"/>
        <v>0</v>
      </c>
      <c r="H206" s="761">
        <f t="shared" si="110"/>
        <v>0</v>
      </c>
      <c r="I206" s="761">
        <f t="shared" si="110"/>
        <v>0</v>
      </c>
      <c r="J206" s="761">
        <f t="shared" si="110"/>
        <v>0</v>
      </c>
      <c r="K206" s="761">
        <f t="shared" si="110"/>
        <v>15836.53</v>
      </c>
      <c r="L206" s="761">
        <f t="shared" si="110"/>
        <v>399358</v>
      </c>
      <c r="M206" s="761">
        <f t="shared" si="110"/>
        <v>0</v>
      </c>
      <c r="N206" s="761">
        <f t="shared" si="110"/>
        <v>91428</v>
      </c>
      <c r="O206" s="761">
        <f t="shared" si="110"/>
        <v>281466.36</v>
      </c>
      <c r="P206" s="761">
        <f t="shared" si="110"/>
        <v>1204948.2000000002</v>
      </c>
      <c r="Q206" s="762">
        <f t="shared" si="110"/>
        <v>23</v>
      </c>
      <c r="R206" s="761">
        <f t="shared" si="110"/>
        <v>4566.53</v>
      </c>
      <c r="S206" s="761">
        <f t="shared" si="110"/>
        <v>11270</v>
      </c>
      <c r="T206" s="761">
        <f t="shared" si="110"/>
        <v>0</v>
      </c>
      <c r="U206" s="761">
        <f t="shared" si="110"/>
        <v>0</v>
      </c>
      <c r="V206" s="761">
        <f t="shared" si="110"/>
        <v>0</v>
      </c>
      <c r="W206" s="761">
        <f t="shared" si="110"/>
        <v>0</v>
      </c>
      <c r="X206" s="761">
        <f t="shared" si="110"/>
        <v>0</v>
      </c>
      <c r="Y206" s="761">
        <f t="shared" si="110"/>
        <v>0</v>
      </c>
      <c r="Z206" s="761">
        <f t="shared" si="110"/>
        <v>15836.53</v>
      </c>
      <c r="AA206" s="761">
        <f t="shared" si="110"/>
        <v>399358</v>
      </c>
      <c r="AB206" s="761">
        <f t="shared" si="110"/>
        <v>0</v>
      </c>
      <c r="AC206" s="761">
        <f t="shared" si="110"/>
        <v>91428</v>
      </c>
      <c r="AD206" s="761">
        <f t="shared" si="110"/>
        <v>281466.36</v>
      </c>
      <c r="AE206" s="761">
        <f t="shared" si="110"/>
        <v>1204948.2000000002</v>
      </c>
      <c r="AF206" s="761">
        <f t="shared" si="110"/>
        <v>0</v>
      </c>
      <c r="AG206" s="762">
        <f t="shared" si="110"/>
        <v>0</v>
      </c>
      <c r="AH206" s="762">
        <f t="shared" si="110"/>
        <v>23</v>
      </c>
      <c r="AI206" s="761">
        <f>SUM(AI178:AI205)</f>
        <v>1204948.2000000002</v>
      </c>
    </row>
    <row r="207" spans="1:35" x14ac:dyDescent="0.2">
      <c r="B207" s="17"/>
      <c r="C207" s="17"/>
      <c r="D207" s="17"/>
      <c r="E207" s="17"/>
      <c r="F207" s="17"/>
      <c r="G207" s="17"/>
      <c r="H207" s="17"/>
      <c r="I207" s="17"/>
      <c r="J207" s="17"/>
      <c r="K207" s="17"/>
      <c r="L207" s="17"/>
      <c r="M207" s="17"/>
      <c r="N207" s="17"/>
      <c r="O207" s="17"/>
      <c r="P207" s="17"/>
      <c r="R207" s="17"/>
      <c r="S207" s="17"/>
      <c r="T207" s="17"/>
      <c r="U207" s="17"/>
      <c r="V207" s="17"/>
      <c r="W207" s="17"/>
      <c r="X207" s="17"/>
      <c r="Y207" s="17"/>
      <c r="Z207" s="17"/>
      <c r="AA207" s="17"/>
      <c r="AB207" s="17"/>
      <c r="AC207" s="17"/>
      <c r="AD207" s="17"/>
      <c r="AE207" s="17"/>
      <c r="AF207" s="17"/>
      <c r="AG207" s="17"/>
      <c r="AH207" s="17"/>
      <c r="AI207" s="17"/>
    </row>
    <row r="208" spans="1:35" x14ac:dyDescent="0.2">
      <c r="B208" s="17"/>
      <c r="C208" s="17"/>
      <c r="D208" s="17"/>
      <c r="E208" s="17"/>
      <c r="F208" s="17"/>
      <c r="G208" s="17"/>
      <c r="H208" s="17"/>
      <c r="I208" s="17"/>
      <c r="J208" s="17"/>
      <c r="K208" s="17"/>
      <c r="L208" s="17"/>
      <c r="M208" s="17"/>
      <c r="N208" s="17"/>
      <c r="O208" s="17"/>
      <c r="P208" s="17"/>
      <c r="R208" s="17"/>
      <c r="S208" s="17"/>
      <c r="T208" s="17"/>
      <c r="U208" s="17"/>
      <c r="V208" s="17"/>
      <c r="W208" s="17"/>
      <c r="X208" s="17"/>
      <c r="Y208" s="17"/>
      <c r="Z208" s="17"/>
      <c r="AA208" s="17"/>
      <c r="AB208" s="17"/>
      <c r="AC208" s="17"/>
      <c r="AD208" s="17"/>
      <c r="AE208" s="17"/>
      <c r="AF208" s="17"/>
      <c r="AG208" s="17"/>
      <c r="AH208" s="17"/>
      <c r="AI208" s="17"/>
    </row>
    <row r="209" spans="1:35" ht="24" x14ac:dyDescent="0.2">
      <c r="A209" s="706" t="s">
        <v>732</v>
      </c>
      <c r="B209" s="743"/>
      <c r="C209" s="742"/>
      <c r="D209" s="742"/>
      <c r="E209" s="742"/>
      <c r="F209" s="742"/>
      <c r="G209" s="742"/>
      <c r="H209" s="742"/>
      <c r="I209" s="742"/>
      <c r="J209" s="742"/>
      <c r="K209" s="742"/>
      <c r="L209" s="742"/>
      <c r="M209" s="742"/>
      <c r="N209" s="742"/>
      <c r="O209" s="742"/>
      <c r="P209" s="742"/>
      <c r="Q209" s="712"/>
      <c r="R209" s="742"/>
      <c r="S209" s="742"/>
      <c r="T209" s="742"/>
      <c r="U209" s="742"/>
      <c r="V209" s="742"/>
      <c r="W209" s="742"/>
      <c r="X209" s="742"/>
      <c r="Y209" s="742"/>
      <c r="Z209" s="742"/>
      <c r="AA209" s="742"/>
      <c r="AB209" s="742"/>
      <c r="AC209" s="742"/>
      <c r="AD209" s="742"/>
      <c r="AE209" s="742"/>
      <c r="AF209" s="742"/>
      <c r="AG209" s="743"/>
      <c r="AH209" s="743"/>
      <c r="AI209" s="742"/>
    </row>
    <row r="210" spans="1:35" x14ac:dyDescent="0.2">
      <c r="A210" s="1485" t="s">
        <v>644</v>
      </c>
      <c r="B210" s="1487" t="s">
        <v>645</v>
      </c>
      <c r="C210" s="1487"/>
      <c r="D210" s="1487"/>
      <c r="E210" s="1487"/>
      <c r="F210" s="1487"/>
      <c r="G210" s="1487"/>
      <c r="H210" s="1487"/>
      <c r="I210" s="1487"/>
      <c r="J210" s="1487"/>
      <c r="K210" s="1487"/>
      <c r="L210" s="1487"/>
      <c r="M210" s="1487"/>
      <c r="N210" s="1487"/>
      <c r="O210" s="1487"/>
      <c r="P210" s="1487"/>
      <c r="Q210" s="1487" t="s">
        <v>646</v>
      </c>
      <c r="R210" s="1487"/>
      <c r="S210" s="1487"/>
      <c r="T210" s="1487"/>
      <c r="U210" s="1487"/>
      <c r="V210" s="1487"/>
      <c r="W210" s="1487"/>
      <c r="X210" s="1487"/>
      <c r="Y210" s="1487"/>
      <c r="Z210" s="1487"/>
      <c r="AA210" s="1487"/>
      <c r="AB210" s="1487"/>
      <c r="AC210" s="1487"/>
      <c r="AD210" s="1487"/>
      <c r="AE210" s="1487"/>
      <c r="AF210" s="1487" t="s">
        <v>647</v>
      </c>
      <c r="AG210" s="1487"/>
      <c r="AH210" s="1487" t="s">
        <v>648</v>
      </c>
      <c r="AI210" s="1487"/>
    </row>
    <row r="211" spans="1:35" ht="120" customHeight="1" x14ac:dyDescent="0.2">
      <c r="A211" s="1485"/>
      <c r="B211" s="691" t="s">
        <v>649</v>
      </c>
      <c r="C211" s="692" t="s">
        <v>650</v>
      </c>
      <c r="D211" s="692" t="s">
        <v>684</v>
      </c>
      <c r="E211" s="692" t="s">
        <v>652</v>
      </c>
      <c r="F211" s="692" t="s">
        <v>653</v>
      </c>
      <c r="G211" s="692" t="s">
        <v>654</v>
      </c>
      <c r="H211" s="692" t="s">
        <v>655</v>
      </c>
      <c r="I211" s="692" t="s">
        <v>656</v>
      </c>
      <c r="J211" s="692" t="s">
        <v>657</v>
      </c>
      <c r="K211" s="692" t="s">
        <v>658</v>
      </c>
      <c r="L211" s="692" t="s">
        <v>659</v>
      </c>
      <c r="M211" s="692" t="s">
        <v>660</v>
      </c>
      <c r="N211" s="692" t="s">
        <v>661</v>
      </c>
      <c r="O211" s="692" t="s">
        <v>662</v>
      </c>
      <c r="P211" s="692" t="s">
        <v>685</v>
      </c>
      <c r="Q211" s="691" t="s">
        <v>649</v>
      </c>
      <c r="R211" s="692" t="s">
        <v>650</v>
      </c>
      <c r="S211" s="692" t="s">
        <v>651</v>
      </c>
      <c r="T211" s="692" t="s">
        <v>652</v>
      </c>
      <c r="U211" s="692" t="s">
        <v>653</v>
      </c>
      <c r="V211" s="692" t="s">
        <v>654</v>
      </c>
      <c r="W211" s="692" t="s">
        <v>655</v>
      </c>
      <c r="X211" s="692" t="s">
        <v>656</v>
      </c>
      <c r="Y211" s="692" t="s">
        <v>657</v>
      </c>
      <c r="Z211" s="692" t="s">
        <v>658</v>
      </c>
      <c r="AA211" s="692" t="s">
        <v>659</v>
      </c>
      <c r="AB211" s="692" t="s">
        <v>660</v>
      </c>
      <c r="AC211" s="692" t="s">
        <v>661</v>
      </c>
      <c r="AD211" s="692" t="s">
        <v>662</v>
      </c>
      <c r="AE211" s="692" t="s">
        <v>686</v>
      </c>
      <c r="AF211" s="692" t="s">
        <v>664</v>
      </c>
      <c r="AG211" s="691" t="s">
        <v>665</v>
      </c>
      <c r="AH211" s="691" t="s">
        <v>649</v>
      </c>
      <c r="AI211" s="692" t="s">
        <v>687</v>
      </c>
    </row>
    <row r="212" spans="1:35" x14ac:dyDescent="0.2">
      <c r="A212" s="1486"/>
      <c r="B212" s="555" t="s">
        <v>667</v>
      </c>
      <c r="C212" s="733" t="s">
        <v>668</v>
      </c>
      <c r="D212" s="733" t="s">
        <v>669</v>
      </c>
      <c r="E212" s="733" t="s">
        <v>670</v>
      </c>
      <c r="F212" s="734" t="s">
        <v>671</v>
      </c>
      <c r="G212" s="734" t="s">
        <v>672</v>
      </c>
      <c r="H212" s="734" t="s">
        <v>673</v>
      </c>
      <c r="I212" s="734" t="s">
        <v>674</v>
      </c>
      <c r="J212" s="734" t="s">
        <v>675</v>
      </c>
      <c r="K212" s="734" t="s">
        <v>676</v>
      </c>
      <c r="L212" s="734" t="s">
        <v>677</v>
      </c>
      <c r="M212" s="734" t="s">
        <v>678</v>
      </c>
      <c r="N212" s="734" t="s">
        <v>679</v>
      </c>
      <c r="O212" s="734" t="s">
        <v>680</v>
      </c>
      <c r="P212" s="734" t="s">
        <v>681</v>
      </c>
      <c r="Q212" s="555" t="s">
        <v>667</v>
      </c>
      <c r="R212" s="733" t="s">
        <v>668</v>
      </c>
      <c r="S212" s="733" t="s">
        <v>669</v>
      </c>
      <c r="T212" s="733" t="s">
        <v>670</v>
      </c>
      <c r="U212" s="734" t="s">
        <v>671</v>
      </c>
      <c r="V212" s="734" t="s">
        <v>672</v>
      </c>
      <c r="W212" s="734" t="s">
        <v>673</v>
      </c>
      <c r="X212" s="734" t="s">
        <v>674</v>
      </c>
      <c r="Y212" s="734" t="s">
        <v>675</v>
      </c>
      <c r="Z212" s="734" t="s">
        <v>676</v>
      </c>
      <c r="AA212" s="734" t="s">
        <v>677</v>
      </c>
      <c r="AB212" s="734" t="s">
        <v>678</v>
      </c>
      <c r="AC212" s="734" t="s">
        <v>679</v>
      </c>
      <c r="AD212" s="734" t="s">
        <v>680</v>
      </c>
      <c r="AE212" s="734" t="s">
        <v>681</v>
      </c>
      <c r="AF212" s="733"/>
      <c r="AG212" s="555"/>
      <c r="AH212" s="555"/>
      <c r="AI212" s="733"/>
    </row>
    <row r="213" spans="1:35" x14ac:dyDescent="0.2">
      <c r="A213" s="704"/>
      <c r="B213" s="711"/>
      <c r="C213" s="735"/>
      <c r="D213" s="735"/>
      <c r="E213" s="735"/>
      <c r="F213" s="735"/>
      <c r="G213" s="735"/>
      <c r="H213" s="735"/>
      <c r="I213" s="735"/>
      <c r="J213" s="735"/>
      <c r="K213" s="735"/>
      <c r="L213" s="735"/>
      <c r="M213" s="735"/>
      <c r="N213" s="735"/>
      <c r="O213" s="735"/>
      <c r="P213" s="735"/>
      <c r="Q213" s="421"/>
      <c r="R213" s="735"/>
      <c r="S213" s="735"/>
      <c r="T213" s="735"/>
      <c r="U213" s="735"/>
      <c r="V213" s="735"/>
      <c r="W213" s="735"/>
      <c r="X213" s="735"/>
      <c r="Y213" s="735"/>
      <c r="Z213" s="735"/>
      <c r="AA213" s="735"/>
      <c r="AB213" s="735"/>
      <c r="AC213" s="735"/>
      <c r="AD213" s="735"/>
      <c r="AE213" s="735"/>
      <c r="AF213" s="735"/>
      <c r="AG213" s="711"/>
      <c r="AH213" s="711"/>
      <c r="AI213" s="735"/>
    </row>
    <row r="214" spans="1:35" x14ac:dyDescent="0.2">
      <c r="A214" s="704" t="s">
        <v>688</v>
      </c>
      <c r="B214" s="711"/>
      <c r="C214" s="735"/>
      <c r="D214" s="735"/>
      <c r="E214" s="735"/>
      <c r="F214" s="735"/>
      <c r="G214" s="735"/>
      <c r="H214" s="735"/>
      <c r="I214" s="735"/>
      <c r="J214" s="735"/>
      <c r="K214" s="735"/>
      <c r="L214" s="735"/>
      <c r="M214" s="735"/>
      <c r="N214" s="735"/>
      <c r="O214" s="735"/>
      <c r="P214" s="735"/>
      <c r="Q214" s="421"/>
      <c r="R214" s="735"/>
      <c r="S214" s="735"/>
      <c r="T214" s="735"/>
      <c r="U214" s="735"/>
      <c r="V214" s="735"/>
      <c r="W214" s="735"/>
      <c r="X214" s="735"/>
      <c r="Y214" s="735"/>
      <c r="Z214" s="735"/>
      <c r="AA214" s="735"/>
      <c r="AB214" s="735"/>
      <c r="AC214" s="735"/>
      <c r="AD214" s="735"/>
      <c r="AE214" s="735"/>
      <c r="AF214" s="735"/>
      <c r="AG214" s="711"/>
      <c r="AH214" s="711"/>
      <c r="AI214" s="735"/>
    </row>
    <row r="215" spans="1:35" x14ac:dyDescent="0.2">
      <c r="A215" s="704" t="s">
        <v>404</v>
      </c>
      <c r="B215" s="711">
        <v>1</v>
      </c>
      <c r="C215" s="735">
        <v>1112.9100000000001</v>
      </c>
      <c r="D215" s="735">
        <v>3010</v>
      </c>
      <c r="E215" s="735"/>
      <c r="F215" s="735"/>
      <c r="G215" s="735"/>
      <c r="H215" s="735"/>
      <c r="I215" s="735"/>
      <c r="J215" s="735"/>
      <c r="K215" s="735">
        <f>SUM(C215:D215)</f>
        <v>4122.91</v>
      </c>
      <c r="L215" s="735">
        <v>1000</v>
      </c>
      <c r="M215" s="735"/>
      <c r="N215" s="735">
        <f>SUM(L215:M215)</f>
        <v>1000</v>
      </c>
      <c r="O215" s="735">
        <f>K215*12</f>
        <v>49474.92</v>
      </c>
      <c r="P215" s="735">
        <f>B215*O215</f>
        <v>49474.92</v>
      </c>
      <c r="Q215" s="421">
        <v>1</v>
      </c>
      <c r="R215" s="735">
        <v>1112.9100000000001</v>
      </c>
      <c r="S215" s="735">
        <v>3010</v>
      </c>
      <c r="T215" s="735"/>
      <c r="U215" s="735"/>
      <c r="V215" s="735"/>
      <c r="W215" s="735"/>
      <c r="X215" s="735"/>
      <c r="Y215" s="735"/>
      <c r="Z215" s="735">
        <f>SUM(R215:S215)</f>
        <v>4122.91</v>
      </c>
      <c r="AA215" s="735">
        <v>1000</v>
      </c>
      <c r="AB215" s="735"/>
      <c r="AC215" s="735">
        <f>SUM(AA215:AB215)</f>
        <v>1000</v>
      </c>
      <c r="AD215" s="735">
        <f>Z215*12</f>
        <v>49474.92</v>
      </c>
      <c r="AE215" s="735">
        <f>Q215*AD215</f>
        <v>49474.92</v>
      </c>
      <c r="AF215" s="735"/>
      <c r="AG215" s="711"/>
      <c r="AH215" s="711"/>
      <c r="AI215" s="735"/>
    </row>
    <row r="216" spans="1:35" x14ac:dyDescent="0.2">
      <c r="A216" s="704" t="s">
        <v>405</v>
      </c>
      <c r="B216" s="711">
        <v>5</v>
      </c>
      <c r="C216" s="735">
        <v>4876.3999999999996</v>
      </c>
      <c r="D216" s="735">
        <v>9250</v>
      </c>
      <c r="E216" s="735"/>
      <c r="F216" s="735"/>
      <c r="G216" s="735"/>
      <c r="H216" s="735"/>
      <c r="I216" s="735"/>
      <c r="J216" s="735"/>
      <c r="K216" s="735">
        <f t="shared" ref="K216:K218" si="111">SUM(C216:D216)</f>
        <v>14126.4</v>
      </c>
      <c r="L216" s="735">
        <v>5000</v>
      </c>
      <c r="M216" s="735"/>
      <c r="N216" s="735">
        <f t="shared" ref="N216:N219" si="112">SUM(L216:M216)</f>
        <v>5000</v>
      </c>
      <c r="O216" s="735">
        <f t="shared" ref="O216:O219" si="113">K216*12</f>
        <v>169516.79999999999</v>
      </c>
      <c r="P216" s="735">
        <f t="shared" ref="P216:P219" si="114">B216*O216</f>
        <v>847584</v>
      </c>
      <c r="Q216" s="421">
        <v>5</v>
      </c>
      <c r="R216" s="735">
        <v>4876.3999999999996</v>
      </c>
      <c r="S216" s="735">
        <v>9250</v>
      </c>
      <c r="T216" s="735"/>
      <c r="U216" s="735"/>
      <c r="V216" s="735"/>
      <c r="W216" s="735"/>
      <c r="X216" s="735"/>
      <c r="Y216" s="735"/>
      <c r="Z216" s="735">
        <f t="shared" ref="Z216:Z219" si="115">SUM(R216:S216)</f>
        <v>14126.4</v>
      </c>
      <c r="AA216" s="735">
        <v>5000</v>
      </c>
      <c r="AB216" s="735"/>
      <c r="AC216" s="735">
        <f t="shared" ref="AC216:AC219" si="116">SUM(AA216:AB216)</f>
        <v>5000</v>
      </c>
      <c r="AD216" s="735">
        <f t="shared" ref="AD216:AD219" si="117">Z216*12</f>
        <v>169516.79999999999</v>
      </c>
      <c r="AE216" s="735">
        <f t="shared" ref="AE216:AE219" si="118">Q216*AD216</f>
        <v>847584</v>
      </c>
      <c r="AF216" s="735"/>
      <c r="AG216" s="711"/>
      <c r="AH216" s="711"/>
      <c r="AI216" s="735"/>
    </row>
    <row r="217" spans="1:35" x14ac:dyDescent="0.2">
      <c r="A217" s="704" t="s">
        <v>390</v>
      </c>
      <c r="B217" s="711">
        <v>7</v>
      </c>
      <c r="C217" s="735">
        <v>4024.51</v>
      </c>
      <c r="D217" s="735">
        <v>7597.52</v>
      </c>
      <c r="E217" s="735"/>
      <c r="F217" s="735"/>
      <c r="G217" s="735"/>
      <c r="H217" s="735"/>
      <c r="I217" s="735"/>
      <c r="J217" s="735"/>
      <c r="K217" s="735">
        <f t="shared" si="111"/>
        <v>11622.03</v>
      </c>
      <c r="L217" s="735">
        <v>7000</v>
      </c>
      <c r="M217" s="735"/>
      <c r="N217" s="735">
        <f t="shared" si="112"/>
        <v>7000</v>
      </c>
      <c r="O217" s="735">
        <f t="shared" si="113"/>
        <v>139464.36000000002</v>
      </c>
      <c r="P217" s="735">
        <f t="shared" si="114"/>
        <v>976250.52000000014</v>
      </c>
      <c r="Q217" s="421">
        <v>7</v>
      </c>
      <c r="R217" s="735">
        <v>4024.51</v>
      </c>
      <c r="S217" s="735">
        <v>7597.52</v>
      </c>
      <c r="T217" s="735"/>
      <c r="U217" s="735"/>
      <c r="V217" s="735"/>
      <c r="W217" s="735"/>
      <c r="X217" s="735"/>
      <c r="Y217" s="735"/>
      <c r="Z217" s="735">
        <f t="shared" si="115"/>
        <v>11622.03</v>
      </c>
      <c r="AA217" s="735">
        <v>7000</v>
      </c>
      <c r="AB217" s="735"/>
      <c r="AC217" s="735">
        <f t="shared" si="116"/>
        <v>7000</v>
      </c>
      <c r="AD217" s="735">
        <f t="shared" si="117"/>
        <v>139464.36000000002</v>
      </c>
      <c r="AE217" s="735">
        <f t="shared" si="118"/>
        <v>976250.52000000014</v>
      </c>
      <c r="AF217" s="735"/>
      <c r="AG217" s="711"/>
      <c r="AH217" s="711"/>
      <c r="AI217" s="735"/>
    </row>
    <row r="218" spans="1:35" x14ac:dyDescent="0.2">
      <c r="A218" s="704" t="s">
        <v>391</v>
      </c>
      <c r="B218" s="711">
        <v>5</v>
      </c>
      <c r="C218" s="735">
        <v>2870.44</v>
      </c>
      <c r="D218" s="735">
        <v>5421.68</v>
      </c>
      <c r="E218" s="735"/>
      <c r="F218" s="735"/>
      <c r="G218" s="735"/>
      <c r="H218" s="735"/>
      <c r="I218" s="735"/>
      <c r="J218" s="735"/>
      <c r="K218" s="735">
        <f t="shared" si="111"/>
        <v>8292.1200000000008</v>
      </c>
      <c r="L218" s="735">
        <v>5000</v>
      </c>
      <c r="M218" s="735"/>
      <c r="N218" s="735">
        <f t="shared" si="112"/>
        <v>5000</v>
      </c>
      <c r="O218" s="735">
        <f t="shared" si="113"/>
        <v>99505.44</v>
      </c>
      <c r="P218" s="735">
        <f t="shared" si="114"/>
        <v>497527.2</v>
      </c>
      <c r="Q218" s="421">
        <v>5</v>
      </c>
      <c r="R218" s="735">
        <v>2870.44</v>
      </c>
      <c r="S218" s="735">
        <v>5421.68</v>
      </c>
      <c r="T218" s="735"/>
      <c r="U218" s="735"/>
      <c r="V218" s="735"/>
      <c r="W218" s="735"/>
      <c r="X218" s="735"/>
      <c r="Y218" s="735"/>
      <c r="Z218" s="735">
        <f t="shared" si="115"/>
        <v>8292.1200000000008</v>
      </c>
      <c r="AA218" s="735">
        <v>5000</v>
      </c>
      <c r="AB218" s="735"/>
      <c r="AC218" s="735">
        <f t="shared" si="116"/>
        <v>5000</v>
      </c>
      <c r="AD218" s="735">
        <f t="shared" si="117"/>
        <v>99505.44</v>
      </c>
      <c r="AE218" s="735">
        <f t="shared" si="118"/>
        <v>497527.2</v>
      </c>
      <c r="AF218" s="735"/>
      <c r="AG218" s="711"/>
      <c r="AH218" s="711"/>
      <c r="AI218" s="735"/>
    </row>
    <row r="219" spans="1:35" x14ac:dyDescent="0.2">
      <c r="A219" s="704" t="s">
        <v>387</v>
      </c>
      <c r="B219" s="711">
        <v>6</v>
      </c>
      <c r="C219" s="735">
        <v>4041.9</v>
      </c>
      <c r="D219" s="735">
        <v>7163.48</v>
      </c>
      <c r="E219" s="735"/>
      <c r="F219" s="735"/>
      <c r="G219" s="735"/>
      <c r="H219" s="735"/>
      <c r="I219" s="735"/>
      <c r="J219" s="735"/>
      <c r="K219" s="735">
        <f>SUM(C219:D219)</f>
        <v>11205.38</v>
      </c>
      <c r="L219" s="735">
        <v>6000</v>
      </c>
      <c r="M219" s="735"/>
      <c r="N219" s="735">
        <f t="shared" si="112"/>
        <v>6000</v>
      </c>
      <c r="O219" s="735">
        <f t="shared" si="113"/>
        <v>134464.56</v>
      </c>
      <c r="P219" s="735">
        <f t="shared" si="114"/>
        <v>806787.36</v>
      </c>
      <c r="Q219" s="421">
        <v>6</v>
      </c>
      <c r="R219" s="735">
        <v>4041.9</v>
      </c>
      <c r="S219" s="735">
        <v>7163.48</v>
      </c>
      <c r="T219" s="735"/>
      <c r="U219" s="735"/>
      <c r="V219" s="735"/>
      <c r="W219" s="735"/>
      <c r="X219" s="735"/>
      <c r="Y219" s="735"/>
      <c r="Z219" s="735">
        <f t="shared" si="115"/>
        <v>11205.38</v>
      </c>
      <c r="AA219" s="735">
        <v>6000</v>
      </c>
      <c r="AB219" s="735"/>
      <c r="AC219" s="735">
        <f t="shared" si="116"/>
        <v>6000</v>
      </c>
      <c r="AD219" s="735">
        <f t="shared" si="117"/>
        <v>134464.56</v>
      </c>
      <c r="AE219" s="735">
        <f t="shared" si="118"/>
        <v>806787.36</v>
      </c>
      <c r="AF219" s="735"/>
      <c r="AG219" s="711"/>
      <c r="AH219" s="711"/>
      <c r="AI219" s="735"/>
    </row>
    <row r="220" spans="1:35" x14ac:dyDescent="0.2">
      <c r="A220" s="704"/>
      <c r="B220" s="711"/>
      <c r="C220" s="735"/>
      <c r="D220" s="735"/>
      <c r="E220" s="735"/>
      <c r="F220" s="735"/>
      <c r="G220" s="735"/>
      <c r="H220" s="735"/>
      <c r="I220" s="735"/>
      <c r="J220" s="735"/>
      <c r="K220" s="735"/>
      <c r="L220" s="735"/>
      <c r="M220" s="735"/>
      <c r="N220" s="735"/>
      <c r="O220" s="735"/>
      <c r="P220" s="735"/>
      <c r="Q220" s="421"/>
      <c r="R220" s="735"/>
      <c r="S220" s="735"/>
      <c r="T220" s="735"/>
      <c r="U220" s="735"/>
      <c r="V220" s="735"/>
      <c r="W220" s="735"/>
      <c r="X220" s="735"/>
      <c r="Y220" s="735"/>
      <c r="Z220" s="735"/>
      <c r="AA220" s="735"/>
      <c r="AB220" s="735"/>
      <c r="AC220" s="735"/>
      <c r="AD220" s="735"/>
      <c r="AE220" s="735"/>
      <c r="AF220" s="735"/>
      <c r="AG220" s="711"/>
      <c r="AH220" s="711"/>
      <c r="AI220" s="735"/>
    </row>
    <row r="221" spans="1:35" ht="36" x14ac:dyDescent="0.2">
      <c r="A221" s="704" t="s">
        <v>448</v>
      </c>
      <c r="B221" s="711"/>
      <c r="C221" s="735"/>
      <c r="D221" s="735"/>
      <c r="E221" s="735"/>
      <c r="F221" s="735"/>
      <c r="G221" s="735"/>
      <c r="H221" s="735"/>
      <c r="I221" s="735"/>
      <c r="J221" s="735"/>
      <c r="K221" s="735"/>
      <c r="L221" s="735"/>
      <c r="M221" s="735"/>
      <c r="N221" s="735"/>
      <c r="O221" s="735"/>
      <c r="P221" s="735"/>
      <c r="Q221" s="421"/>
      <c r="R221" s="735"/>
      <c r="S221" s="735"/>
      <c r="T221" s="735"/>
      <c r="U221" s="735"/>
      <c r="V221" s="735"/>
      <c r="W221" s="735"/>
      <c r="X221" s="735"/>
      <c r="Y221" s="735"/>
      <c r="Z221" s="735"/>
      <c r="AA221" s="735"/>
      <c r="AB221" s="735"/>
      <c r="AC221" s="735"/>
      <c r="AD221" s="735"/>
      <c r="AE221" s="735"/>
      <c r="AF221" s="735"/>
      <c r="AG221" s="711"/>
      <c r="AH221" s="711"/>
      <c r="AI221" s="735"/>
    </row>
    <row r="222" spans="1:35" x14ac:dyDescent="0.2">
      <c r="A222" s="704"/>
      <c r="B222" s="711"/>
      <c r="C222" s="735"/>
      <c r="D222" s="735"/>
      <c r="E222" s="735"/>
      <c r="F222" s="735"/>
      <c r="G222" s="735"/>
      <c r="H222" s="735"/>
      <c r="I222" s="735"/>
      <c r="J222" s="735"/>
      <c r="K222" s="735"/>
      <c r="L222" s="735"/>
      <c r="M222" s="735"/>
      <c r="N222" s="735"/>
      <c r="O222" s="735"/>
      <c r="P222" s="735"/>
      <c r="Q222" s="421"/>
      <c r="R222" s="735"/>
      <c r="S222" s="735"/>
      <c r="T222" s="735"/>
      <c r="U222" s="735"/>
      <c r="V222" s="735"/>
      <c r="W222" s="735"/>
      <c r="X222" s="735"/>
      <c r="Y222" s="735"/>
      <c r="Z222" s="735"/>
      <c r="AA222" s="735"/>
      <c r="AB222" s="735"/>
      <c r="AC222" s="735"/>
      <c r="AD222" s="735"/>
      <c r="AE222" s="735"/>
      <c r="AF222" s="735"/>
      <c r="AG222" s="711"/>
      <c r="AH222" s="711"/>
      <c r="AI222" s="735"/>
    </row>
    <row r="223" spans="1:35" x14ac:dyDescent="0.2">
      <c r="A223" s="704"/>
      <c r="B223" s="711"/>
      <c r="C223" s="735"/>
      <c r="D223" s="735"/>
      <c r="E223" s="735"/>
      <c r="F223" s="735"/>
      <c r="G223" s="735"/>
      <c r="H223" s="735"/>
      <c r="I223" s="735"/>
      <c r="J223" s="735"/>
      <c r="K223" s="735"/>
      <c r="L223" s="735"/>
      <c r="M223" s="735"/>
      <c r="N223" s="735"/>
      <c r="O223" s="735"/>
      <c r="P223" s="735"/>
      <c r="Q223" s="421"/>
      <c r="R223" s="735"/>
      <c r="S223" s="735"/>
      <c r="T223" s="735"/>
      <c r="U223" s="735"/>
      <c r="V223" s="735"/>
      <c r="W223" s="735"/>
      <c r="X223" s="735"/>
      <c r="Y223" s="735"/>
      <c r="Z223" s="735"/>
      <c r="AA223" s="735"/>
      <c r="AB223" s="735"/>
      <c r="AC223" s="735"/>
      <c r="AD223" s="735"/>
      <c r="AE223" s="735"/>
      <c r="AF223" s="735"/>
      <c r="AG223" s="711"/>
      <c r="AH223" s="711"/>
      <c r="AI223" s="735"/>
    </row>
    <row r="224" spans="1:35" x14ac:dyDescent="0.2">
      <c r="A224" s="706" t="s">
        <v>169</v>
      </c>
      <c r="B224" s="555">
        <f>SUM(B214:B223)</f>
        <v>24</v>
      </c>
      <c r="C224" s="731">
        <f>SUM(C215:C223)</f>
        <v>16926.16</v>
      </c>
      <c r="D224" s="731">
        <f>SUM(D215:D223)</f>
        <v>32442.68</v>
      </c>
      <c r="E224" s="731"/>
      <c r="F224" s="731"/>
      <c r="G224" s="731"/>
      <c r="H224" s="731"/>
      <c r="I224" s="731"/>
      <c r="J224" s="731"/>
      <c r="K224" s="731">
        <f>SUM(K215:K223)</f>
        <v>49368.84</v>
      </c>
      <c r="L224" s="731">
        <f>SUM(L215:L223)</f>
        <v>24000</v>
      </c>
      <c r="M224" s="731"/>
      <c r="N224" s="731">
        <f t="shared" ref="N224:S224" si="119">SUM(N215:N223)</f>
        <v>24000</v>
      </c>
      <c r="O224" s="731">
        <f t="shared" si="119"/>
        <v>592426.07999999996</v>
      </c>
      <c r="P224" s="731">
        <f t="shared" si="119"/>
        <v>3177624</v>
      </c>
      <c r="Q224" s="703">
        <f t="shared" si="119"/>
        <v>24</v>
      </c>
      <c r="R224" s="731">
        <f t="shared" si="119"/>
        <v>16926.16</v>
      </c>
      <c r="S224" s="731">
        <f t="shared" si="119"/>
        <v>32442.68</v>
      </c>
      <c r="T224" s="731"/>
      <c r="U224" s="731"/>
      <c r="V224" s="731"/>
      <c r="W224" s="731"/>
      <c r="X224" s="731"/>
      <c r="Y224" s="731"/>
      <c r="Z224" s="731">
        <f>SUM(Z215:Z223)</f>
        <v>49368.84</v>
      </c>
      <c r="AA224" s="731">
        <f>SUM(AA215:AA223)</f>
        <v>24000</v>
      </c>
      <c r="AB224" s="731"/>
      <c r="AC224" s="731">
        <f>SUM(AC215:AC223)</f>
        <v>24000</v>
      </c>
      <c r="AD224" s="731">
        <f>SUM(AD215:AD223)</f>
        <v>592426.07999999996</v>
      </c>
      <c r="AE224" s="731">
        <f>SUM(AE215:AE223)</f>
        <v>3177624</v>
      </c>
      <c r="AF224" s="731"/>
      <c r="AG224" s="555"/>
      <c r="AH224" s="555"/>
      <c r="AI224" s="731"/>
    </row>
    <row r="225" spans="1:35" x14ac:dyDescent="0.2">
      <c r="B225" s="17"/>
      <c r="C225" s="17"/>
      <c r="D225" s="17"/>
      <c r="E225" s="17"/>
      <c r="F225" s="17"/>
      <c r="G225" s="17"/>
      <c r="H225" s="17"/>
      <c r="I225" s="17"/>
      <c r="J225" s="17"/>
      <c r="K225" s="17"/>
      <c r="L225" s="17"/>
      <c r="M225" s="17"/>
      <c r="N225" s="17"/>
      <c r="O225" s="17"/>
      <c r="P225" s="17"/>
      <c r="R225" s="17"/>
      <c r="S225" s="17"/>
      <c r="T225" s="17"/>
      <c r="U225" s="17"/>
      <c r="V225" s="17"/>
      <c r="W225" s="17"/>
      <c r="X225" s="17"/>
      <c r="Y225" s="17"/>
      <c r="Z225" s="17"/>
      <c r="AA225" s="17"/>
      <c r="AB225" s="17"/>
      <c r="AC225" s="17"/>
      <c r="AD225" s="17"/>
      <c r="AE225" s="17"/>
      <c r="AF225" s="17"/>
      <c r="AG225" s="17"/>
      <c r="AH225" s="17"/>
      <c r="AI225" s="17"/>
    </row>
    <row r="226" spans="1:35" x14ac:dyDescent="0.2">
      <c r="B226" s="17"/>
      <c r="C226" s="17"/>
      <c r="D226" s="17"/>
      <c r="E226" s="17"/>
      <c r="F226" s="17"/>
      <c r="G226" s="17"/>
      <c r="H226" s="17"/>
      <c r="I226" s="17"/>
      <c r="J226" s="17"/>
      <c r="K226" s="17"/>
      <c r="L226" s="17"/>
      <c r="M226" s="17"/>
      <c r="N226" s="17"/>
      <c r="O226" s="17"/>
      <c r="P226" s="17"/>
      <c r="R226" s="17"/>
      <c r="S226" s="17"/>
      <c r="T226" s="17"/>
      <c r="U226" s="17"/>
      <c r="V226" s="17"/>
      <c r="W226" s="17"/>
      <c r="X226" s="17"/>
      <c r="Y226" s="17"/>
      <c r="Z226" s="17"/>
      <c r="AA226" s="17"/>
      <c r="AB226" s="17"/>
      <c r="AC226" s="17"/>
      <c r="AD226" s="17"/>
      <c r="AE226" s="17"/>
      <c r="AF226" s="17"/>
      <c r="AG226" s="17"/>
      <c r="AH226" s="17"/>
      <c r="AI226" s="17"/>
    </row>
    <row r="227" spans="1:35" ht="24" x14ac:dyDescent="0.2">
      <c r="A227" s="706" t="s">
        <v>733</v>
      </c>
      <c r="B227" s="743"/>
      <c r="C227" s="742"/>
      <c r="D227" s="742"/>
      <c r="E227" s="742"/>
      <c r="F227" s="742"/>
      <c r="G227" s="742"/>
      <c r="H227" s="742"/>
      <c r="I227" s="742"/>
      <c r="J227" s="742"/>
      <c r="K227" s="742"/>
      <c r="L227" s="742"/>
      <c r="M227" s="742"/>
      <c r="N227" s="742"/>
      <c r="O227" s="742"/>
      <c r="P227" s="742"/>
      <c r="Q227" s="712"/>
      <c r="R227" s="742"/>
      <c r="S227" s="742"/>
      <c r="T227" s="742"/>
      <c r="U227" s="742"/>
      <c r="V227" s="742"/>
      <c r="W227" s="742"/>
      <c r="X227" s="742"/>
      <c r="Y227" s="742"/>
      <c r="Z227" s="742"/>
      <c r="AA227" s="742"/>
      <c r="AB227" s="742"/>
      <c r="AC227" s="742"/>
      <c r="AD227" s="742"/>
      <c r="AE227" s="742"/>
      <c r="AF227" s="742"/>
      <c r="AG227" s="743"/>
      <c r="AH227" s="743"/>
      <c r="AI227" s="742"/>
    </row>
    <row r="228" spans="1:35" x14ac:dyDescent="0.2">
      <c r="A228" s="1485" t="s">
        <v>644</v>
      </c>
      <c r="B228" s="1487" t="s">
        <v>645</v>
      </c>
      <c r="C228" s="1487"/>
      <c r="D228" s="1487"/>
      <c r="E228" s="1487"/>
      <c r="F228" s="1487"/>
      <c r="G228" s="1487"/>
      <c r="H228" s="1487"/>
      <c r="I228" s="1487"/>
      <c r="J228" s="1487"/>
      <c r="K228" s="1487"/>
      <c r="L228" s="1487"/>
      <c r="M228" s="1487"/>
      <c r="N228" s="1487"/>
      <c r="O228" s="1487"/>
      <c r="P228" s="1487"/>
      <c r="Q228" s="1487" t="s">
        <v>646</v>
      </c>
      <c r="R228" s="1487"/>
      <c r="S228" s="1487"/>
      <c r="T228" s="1487"/>
      <c r="U228" s="1487"/>
      <c r="V228" s="1487"/>
      <c r="W228" s="1487"/>
      <c r="X228" s="1487"/>
      <c r="Y228" s="1487"/>
      <c r="Z228" s="1487"/>
      <c r="AA228" s="1487"/>
      <c r="AB228" s="1487"/>
      <c r="AC228" s="1487"/>
      <c r="AD228" s="1487"/>
      <c r="AE228" s="1487"/>
      <c r="AF228" s="1487" t="s">
        <v>647</v>
      </c>
      <c r="AG228" s="1487"/>
      <c r="AH228" s="1487" t="s">
        <v>648</v>
      </c>
      <c r="AI228" s="1487"/>
    </row>
    <row r="229" spans="1:35" ht="120" customHeight="1" x14ac:dyDescent="0.2">
      <c r="A229" s="1485"/>
      <c r="B229" s="691" t="s">
        <v>649</v>
      </c>
      <c r="C229" s="692" t="s">
        <v>650</v>
      </c>
      <c r="D229" s="692" t="s">
        <v>684</v>
      </c>
      <c r="E229" s="692" t="s">
        <v>652</v>
      </c>
      <c r="F229" s="692" t="s">
        <v>653</v>
      </c>
      <c r="G229" s="692" t="s">
        <v>654</v>
      </c>
      <c r="H229" s="692" t="s">
        <v>655</v>
      </c>
      <c r="I229" s="692" t="s">
        <v>656</v>
      </c>
      <c r="J229" s="692" t="s">
        <v>657</v>
      </c>
      <c r="K229" s="692" t="s">
        <v>658</v>
      </c>
      <c r="L229" s="692" t="s">
        <v>659</v>
      </c>
      <c r="M229" s="692" t="s">
        <v>660</v>
      </c>
      <c r="N229" s="692" t="s">
        <v>661</v>
      </c>
      <c r="O229" s="692" t="s">
        <v>662</v>
      </c>
      <c r="P229" s="692" t="s">
        <v>685</v>
      </c>
      <c r="Q229" s="691" t="s">
        <v>649</v>
      </c>
      <c r="R229" s="692" t="s">
        <v>650</v>
      </c>
      <c r="S229" s="692" t="s">
        <v>651</v>
      </c>
      <c r="T229" s="692" t="s">
        <v>652</v>
      </c>
      <c r="U229" s="692" t="s">
        <v>653</v>
      </c>
      <c r="V229" s="692" t="s">
        <v>654</v>
      </c>
      <c r="W229" s="692" t="s">
        <v>655</v>
      </c>
      <c r="X229" s="692" t="s">
        <v>656</v>
      </c>
      <c r="Y229" s="692" t="s">
        <v>657</v>
      </c>
      <c r="Z229" s="692" t="s">
        <v>658</v>
      </c>
      <c r="AA229" s="692" t="s">
        <v>659</v>
      </c>
      <c r="AB229" s="692" t="s">
        <v>660</v>
      </c>
      <c r="AC229" s="692" t="s">
        <v>661</v>
      </c>
      <c r="AD229" s="692" t="s">
        <v>662</v>
      </c>
      <c r="AE229" s="692" t="s">
        <v>686</v>
      </c>
      <c r="AF229" s="692" t="s">
        <v>664</v>
      </c>
      <c r="AG229" s="691" t="s">
        <v>665</v>
      </c>
      <c r="AH229" s="691" t="s">
        <v>649</v>
      </c>
      <c r="AI229" s="692" t="s">
        <v>687</v>
      </c>
    </row>
    <row r="230" spans="1:35" x14ac:dyDescent="0.2">
      <c r="A230" s="1486"/>
      <c r="B230" s="555" t="s">
        <v>667</v>
      </c>
      <c r="C230" s="733" t="s">
        <v>668</v>
      </c>
      <c r="D230" s="733" t="s">
        <v>669</v>
      </c>
      <c r="E230" s="733" t="s">
        <v>670</v>
      </c>
      <c r="F230" s="734" t="s">
        <v>671</v>
      </c>
      <c r="G230" s="734" t="s">
        <v>672</v>
      </c>
      <c r="H230" s="734" t="s">
        <v>673</v>
      </c>
      <c r="I230" s="734" t="s">
        <v>674</v>
      </c>
      <c r="J230" s="734" t="s">
        <v>675</v>
      </c>
      <c r="K230" s="734" t="s">
        <v>676</v>
      </c>
      <c r="L230" s="734" t="s">
        <v>677</v>
      </c>
      <c r="M230" s="734" t="s">
        <v>678</v>
      </c>
      <c r="N230" s="734" t="s">
        <v>679</v>
      </c>
      <c r="O230" s="734" t="s">
        <v>680</v>
      </c>
      <c r="P230" s="734" t="s">
        <v>681</v>
      </c>
      <c r="Q230" s="555" t="s">
        <v>667</v>
      </c>
      <c r="R230" s="733" t="s">
        <v>668</v>
      </c>
      <c r="S230" s="733" t="s">
        <v>669</v>
      </c>
      <c r="T230" s="733" t="s">
        <v>670</v>
      </c>
      <c r="U230" s="734" t="s">
        <v>671</v>
      </c>
      <c r="V230" s="734" t="s">
        <v>672</v>
      </c>
      <c r="W230" s="734" t="s">
        <v>673</v>
      </c>
      <c r="X230" s="734" t="s">
        <v>674</v>
      </c>
      <c r="Y230" s="734" t="s">
        <v>675</v>
      </c>
      <c r="Z230" s="734" t="s">
        <v>676</v>
      </c>
      <c r="AA230" s="734" t="s">
        <v>677</v>
      </c>
      <c r="AB230" s="734" t="s">
        <v>678</v>
      </c>
      <c r="AC230" s="734" t="s">
        <v>679</v>
      </c>
      <c r="AD230" s="734" t="s">
        <v>680</v>
      </c>
      <c r="AE230" s="734" t="s">
        <v>681</v>
      </c>
      <c r="AF230" s="733"/>
      <c r="AG230" s="555"/>
      <c r="AH230" s="555"/>
      <c r="AI230" s="733"/>
    </row>
    <row r="231" spans="1:35" x14ac:dyDescent="0.2">
      <c r="A231" s="704"/>
      <c r="B231" s="711"/>
      <c r="C231" s="735"/>
      <c r="D231" s="735"/>
      <c r="E231" s="735"/>
      <c r="F231" s="735"/>
      <c r="G231" s="735"/>
      <c r="H231" s="735"/>
      <c r="I231" s="735"/>
      <c r="J231" s="735"/>
      <c r="K231" s="735"/>
      <c r="L231" s="735"/>
      <c r="M231" s="735"/>
      <c r="N231" s="735"/>
      <c r="O231" s="735"/>
      <c r="P231" s="735"/>
      <c r="Q231" s="421"/>
      <c r="R231" s="735"/>
      <c r="S231" s="735"/>
      <c r="T231" s="735"/>
      <c r="U231" s="735"/>
      <c r="V231" s="735"/>
      <c r="W231" s="735"/>
      <c r="X231" s="735"/>
      <c r="Y231" s="735"/>
      <c r="Z231" s="735"/>
      <c r="AA231" s="735"/>
      <c r="AB231" s="735"/>
      <c r="AC231" s="735"/>
      <c r="AD231" s="735"/>
      <c r="AE231" s="735"/>
      <c r="AF231" s="735"/>
      <c r="AG231" s="711"/>
      <c r="AH231" s="711"/>
      <c r="AI231" s="735"/>
    </row>
    <row r="232" spans="1:35" x14ac:dyDescent="0.2">
      <c r="A232" s="704" t="s">
        <v>688</v>
      </c>
      <c r="B232" s="711"/>
      <c r="C232" s="735"/>
      <c r="D232" s="735"/>
      <c r="E232" s="735"/>
      <c r="F232" s="735"/>
      <c r="G232" s="735"/>
      <c r="H232" s="735"/>
      <c r="I232" s="735"/>
      <c r="J232" s="735"/>
      <c r="K232" s="735"/>
      <c r="L232" s="735"/>
      <c r="M232" s="735"/>
      <c r="N232" s="735"/>
      <c r="O232" s="735"/>
      <c r="P232" s="735"/>
      <c r="Q232" s="421"/>
      <c r="R232" s="746"/>
      <c r="S232" s="735"/>
      <c r="T232" s="735"/>
      <c r="U232" s="735"/>
      <c r="V232" s="735"/>
      <c r="W232" s="735"/>
      <c r="X232" s="735"/>
      <c r="Y232" s="735"/>
      <c r="Z232" s="735"/>
      <c r="AA232" s="735"/>
      <c r="AB232" s="735"/>
      <c r="AC232" s="735"/>
      <c r="AD232" s="735"/>
      <c r="AE232" s="735"/>
      <c r="AF232" s="735"/>
      <c r="AG232" s="711"/>
      <c r="AH232" s="711"/>
      <c r="AI232" s="735"/>
    </row>
    <row r="233" spans="1:35" x14ac:dyDescent="0.2">
      <c r="A233" s="704" t="s">
        <v>381</v>
      </c>
      <c r="B233" s="711">
        <v>1</v>
      </c>
      <c r="C233" s="746">
        <v>1037.99</v>
      </c>
      <c r="D233" s="746">
        <v>1592</v>
      </c>
      <c r="E233" s="735"/>
      <c r="F233" s="746">
        <v>4261.55</v>
      </c>
      <c r="G233" s="735"/>
      <c r="H233" s="735"/>
      <c r="I233" s="735"/>
      <c r="J233" s="735"/>
      <c r="K233" s="735">
        <f t="shared" ref="K233:K258" si="120">+C233+D233+F233</f>
        <v>6891.54</v>
      </c>
      <c r="L233" s="746">
        <v>1000</v>
      </c>
      <c r="M233" s="735"/>
      <c r="N233" s="746">
        <f t="shared" ref="N233:N258" si="121">L233+M233</f>
        <v>1000</v>
      </c>
      <c r="O233" s="746">
        <f t="shared" ref="O233:O258" si="122">+K233*12+N233</f>
        <v>83698.48</v>
      </c>
      <c r="P233" s="735">
        <f t="shared" ref="P233:P258" si="123">+B233*O233</f>
        <v>83698.48</v>
      </c>
      <c r="Q233" s="421">
        <v>1</v>
      </c>
      <c r="R233" s="746">
        <v>1037.99</v>
      </c>
      <c r="S233" s="746">
        <v>1592</v>
      </c>
      <c r="T233" s="735"/>
      <c r="U233" s="735">
        <v>4261.55</v>
      </c>
      <c r="V233" s="735"/>
      <c r="W233" s="735"/>
      <c r="X233" s="735"/>
      <c r="Y233" s="735"/>
      <c r="Z233" s="735">
        <f>+R233+S233+U233</f>
        <v>6891.54</v>
      </c>
      <c r="AA233" s="735">
        <v>1000</v>
      </c>
      <c r="AB233" s="735"/>
      <c r="AC233" s="735">
        <f>AA233+AB233</f>
        <v>1000</v>
      </c>
      <c r="AD233" s="746">
        <f>+Z233*12+AC233</f>
        <v>83698.48</v>
      </c>
      <c r="AE233" s="735">
        <f>Q233*AD233</f>
        <v>83698.48</v>
      </c>
      <c r="AF233" s="736">
        <f t="shared" ref="AF233:AF258" si="124">P233-AE233</f>
        <v>0</v>
      </c>
      <c r="AG233" s="763">
        <f t="shared" ref="AG233:AG258" si="125">B233-Q233</f>
        <v>0</v>
      </c>
      <c r="AH233" s="711">
        <v>1</v>
      </c>
      <c r="AI233" s="735">
        <f t="shared" ref="AI233:AI258" si="126">AE233</f>
        <v>83698.48</v>
      </c>
    </row>
    <row r="234" spans="1:35" x14ac:dyDescent="0.2">
      <c r="A234" s="704" t="s">
        <v>383</v>
      </c>
      <c r="B234" s="711">
        <v>1</v>
      </c>
      <c r="C234" s="746">
        <v>936.16</v>
      </c>
      <c r="D234" s="746">
        <v>1232</v>
      </c>
      <c r="E234" s="735"/>
      <c r="F234" s="746">
        <v>3617.62</v>
      </c>
      <c r="G234" s="735"/>
      <c r="H234" s="735"/>
      <c r="I234" s="735"/>
      <c r="J234" s="735"/>
      <c r="K234" s="735">
        <f t="shared" si="120"/>
        <v>5785.78</v>
      </c>
      <c r="L234" s="746">
        <v>1000</v>
      </c>
      <c r="M234" s="735"/>
      <c r="N234" s="746">
        <f t="shared" si="121"/>
        <v>1000</v>
      </c>
      <c r="O234" s="746">
        <f t="shared" si="122"/>
        <v>70429.36</v>
      </c>
      <c r="P234" s="735">
        <f t="shared" si="123"/>
        <v>70429.36</v>
      </c>
      <c r="Q234" s="421">
        <v>1</v>
      </c>
      <c r="R234" s="746">
        <v>936.16</v>
      </c>
      <c r="S234" s="746">
        <v>1232</v>
      </c>
      <c r="T234" s="735"/>
      <c r="U234" s="735">
        <v>3617.62</v>
      </c>
      <c r="V234" s="735"/>
      <c r="W234" s="735"/>
      <c r="X234" s="735"/>
      <c r="Y234" s="735"/>
      <c r="Z234" s="735">
        <f>+R234+S234+U234</f>
        <v>5785.78</v>
      </c>
      <c r="AA234" s="735">
        <v>1000</v>
      </c>
      <c r="AB234" s="735"/>
      <c r="AC234" s="735">
        <f>AA234+AB234</f>
        <v>1000</v>
      </c>
      <c r="AD234" s="746">
        <f>+Z234*12+AC234</f>
        <v>70429.36</v>
      </c>
      <c r="AE234" s="735">
        <f>Q234*AD234</f>
        <v>70429.36</v>
      </c>
      <c r="AF234" s="736">
        <f t="shared" si="124"/>
        <v>0</v>
      </c>
      <c r="AG234" s="763">
        <f t="shared" si="125"/>
        <v>0</v>
      </c>
      <c r="AH234" s="711">
        <v>1</v>
      </c>
      <c r="AI234" s="735">
        <f t="shared" si="126"/>
        <v>70429.36</v>
      </c>
    </row>
    <row r="235" spans="1:35" x14ac:dyDescent="0.2">
      <c r="A235" s="704" t="s">
        <v>383</v>
      </c>
      <c r="B235" s="711">
        <v>5</v>
      </c>
      <c r="C235" s="746">
        <v>936.16</v>
      </c>
      <c r="D235" s="746">
        <v>1210</v>
      </c>
      <c r="E235" s="735"/>
      <c r="F235" s="746">
        <v>3649.62</v>
      </c>
      <c r="G235" s="735"/>
      <c r="H235" s="735"/>
      <c r="I235" s="735"/>
      <c r="J235" s="735"/>
      <c r="K235" s="735">
        <f t="shared" si="120"/>
        <v>5795.78</v>
      </c>
      <c r="L235" s="746">
        <v>5000</v>
      </c>
      <c r="M235" s="735"/>
      <c r="N235" s="746">
        <f t="shared" si="121"/>
        <v>5000</v>
      </c>
      <c r="O235" s="746">
        <f t="shared" si="122"/>
        <v>74549.36</v>
      </c>
      <c r="P235" s="735">
        <f t="shared" si="123"/>
        <v>372746.8</v>
      </c>
      <c r="Q235" s="421">
        <v>5</v>
      </c>
      <c r="R235" s="746">
        <v>936.16</v>
      </c>
      <c r="S235" s="746">
        <v>1210</v>
      </c>
      <c r="T235" s="735"/>
      <c r="U235" s="735">
        <v>3649.62</v>
      </c>
      <c r="V235" s="735"/>
      <c r="W235" s="735"/>
      <c r="X235" s="735"/>
      <c r="Y235" s="735"/>
      <c r="Z235" s="735">
        <f>+R235+S235+U235</f>
        <v>5795.78</v>
      </c>
      <c r="AA235" s="735">
        <v>5000</v>
      </c>
      <c r="AB235" s="735"/>
      <c r="AC235" s="735">
        <f>AA235+AB235</f>
        <v>5000</v>
      </c>
      <c r="AD235" s="746">
        <f>+Z235*12+AC235</f>
        <v>74549.36</v>
      </c>
      <c r="AE235" s="735">
        <f>Q235*AD235</f>
        <v>372746.8</v>
      </c>
      <c r="AF235" s="736">
        <f t="shared" si="124"/>
        <v>0</v>
      </c>
      <c r="AG235" s="763">
        <f t="shared" si="125"/>
        <v>0</v>
      </c>
      <c r="AH235" s="711">
        <v>5</v>
      </c>
      <c r="AI235" s="735">
        <f t="shared" si="126"/>
        <v>372746.8</v>
      </c>
    </row>
    <row r="236" spans="1:35" x14ac:dyDescent="0.2">
      <c r="A236" s="704" t="s">
        <v>384</v>
      </c>
      <c r="B236" s="711">
        <v>1</v>
      </c>
      <c r="C236" s="746">
        <v>840.11</v>
      </c>
      <c r="D236" s="746">
        <v>1210</v>
      </c>
      <c r="E236" s="735"/>
      <c r="F236" s="746">
        <v>2618.7399999999998</v>
      </c>
      <c r="G236" s="735"/>
      <c r="H236" s="735"/>
      <c r="I236" s="735"/>
      <c r="J236" s="735"/>
      <c r="K236" s="735">
        <f t="shared" si="120"/>
        <v>4668.8500000000004</v>
      </c>
      <c r="L236" s="746">
        <v>1000</v>
      </c>
      <c r="M236" s="735"/>
      <c r="N236" s="746">
        <f t="shared" si="121"/>
        <v>1000</v>
      </c>
      <c r="O236" s="746">
        <f t="shared" si="122"/>
        <v>57026.200000000004</v>
      </c>
      <c r="P236" s="735">
        <f t="shared" si="123"/>
        <v>57026.200000000004</v>
      </c>
      <c r="Q236" s="421">
        <v>1</v>
      </c>
      <c r="R236" s="746">
        <v>840.11</v>
      </c>
      <c r="S236" s="746">
        <v>1210</v>
      </c>
      <c r="T236" s="735"/>
      <c r="U236" s="746">
        <v>2618.7399999999998</v>
      </c>
      <c r="V236" s="735"/>
      <c r="W236" s="735"/>
      <c r="X236" s="735"/>
      <c r="Y236" s="735"/>
      <c r="Z236" s="735">
        <f>+R236+S236+U236</f>
        <v>4668.8500000000004</v>
      </c>
      <c r="AA236" s="735">
        <v>1000</v>
      </c>
      <c r="AB236" s="735"/>
      <c r="AC236" s="735">
        <f>AA236+AB236</f>
        <v>1000</v>
      </c>
      <c r="AD236" s="746">
        <f>+Z236*12+AC236</f>
        <v>57026.200000000004</v>
      </c>
      <c r="AE236" s="735">
        <f>Q236*AD236</f>
        <v>57026.200000000004</v>
      </c>
      <c r="AF236" s="736">
        <f t="shared" si="124"/>
        <v>0</v>
      </c>
      <c r="AG236" s="763">
        <f t="shared" si="125"/>
        <v>0</v>
      </c>
      <c r="AH236" s="711">
        <v>1</v>
      </c>
      <c r="AI236" s="735">
        <f t="shared" si="126"/>
        <v>57026.200000000004</v>
      </c>
    </row>
    <row r="237" spans="1:35" x14ac:dyDescent="0.2">
      <c r="A237" s="704" t="s">
        <v>386</v>
      </c>
      <c r="B237" s="711">
        <v>1</v>
      </c>
      <c r="C237" s="746">
        <v>671.99</v>
      </c>
      <c r="D237" s="746">
        <v>1110</v>
      </c>
      <c r="E237" s="735"/>
      <c r="F237" s="746">
        <v>1552.9</v>
      </c>
      <c r="G237" s="735"/>
      <c r="H237" s="735"/>
      <c r="I237" s="735"/>
      <c r="J237" s="735"/>
      <c r="K237" s="735">
        <f t="shared" si="120"/>
        <v>3334.8900000000003</v>
      </c>
      <c r="L237" s="746">
        <v>1000</v>
      </c>
      <c r="M237" s="735"/>
      <c r="N237" s="746">
        <f t="shared" si="121"/>
        <v>1000</v>
      </c>
      <c r="O237" s="746">
        <f t="shared" si="122"/>
        <v>41018.680000000008</v>
      </c>
      <c r="P237" s="735">
        <f t="shared" si="123"/>
        <v>41018.680000000008</v>
      </c>
      <c r="Q237" s="421"/>
      <c r="R237" s="746"/>
      <c r="S237" s="746"/>
      <c r="T237" s="735"/>
      <c r="U237" s="746"/>
      <c r="V237" s="735"/>
      <c r="W237" s="735"/>
      <c r="X237" s="735"/>
      <c r="Y237" s="735"/>
      <c r="Z237" s="735"/>
      <c r="AA237" s="735"/>
      <c r="AB237" s="735"/>
      <c r="AC237" s="735"/>
      <c r="AD237" s="746"/>
      <c r="AE237" s="746"/>
      <c r="AF237" s="736">
        <f t="shared" si="124"/>
        <v>41018.680000000008</v>
      </c>
      <c r="AG237" s="763">
        <f t="shared" si="125"/>
        <v>1</v>
      </c>
      <c r="AH237" s="711"/>
      <c r="AI237" s="735">
        <f t="shared" si="126"/>
        <v>0</v>
      </c>
    </row>
    <row r="238" spans="1:35" x14ac:dyDescent="0.2">
      <c r="A238" s="704" t="s">
        <v>387</v>
      </c>
      <c r="B238" s="711">
        <v>2</v>
      </c>
      <c r="C238" s="746">
        <v>720.68</v>
      </c>
      <c r="D238" s="746">
        <v>1110</v>
      </c>
      <c r="E238" s="735"/>
      <c r="F238" s="746">
        <v>1552.9</v>
      </c>
      <c r="G238" s="735"/>
      <c r="H238" s="735"/>
      <c r="I238" s="735"/>
      <c r="J238" s="735"/>
      <c r="K238" s="746">
        <f t="shared" si="120"/>
        <v>3383.58</v>
      </c>
      <c r="L238" s="746">
        <v>2000</v>
      </c>
      <c r="M238" s="735"/>
      <c r="N238" s="746">
        <f t="shared" si="121"/>
        <v>2000</v>
      </c>
      <c r="O238" s="746">
        <f t="shared" si="122"/>
        <v>42602.96</v>
      </c>
      <c r="P238" s="735">
        <f t="shared" si="123"/>
        <v>85205.92</v>
      </c>
      <c r="Q238" s="421">
        <v>2</v>
      </c>
      <c r="R238" s="746">
        <v>720.68</v>
      </c>
      <c r="S238" s="746">
        <v>1110</v>
      </c>
      <c r="T238" s="735"/>
      <c r="U238" s="746">
        <v>1552.9</v>
      </c>
      <c r="V238" s="735"/>
      <c r="W238" s="735"/>
      <c r="X238" s="735"/>
      <c r="Y238" s="735"/>
      <c r="Z238" s="735">
        <f t="shared" ref="Z238:Z258" si="127">+R238+S238+U238</f>
        <v>3383.58</v>
      </c>
      <c r="AA238" s="735">
        <v>2000</v>
      </c>
      <c r="AB238" s="735"/>
      <c r="AC238" s="735">
        <f t="shared" ref="AC238:AC258" si="128">AA238+AB238</f>
        <v>2000</v>
      </c>
      <c r="AD238" s="746">
        <f t="shared" ref="AD238:AD258" si="129">+Z238*12+AC238</f>
        <v>42602.96</v>
      </c>
      <c r="AE238" s="746">
        <f t="shared" ref="AE238:AE258" si="130">Q238*AD238</f>
        <v>85205.92</v>
      </c>
      <c r="AF238" s="736">
        <f t="shared" si="124"/>
        <v>0</v>
      </c>
      <c r="AG238" s="763">
        <f t="shared" si="125"/>
        <v>0</v>
      </c>
      <c r="AH238" s="711">
        <v>2</v>
      </c>
      <c r="AI238" s="735">
        <f t="shared" si="126"/>
        <v>85205.92</v>
      </c>
    </row>
    <row r="239" spans="1:35" x14ac:dyDescent="0.2">
      <c r="A239" s="704" t="s">
        <v>387</v>
      </c>
      <c r="B239" s="711">
        <v>1</v>
      </c>
      <c r="C239" s="746">
        <v>665.18</v>
      </c>
      <c r="D239" s="746">
        <v>1110</v>
      </c>
      <c r="E239" s="735"/>
      <c r="F239" s="746">
        <v>1602.9</v>
      </c>
      <c r="G239" s="735"/>
      <c r="H239" s="735"/>
      <c r="I239" s="735"/>
      <c r="J239" s="735"/>
      <c r="K239" s="746">
        <f t="shared" si="120"/>
        <v>3378.08</v>
      </c>
      <c r="L239" s="746">
        <v>1000</v>
      </c>
      <c r="M239" s="735"/>
      <c r="N239" s="746">
        <f t="shared" si="121"/>
        <v>1000</v>
      </c>
      <c r="O239" s="746">
        <f t="shared" si="122"/>
        <v>41536.959999999999</v>
      </c>
      <c r="P239" s="735">
        <f t="shared" si="123"/>
        <v>41536.959999999999</v>
      </c>
      <c r="Q239" s="421">
        <v>1</v>
      </c>
      <c r="R239" s="746">
        <v>665.18</v>
      </c>
      <c r="S239" s="746">
        <v>1110</v>
      </c>
      <c r="T239" s="735"/>
      <c r="U239" s="746">
        <v>1602.9</v>
      </c>
      <c r="V239" s="735"/>
      <c r="W239" s="735"/>
      <c r="X239" s="735"/>
      <c r="Y239" s="735"/>
      <c r="Z239" s="735">
        <f t="shared" si="127"/>
        <v>3378.08</v>
      </c>
      <c r="AA239" s="735">
        <v>1000</v>
      </c>
      <c r="AB239" s="735"/>
      <c r="AC239" s="735">
        <f t="shared" si="128"/>
        <v>1000</v>
      </c>
      <c r="AD239" s="746">
        <f t="shared" si="129"/>
        <v>41536.959999999999</v>
      </c>
      <c r="AE239" s="746">
        <f t="shared" si="130"/>
        <v>41536.959999999999</v>
      </c>
      <c r="AF239" s="736">
        <f t="shared" si="124"/>
        <v>0</v>
      </c>
      <c r="AG239" s="763">
        <f t="shared" si="125"/>
        <v>0</v>
      </c>
      <c r="AH239" s="711">
        <v>1</v>
      </c>
      <c r="AI239" s="735">
        <f t="shared" si="126"/>
        <v>41536.959999999999</v>
      </c>
    </row>
    <row r="240" spans="1:35" x14ac:dyDescent="0.2">
      <c r="A240" s="704" t="s">
        <v>387</v>
      </c>
      <c r="B240" s="711">
        <v>1</v>
      </c>
      <c r="C240" s="746">
        <v>702.56</v>
      </c>
      <c r="D240" s="746">
        <v>1110</v>
      </c>
      <c r="E240" s="735"/>
      <c r="F240" s="746">
        <v>1552.9</v>
      </c>
      <c r="G240" s="735"/>
      <c r="H240" s="735"/>
      <c r="I240" s="735"/>
      <c r="J240" s="735"/>
      <c r="K240" s="746">
        <f t="shared" si="120"/>
        <v>3365.46</v>
      </c>
      <c r="L240" s="746">
        <v>1000</v>
      </c>
      <c r="M240" s="735"/>
      <c r="N240" s="746">
        <f t="shared" si="121"/>
        <v>1000</v>
      </c>
      <c r="O240" s="746">
        <f t="shared" si="122"/>
        <v>41385.520000000004</v>
      </c>
      <c r="P240" s="735">
        <f t="shared" si="123"/>
        <v>41385.520000000004</v>
      </c>
      <c r="Q240" s="421">
        <v>1</v>
      </c>
      <c r="R240" s="746">
        <v>702.56</v>
      </c>
      <c r="S240" s="746">
        <v>1110</v>
      </c>
      <c r="T240" s="735"/>
      <c r="U240" s="746">
        <v>1552.9</v>
      </c>
      <c r="V240" s="735"/>
      <c r="W240" s="735"/>
      <c r="X240" s="735"/>
      <c r="Y240" s="735"/>
      <c r="Z240" s="735">
        <f t="shared" si="127"/>
        <v>3365.46</v>
      </c>
      <c r="AA240" s="735">
        <v>1000</v>
      </c>
      <c r="AB240" s="735"/>
      <c r="AC240" s="735">
        <f t="shared" si="128"/>
        <v>1000</v>
      </c>
      <c r="AD240" s="746">
        <f t="shared" si="129"/>
        <v>41385.520000000004</v>
      </c>
      <c r="AE240" s="746">
        <f t="shared" si="130"/>
        <v>41385.520000000004</v>
      </c>
      <c r="AF240" s="736">
        <f t="shared" si="124"/>
        <v>0</v>
      </c>
      <c r="AG240" s="763">
        <f t="shared" si="125"/>
        <v>0</v>
      </c>
      <c r="AH240" s="711">
        <v>1</v>
      </c>
      <c r="AI240" s="735">
        <f t="shared" si="126"/>
        <v>41385.520000000004</v>
      </c>
    </row>
    <row r="241" spans="1:35" x14ac:dyDescent="0.2">
      <c r="A241" s="704" t="s">
        <v>387</v>
      </c>
      <c r="B241" s="711">
        <v>1</v>
      </c>
      <c r="C241" s="746">
        <v>707.08</v>
      </c>
      <c r="D241" s="746">
        <v>1110</v>
      </c>
      <c r="E241" s="735"/>
      <c r="F241" s="746">
        <v>1561</v>
      </c>
      <c r="G241" s="735"/>
      <c r="H241" s="735"/>
      <c r="I241" s="735"/>
      <c r="J241" s="735"/>
      <c r="K241" s="746">
        <f t="shared" si="120"/>
        <v>3378.08</v>
      </c>
      <c r="L241" s="746">
        <v>1000</v>
      </c>
      <c r="M241" s="735"/>
      <c r="N241" s="746">
        <f t="shared" si="121"/>
        <v>1000</v>
      </c>
      <c r="O241" s="746">
        <f t="shared" si="122"/>
        <v>41536.959999999999</v>
      </c>
      <c r="P241" s="735">
        <f t="shared" si="123"/>
        <v>41536.959999999999</v>
      </c>
      <c r="Q241" s="421">
        <v>1</v>
      </c>
      <c r="R241" s="746">
        <v>707.08</v>
      </c>
      <c r="S241" s="746">
        <v>1110</v>
      </c>
      <c r="T241" s="735"/>
      <c r="U241" s="746">
        <v>1561</v>
      </c>
      <c r="V241" s="735"/>
      <c r="W241" s="735"/>
      <c r="X241" s="735"/>
      <c r="Y241" s="735"/>
      <c r="Z241" s="735">
        <f t="shared" si="127"/>
        <v>3378.08</v>
      </c>
      <c r="AA241" s="735">
        <v>1000</v>
      </c>
      <c r="AB241" s="735"/>
      <c r="AC241" s="735">
        <f t="shared" si="128"/>
        <v>1000</v>
      </c>
      <c r="AD241" s="746">
        <f t="shared" si="129"/>
        <v>41536.959999999999</v>
      </c>
      <c r="AE241" s="746">
        <f t="shared" si="130"/>
        <v>41536.959999999999</v>
      </c>
      <c r="AF241" s="736">
        <f t="shared" si="124"/>
        <v>0</v>
      </c>
      <c r="AG241" s="763">
        <f t="shared" si="125"/>
        <v>0</v>
      </c>
      <c r="AH241" s="711">
        <v>1</v>
      </c>
      <c r="AI241" s="735">
        <f t="shared" si="126"/>
        <v>41536.959999999999</v>
      </c>
    </row>
    <row r="242" spans="1:35" x14ac:dyDescent="0.2">
      <c r="A242" s="704" t="s">
        <v>387</v>
      </c>
      <c r="B242" s="711">
        <v>1</v>
      </c>
      <c r="C242" s="746">
        <v>762.65</v>
      </c>
      <c r="D242" s="746">
        <v>1110</v>
      </c>
      <c r="E242" s="735"/>
      <c r="F242" s="746">
        <v>1552.9</v>
      </c>
      <c r="G242" s="735"/>
      <c r="H242" s="735"/>
      <c r="I242" s="735"/>
      <c r="J242" s="735"/>
      <c r="K242" s="746">
        <f t="shared" si="120"/>
        <v>3425.55</v>
      </c>
      <c r="L242" s="746">
        <v>1000</v>
      </c>
      <c r="M242" s="735"/>
      <c r="N242" s="746">
        <f t="shared" si="121"/>
        <v>1000</v>
      </c>
      <c r="O242" s="746">
        <f t="shared" si="122"/>
        <v>42106.600000000006</v>
      </c>
      <c r="P242" s="735">
        <f t="shared" si="123"/>
        <v>42106.600000000006</v>
      </c>
      <c r="Q242" s="421">
        <v>1</v>
      </c>
      <c r="R242" s="746">
        <v>762.65</v>
      </c>
      <c r="S242" s="746">
        <v>1110</v>
      </c>
      <c r="T242" s="735"/>
      <c r="U242" s="746">
        <v>1552.9</v>
      </c>
      <c r="V242" s="735"/>
      <c r="W242" s="735"/>
      <c r="X242" s="735"/>
      <c r="Y242" s="735"/>
      <c r="Z242" s="735">
        <f t="shared" si="127"/>
        <v>3425.55</v>
      </c>
      <c r="AA242" s="735">
        <v>1000</v>
      </c>
      <c r="AB242" s="735"/>
      <c r="AC242" s="735">
        <f t="shared" si="128"/>
        <v>1000</v>
      </c>
      <c r="AD242" s="746">
        <f t="shared" si="129"/>
        <v>42106.600000000006</v>
      </c>
      <c r="AE242" s="746">
        <f t="shared" si="130"/>
        <v>42106.600000000006</v>
      </c>
      <c r="AF242" s="736">
        <f t="shared" si="124"/>
        <v>0</v>
      </c>
      <c r="AG242" s="763">
        <f t="shared" si="125"/>
        <v>0</v>
      </c>
      <c r="AH242" s="711">
        <v>1</v>
      </c>
      <c r="AI242" s="735">
        <f t="shared" si="126"/>
        <v>42106.600000000006</v>
      </c>
    </row>
    <row r="243" spans="1:35" x14ac:dyDescent="0.2">
      <c r="A243" s="704" t="s">
        <v>390</v>
      </c>
      <c r="B243" s="711">
        <v>4</v>
      </c>
      <c r="C243" s="735">
        <v>654.49</v>
      </c>
      <c r="D243" s="746">
        <v>1070</v>
      </c>
      <c r="E243" s="735"/>
      <c r="F243" s="735">
        <v>1077.1300000000001</v>
      </c>
      <c r="G243" s="735"/>
      <c r="H243" s="735"/>
      <c r="I243" s="735"/>
      <c r="J243" s="735"/>
      <c r="K243" s="746">
        <f t="shared" si="120"/>
        <v>2801.62</v>
      </c>
      <c r="L243" s="746">
        <v>4000</v>
      </c>
      <c r="M243" s="735"/>
      <c r="N243" s="746">
        <f t="shared" si="121"/>
        <v>4000</v>
      </c>
      <c r="O243" s="746">
        <f t="shared" si="122"/>
        <v>37619.440000000002</v>
      </c>
      <c r="P243" s="735">
        <f t="shared" si="123"/>
        <v>150477.76000000001</v>
      </c>
      <c r="Q243" s="421">
        <v>4</v>
      </c>
      <c r="R243" s="735">
        <v>654.49</v>
      </c>
      <c r="S243" s="746">
        <v>1070</v>
      </c>
      <c r="T243" s="735"/>
      <c r="U243" s="735">
        <v>1077.1300000000001</v>
      </c>
      <c r="V243" s="735"/>
      <c r="W243" s="735"/>
      <c r="X243" s="735"/>
      <c r="Y243" s="735"/>
      <c r="Z243" s="735">
        <f t="shared" si="127"/>
        <v>2801.62</v>
      </c>
      <c r="AA243" s="735">
        <v>4000</v>
      </c>
      <c r="AB243" s="735"/>
      <c r="AC243" s="735">
        <f t="shared" si="128"/>
        <v>4000</v>
      </c>
      <c r="AD243" s="746">
        <f t="shared" si="129"/>
        <v>37619.440000000002</v>
      </c>
      <c r="AE243" s="746">
        <f t="shared" si="130"/>
        <v>150477.76000000001</v>
      </c>
      <c r="AF243" s="736">
        <f t="shared" si="124"/>
        <v>0</v>
      </c>
      <c r="AG243" s="763">
        <f t="shared" si="125"/>
        <v>0</v>
      </c>
      <c r="AH243" s="711">
        <v>4</v>
      </c>
      <c r="AI243" s="735">
        <f t="shared" si="126"/>
        <v>150477.76000000001</v>
      </c>
    </row>
    <row r="244" spans="1:35" x14ac:dyDescent="0.2">
      <c r="A244" s="704" t="s">
        <v>390</v>
      </c>
      <c r="B244" s="711">
        <v>3</v>
      </c>
      <c r="C244" s="735">
        <v>637.1</v>
      </c>
      <c r="D244" s="746">
        <v>1070</v>
      </c>
      <c r="E244" s="735"/>
      <c r="F244" s="735">
        <v>1077.1300000000001</v>
      </c>
      <c r="G244" s="735"/>
      <c r="H244" s="735"/>
      <c r="I244" s="735"/>
      <c r="J244" s="735"/>
      <c r="K244" s="746">
        <f t="shared" si="120"/>
        <v>2784.23</v>
      </c>
      <c r="L244" s="746">
        <v>3000</v>
      </c>
      <c r="M244" s="735"/>
      <c r="N244" s="746">
        <f t="shared" si="121"/>
        <v>3000</v>
      </c>
      <c r="O244" s="746">
        <f t="shared" si="122"/>
        <v>36410.76</v>
      </c>
      <c r="P244" s="735">
        <f t="shared" si="123"/>
        <v>109232.28</v>
      </c>
      <c r="Q244" s="421">
        <v>2</v>
      </c>
      <c r="R244" s="735">
        <v>637.1</v>
      </c>
      <c r="S244" s="746">
        <v>1070</v>
      </c>
      <c r="T244" s="735"/>
      <c r="U244" s="735">
        <v>1077.1300000000001</v>
      </c>
      <c r="V244" s="735"/>
      <c r="W244" s="735"/>
      <c r="X244" s="735"/>
      <c r="Y244" s="735"/>
      <c r="Z244" s="735">
        <f t="shared" si="127"/>
        <v>2784.23</v>
      </c>
      <c r="AA244" s="735">
        <v>2000</v>
      </c>
      <c r="AB244" s="735"/>
      <c r="AC244" s="735">
        <f t="shared" si="128"/>
        <v>2000</v>
      </c>
      <c r="AD244" s="746">
        <f t="shared" si="129"/>
        <v>35410.76</v>
      </c>
      <c r="AE244" s="746">
        <f t="shared" si="130"/>
        <v>70821.52</v>
      </c>
      <c r="AF244" s="736">
        <f t="shared" si="124"/>
        <v>38410.759999999995</v>
      </c>
      <c r="AG244" s="763">
        <f t="shared" si="125"/>
        <v>1</v>
      </c>
      <c r="AH244" s="711">
        <v>2</v>
      </c>
      <c r="AI244" s="735">
        <f t="shared" si="126"/>
        <v>70821.52</v>
      </c>
    </row>
    <row r="245" spans="1:35" x14ac:dyDescent="0.2">
      <c r="A245" s="704" t="s">
        <v>390</v>
      </c>
      <c r="B245" s="711">
        <v>4</v>
      </c>
      <c r="C245" s="735">
        <v>631.6</v>
      </c>
      <c r="D245" s="746">
        <v>1070</v>
      </c>
      <c r="E245" s="735"/>
      <c r="F245" s="735">
        <v>1077.1300000000001</v>
      </c>
      <c r="G245" s="735"/>
      <c r="H245" s="735"/>
      <c r="I245" s="735"/>
      <c r="J245" s="735"/>
      <c r="K245" s="746">
        <f t="shared" si="120"/>
        <v>2778.73</v>
      </c>
      <c r="L245" s="746">
        <v>4000</v>
      </c>
      <c r="M245" s="735"/>
      <c r="N245" s="746">
        <f t="shared" si="121"/>
        <v>4000</v>
      </c>
      <c r="O245" s="746">
        <f t="shared" si="122"/>
        <v>37344.76</v>
      </c>
      <c r="P245" s="735">
        <f t="shared" si="123"/>
        <v>149379.04</v>
      </c>
      <c r="Q245" s="421">
        <v>3</v>
      </c>
      <c r="R245" s="735">
        <v>631.6</v>
      </c>
      <c r="S245" s="746">
        <v>1070</v>
      </c>
      <c r="T245" s="735"/>
      <c r="U245" s="735">
        <v>1077.1300000000001</v>
      </c>
      <c r="V245" s="735"/>
      <c r="W245" s="735"/>
      <c r="X245" s="735"/>
      <c r="Y245" s="735"/>
      <c r="Z245" s="735">
        <f t="shared" si="127"/>
        <v>2778.73</v>
      </c>
      <c r="AA245" s="735">
        <v>3000</v>
      </c>
      <c r="AB245" s="735"/>
      <c r="AC245" s="735">
        <f t="shared" si="128"/>
        <v>3000</v>
      </c>
      <c r="AD245" s="746">
        <f t="shared" si="129"/>
        <v>36344.76</v>
      </c>
      <c r="AE245" s="746">
        <f t="shared" si="130"/>
        <v>109034.28</v>
      </c>
      <c r="AF245" s="736">
        <f t="shared" si="124"/>
        <v>40344.760000000009</v>
      </c>
      <c r="AG245" s="763">
        <f t="shared" si="125"/>
        <v>1</v>
      </c>
      <c r="AH245" s="711">
        <v>3</v>
      </c>
      <c r="AI245" s="735">
        <f t="shared" si="126"/>
        <v>109034.28</v>
      </c>
    </row>
    <row r="246" spans="1:35" x14ac:dyDescent="0.2">
      <c r="A246" s="704" t="s">
        <v>390</v>
      </c>
      <c r="B246" s="711">
        <v>1</v>
      </c>
      <c r="C246" s="735">
        <v>651.48</v>
      </c>
      <c r="D246" s="746">
        <v>1070</v>
      </c>
      <c r="E246" s="735"/>
      <c r="F246" s="735">
        <v>1077.1300000000001</v>
      </c>
      <c r="G246" s="735"/>
      <c r="H246" s="735"/>
      <c r="I246" s="735"/>
      <c r="J246" s="735"/>
      <c r="K246" s="746">
        <f t="shared" si="120"/>
        <v>2798.61</v>
      </c>
      <c r="L246" s="746">
        <v>1000</v>
      </c>
      <c r="M246" s="735"/>
      <c r="N246" s="746">
        <f t="shared" si="121"/>
        <v>1000</v>
      </c>
      <c r="O246" s="746">
        <f t="shared" si="122"/>
        <v>34583.32</v>
      </c>
      <c r="P246" s="735">
        <f t="shared" si="123"/>
        <v>34583.32</v>
      </c>
      <c r="Q246" s="421">
        <v>1</v>
      </c>
      <c r="R246" s="735">
        <v>651.48</v>
      </c>
      <c r="S246" s="746">
        <v>1070</v>
      </c>
      <c r="T246" s="735"/>
      <c r="U246" s="735">
        <v>1077.1300000000001</v>
      </c>
      <c r="V246" s="735"/>
      <c r="W246" s="735"/>
      <c r="X246" s="735"/>
      <c r="Y246" s="735"/>
      <c r="Z246" s="735">
        <f t="shared" si="127"/>
        <v>2798.61</v>
      </c>
      <c r="AA246" s="735">
        <v>1000</v>
      </c>
      <c r="AB246" s="735"/>
      <c r="AC246" s="735">
        <f t="shared" si="128"/>
        <v>1000</v>
      </c>
      <c r="AD246" s="746">
        <f t="shared" si="129"/>
        <v>34583.32</v>
      </c>
      <c r="AE246" s="746">
        <f t="shared" si="130"/>
        <v>34583.32</v>
      </c>
      <c r="AF246" s="736">
        <f t="shared" si="124"/>
        <v>0</v>
      </c>
      <c r="AG246" s="763">
        <f t="shared" si="125"/>
        <v>0</v>
      </c>
      <c r="AH246" s="711">
        <v>1</v>
      </c>
      <c r="AI246" s="735">
        <f t="shared" si="126"/>
        <v>34583.32</v>
      </c>
    </row>
    <row r="247" spans="1:35" x14ac:dyDescent="0.2">
      <c r="A247" s="704" t="s">
        <v>390</v>
      </c>
      <c r="B247" s="711">
        <v>2</v>
      </c>
      <c r="C247" s="735">
        <v>639.61</v>
      </c>
      <c r="D247" s="746">
        <v>1070</v>
      </c>
      <c r="E247" s="735"/>
      <c r="F247" s="735">
        <v>1077.1300000000001</v>
      </c>
      <c r="G247" s="735"/>
      <c r="H247" s="735"/>
      <c r="I247" s="735"/>
      <c r="J247" s="735"/>
      <c r="K247" s="746">
        <f t="shared" si="120"/>
        <v>2786.7400000000002</v>
      </c>
      <c r="L247" s="746">
        <v>2000</v>
      </c>
      <c r="M247" s="735"/>
      <c r="N247" s="746">
        <f t="shared" si="121"/>
        <v>2000</v>
      </c>
      <c r="O247" s="746">
        <f t="shared" si="122"/>
        <v>35440.880000000005</v>
      </c>
      <c r="P247" s="735">
        <f t="shared" si="123"/>
        <v>70881.760000000009</v>
      </c>
      <c r="Q247" s="421">
        <v>2</v>
      </c>
      <c r="R247" s="735">
        <v>639.61</v>
      </c>
      <c r="S247" s="746">
        <v>1070</v>
      </c>
      <c r="T247" s="735"/>
      <c r="U247" s="735">
        <v>1077.1300000000001</v>
      </c>
      <c r="V247" s="735"/>
      <c r="W247" s="735"/>
      <c r="X247" s="735"/>
      <c r="Y247" s="735"/>
      <c r="Z247" s="735">
        <f t="shared" si="127"/>
        <v>2786.7400000000002</v>
      </c>
      <c r="AA247" s="735">
        <v>2000</v>
      </c>
      <c r="AB247" s="735"/>
      <c r="AC247" s="735">
        <f t="shared" si="128"/>
        <v>2000</v>
      </c>
      <c r="AD247" s="746">
        <f t="shared" si="129"/>
        <v>35440.880000000005</v>
      </c>
      <c r="AE247" s="746">
        <f t="shared" si="130"/>
        <v>70881.760000000009</v>
      </c>
      <c r="AF247" s="736">
        <f t="shared" si="124"/>
        <v>0</v>
      </c>
      <c r="AG247" s="763">
        <f t="shared" si="125"/>
        <v>0</v>
      </c>
      <c r="AH247" s="711">
        <v>2</v>
      </c>
      <c r="AI247" s="735">
        <f t="shared" si="126"/>
        <v>70881.760000000009</v>
      </c>
    </row>
    <row r="248" spans="1:35" x14ac:dyDescent="0.2">
      <c r="A248" s="704" t="s">
        <v>390</v>
      </c>
      <c r="B248" s="711">
        <v>1</v>
      </c>
      <c r="C248" s="735">
        <v>651.5</v>
      </c>
      <c r="D248" s="746">
        <v>1070</v>
      </c>
      <c r="E248" s="735"/>
      <c r="F248" s="735">
        <v>1077.1300000000001</v>
      </c>
      <c r="G248" s="735"/>
      <c r="H248" s="735"/>
      <c r="I248" s="735"/>
      <c r="J248" s="735"/>
      <c r="K248" s="746">
        <f t="shared" si="120"/>
        <v>2798.63</v>
      </c>
      <c r="L248" s="746">
        <v>1000</v>
      </c>
      <c r="M248" s="735"/>
      <c r="N248" s="746">
        <f t="shared" si="121"/>
        <v>1000</v>
      </c>
      <c r="O248" s="746">
        <f t="shared" si="122"/>
        <v>34583.56</v>
      </c>
      <c r="P248" s="735">
        <f t="shared" si="123"/>
        <v>34583.56</v>
      </c>
      <c r="Q248" s="421">
        <v>1</v>
      </c>
      <c r="R248" s="735">
        <v>651.5</v>
      </c>
      <c r="S248" s="746">
        <v>1070</v>
      </c>
      <c r="T248" s="735"/>
      <c r="U248" s="735">
        <v>1077.1300000000001</v>
      </c>
      <c r="V248" s="735"/>
      <c r="W248" s="735"/>
      <c r="X248" s="735"/>
      <c r="Y248" s="735"/>
      <c r="Z248" s="735">
        <f t="shared" si="127"/>
        <v>2798.63</v>
      </c>
      <c r="AA248" s="735">
        <v>1000</v>
      </c>
      <c r="AB248" s="735"/>
      <c r="AC248" s="735">
        <f t="shared" si="128"/>
        <v>1000</v>
      </c>
      <c r="AD248" s="746">
        <f t="shared" si="129"/>
        <v>34583.56</v>
      </c>
      <c r="AE248" s="746">
        <f t="shared" si="130"/>
        <v>34583.56</v>
      </c>
      <c r="AF248" s="736">
        <f t="shared" si="124"/>
        <v>0</v>
      </c>
      <c r="AG248" s="763">
        <f t="shared" si="125"/>
        <v>0</v>
      </c>
      <c r="AH248" s="711">
        <v>1</v>
      </c>
      <c r="AI248" s="735">
        <f t="shared" si="126"/>
        <v>34583.56</v>
      </c>
    </row>
    <row r="249" spans="1:35" x14ac:dyDescent="0.2">
      <c r="A249" s="704" t="s">
        <v>390</v>
      </c>
      <c r="B249" s="711">
        <v>1</v>
      </c>
      <c r="C249" s="735">
        <v>634.6</v>
      </c>
      <c r="D249" s="746">
        <v>1070</v>
      </c>
      <c r="E249" s="735"/>
      <c r="F249" s="735">
        <v>1077.1300000000001</v>
      </c>
      <c r="G249" s="735"/>
      <c r="H249" s="735"/>
      <c r="I249" s="735"/>
      <c r="J249" s="735"/>
      <c r="K249" s="746">
        <f t="shared" si="120"/>
        <v>2781.73</v>
      </c>
      <c r="L249" s="746">
        <v>1000</v>
      </c>
      <c r="M249" s="735"/>
      <c r="N249" s="746">
        <f t="shared" si="121"/>
        <v>1000</v>
      </c>
      <c r="O249" s="746">
        <f t="shared" si="122"/>
        <v>34380.76</v>
      </c>
      <c r="P249" s="735">
        <f t="shared" si="123"/>
        <v>34380.76</v>
      </c>
      <c r="Q249" s="421">
        <v>1</v>
      </c>
      <c r="R249" s="735">
        <v>634.6</v>
      </c>
      <c r="S249" s="746">
        <v>1070</v>
      </c>
      <c r="T249" s="735"/>
      <c r="U249" s="735">
        <v>1077.1300000000001</v>
      </c>
      <c r="V249" s="735"/>
      <c r="W249" s="735"/>
      <c r="X249" s="735"/>
      <c r="Y249" s="735"/>
      <c r="Z249" s="735">
        <f t="shared" si="127"/>
        <v>2781.73</v>
      </c>
      <c r="AA249" s="735">
        <v>1000</v>
      </c>
      <c r="AB249" s="735"/>
      <c r="AC249" s="735">
        <f t="shared" si="128"/>
        <v>1000</v>
      </c>
      <c r="AD249" s="746">
        <f t="shared" si="129"/>
        <v>34380.76</v>
      </c>
      <c r="AE249" s="746">
        <f t="shared" si="130"/>
        <v>34380.76</v>
      </c>
      <c r="AF249" s="736">
        <f t="shared" si="124"/>
        <v>0</v>
      </c>
      <c r="AG249" s="763">
        <f t="shared" si="125"/>
        <v>0</v>
      </c>
      <c r="AH249" s="711">
        <v>1</v>
      </c>
      <c r="AI249" s="735">
        <f t="shared" si="126"/>
        <v>34380.76</v>
      </c>
    </row>
    <row r="250" spans="1:35" x14ac:dyDescent="0.2">
      <c r="A250" s="704" t="s">
        <v>390</v>
      </c>
      <c r="B250" s="711">
        <v>1</v>
      </c>
      <c r="C250" s="735">
        <v>595.64</v>
      </c>
      <c r="D250" s="746">
        <v>1070</v>
      </c>
      <c r="E250" s="735"/>
      <c r="F250" s="735">
        <v>1077.1300000000001</v>
      </c>
      <c r="G250" s="735"/>
      <c r="H250" s="735"/>
      <c r="I250" s="735"/>
      <c r="J250" s="735"/>
      <c r="K250" s="746">
        <f t="shared" si="120"/>
        <v>2742.77</v>
      </c>
      <c r="L250" s="746">
        <v>1000</v>
      </c>
      <c r="M250" s="735"/>
      <c r="N250" s="746">
        <f t="shared" si="121"/>
        <v>1000</v>
      </c>
      <c r="O250" s="746">
        <f t="shared" si="122"/>
        <v>33913.24</v>
      </c>
      <c r="P250" s="735">
        <f t="shared" si="123"/>
        <v>33913.24</v>
      </c>
      <c r="Q250" s="421">
        <v>1</v>
      </c>
      <c r="R250" s="735">
        <v>595.64</v>
      </c>
      <c r="S250" s="746">
        <v>1070</v>
      </c>
      <c r="T250" s="735"/>
      <c r="U250" s="735">
        <v>1077.1300000000001</v>
      </c>
      <c r="V250" s="735"/>
      <c r="W250" s="735"/>
      <c r="X250" s="735"/>
      <c r="Y250" s="735"/>
      <c r="Z250" s="735">
        <f t="shared" si="127"/>
        <v>2742.77</v>
      </c>
      <c r="AA250" s="735">
        <v>1000</v>
      </c>
      <c r="AB250" s="735"/>
      <c r="AC250" s="735">
        <f t="shared" si="128"/>
        <v>1000</v>
      </c>
      <c r="AD250" s="746">
        <f t="shared" si="129"/>
        <v>33913.24</v>
      </c>
      <c r="AE250" s="746">
        <f t="shared" si="130"/>
        <v>33913.24</v>
      </c>
      <c r="AF250" s="736">
        <f t="shared" si="124"/>
        <v>0</v>
      </c>
      <c r="AG250" s="763">
        <f t="shared" si="125"/>
        <v>0</v>
      </c>
      <c r="AH250" s="711">
        <v>1</v>
      </c>
      <c r="AI250" s="735">
        <f t="shared" si="126"/>
        <v>33913.24</v>
      </c>
    </row>
    <row r="251" spans="1:35" x14ac:dyDescent="0.2">
      <c r="A251" s="704" t="s">
        <v>390</v>
      </c>
      <c r="B251" s="711">
        <v>2</v>
      </c>
      <c r="C251" s="735">
        <v>595.64</v>
      </c>
      <c r="D251" s="746">
        <v>1070</v>
      </c>
      <c r="E251" s="735"/>
      <c r="F251" s="735">
        <v>1110.5899999999999</v>
      </c>
      <c r="G251" s="735"/>
      <c r="H251" s="735"/>
      <c r="I251" s="735"/>
      <c r="J251" s="735"/>
      <c r="K251" s="746">
        <f t="shared" si="120"/>
        <v>2776.2299999999996</v>
      </c>
      <c r="L251" s="746">
        <v>2000</v>
      </c>
      <c r="M251" s="735"/>
      <c r="N251" s="746">
        <f t="shared" si="121"/>
        <v>2000</v>
      </c>
      <c r="O251" s="746">
        <f t="shared" si="122"/>
        <v>35314.759999999995</v>
      </c>
      <c r="P251" s="735">
        <f t="shared" si="123"/>
        <v>70629.51999999999</v>
      </c>
      <c r="Q251" s="421">
        <v>2</v>
      </c>
      <c r="R251" s="735">
        <v>595.64</v>
      </c>
      <c r="S251" s="746">
        <v>1070</v>
      </c>
      <c r="T251" s="735"/>
      <c r="U251" s="735">
        <v>1110.5899999999999</v>
      </c>
      <c r="V251" s="735"/>
      <c r="W251" s="735"/>
      <c r="X251" s="735"/>
      <c r="Y251" s="735"/>
      <c r="Z251" s="735">
        <f t="shared" si="127"/>
        <v>2776.2299999999996</v>
      </c>
      <c r="AA251" s="735">
        <v>2000</v>
      </c>
      <c r="AB251" s="735"/>
      <c r="AC251" s="735">
        <f t="shared" si="128"/>
        <v>2000</v>
      </c>
      <c r="AD251" s="746">
        <f t="shared" si="129"/>
        <v>35314.759999999995</v>
      </c>
      <c r="AE251" s="746">
        <f t="shared" si="130"/>
        <v>70629.51999999999</v>
      </c>
      <c r="AF251" s="736">
        <f t="shared" si="124"/>
        <v>0</v>
      </c>
      <c r="AG251" s="763">
        <f t="shared" si="125"/>
        <v>0</v>
      </c>
      <c r="AH251" s="711">
        <v>2</v>
      </c>
      <c r="AI251" s="735">
        <f t="shared" si="126"/>
        <v>70629.51999999999</v>
      </c>
    </row>
    <row r="252" spans="1:35" x14ac:dyDescent="0.2">
      <c r="A252" s="704" t="s">
        <v>390</v>
      </c>
      <c r="B252" s="711">
        <v>2</v>
      </c>
      <c r="C252" s="735">
        <v>599.72</v>
      </c>
      <c r="D252" s="746">
        <v>1070</v>
      </c>
      <c r="E252" s="735"/>
      <c r="F252" s="735">
        <v>1077.1300000000001</v>
      </c>
      <c r="G252" s="735"/>
      <c r="H252" s="735"/>
      <c r="I252" s="735"/>
      <c r="J252" s="735"/>
      <c r="K252" s="746">
        <f t="shared" si="120"/>
        <v>2746.8500000000004</v>
      </c>
      <c r="L252" s="746">
        <v>2000</v>
      </c>
      <c r="M252" s="735"/>
      <c r="N252" s="746">
        <f t="shared" si="121"/>
        <v>2000</v>
      </c>
      <c r="O252" s="746">
        <f t="shared" si="122"/>
        <v>34962.200000000004</v>
      </c>
      <c r="P252" s="735">
        <f t="shared" si="123"/>
        <v>69924.400000000009</v>
      </c>
      <c r="Q252" s="421">
        <v>2</v>
      </c>
      <c r="R252" s="735">
        <v>599.72</v>
      </c>
      <c r="S252" s="746">
        <v>1070</v>
      </c>
      <c r="T252" s="735"/>
      <c r="U252" s="735">
        <v>1077.1300000000001</v>
      </c>
      <c r="V252" s="735"/>
      <c r="W252" s="735"/>
      <c r="X252" s="735"/>
      <c r="Y252" s="735"/>
      <c r="Z252" s="735">
        <f t="shared" si="127"/>
        <v>2746.8500000000004</v>
      </c>
      <c r="AA252" s="735">
        <v>2000</v>
      </c>
      <c r="AB252" s="735"/>
      <c r="AC252" s="735">
        <f t="shared" si="128"/>
        <v>2000</v>
      </c>
      <c r="AD252" s="746">
        <f t="shared" si="129"/>
        <v>34962.200000000004</v>
      </c>
      <c r="AE252" s="746">
        <f t="shared" si="130"/>
        <v>69924.400000000009</v>
      </c>
      <c r="AF252" s="736">
        <f t="shared" si="124"/>
        <v>0</v>
      </c>
      <c r="AG252" s="763">
        <f t="shared" si="125"/>
        <v>0</v>
      </c>
      <c r="AH252" s="711">
        <v>2</v>
      </c>
      <c r="AI252" s="735">
        <f t="shared" si="126"/>
        <v>69924.400000000009</v>
      </c>
    </row>
    <row r="253" spans="1:35" x14ac:dyDescent="0.2">
      <c r="A253" s="704" t="s">
        <v>390</v>
      </c>
      <c r="B253" s="711">
        <v>1</v>
      </c>
      <c r="C253" s="735">
        <v>641.98</v>
      </c>
      <c r="D253" s="746">
        <v>1070</v>
      </c>
      <c r="E253" s="735"/>
      <c r="F253" s="735">
        <v>1077.1300000000001</v>
      </c>
      <c r="G253" s="735"/>
      <c r="H253" s="735"/>
      <c r="I253" s="735"/>
      <c r="J253" s="735"/>
      <c r="K253" s="746">
        <f t="shared" si="120"/>
        <v>2789.11</v>
      </c>
      <c r="L253" s="746">
        <v>1000</v>
      </c>
      <c r="M253" s="735"/>
      <c r="N253" s="746">
        <f t="shared" si="121"/>
        <v>1000</v>
      </c>
      <c r="O253" s="746">
        <f t="shared" si="122"/>
        <v>34469.32</v>
      </c>
      <c r="P253" s="735">
        <f t="shared" si="123"/>
        <v>34469.32</v>
      </c>
      <c r="Q253" s="421">
        <v>1</v>
      </c>
      <c r="R253" s="735">
        <v>641.98</v>
      </c>
      <c r="S253" s="746">
        <v>1070</v>
      </c>
      <c r="T253" s="735"/>
      <c r="U253" s="735">
        <v>1077.1300000000001</v>
      </c>
      <c r="V253" s="735"/>
      <c r="W253" s="735"/>
      <c r="X253" s="735"/>
      <c r="Y253" s="735"/>
      <c r="Z253" s="735">
        <f t="shared" si="127"/>
        <v>2789.11</v>
      </c>
      <c r="AA253" s="735">
        <v>1000</v>
      </c>
      <c r="AB253" s="735"/>
      <c r="AC253" s="735">
        <f t="shared" si="128"/>
        <v>1000</v>
      </c>
      <c r="AD253" s="746">
        <f t="shared" si="129"/>
        <v>34469.32</v>
      </c>
      <c r="AE253" s="746">
        <f t="shared" si="130"/>
        <v>34469.32</v>
      </c>
      <c r="AF253" s="736">
        <f t="shared" si="124"/>
        <v>0</v>
      </c>
      <c r="AG253" s="763">
        <f t="shared" si="125"/>
        <v>0</v>
      </c>
      <c r="AH253" s="711">
        <v>1</v>
      </c>
      <c r="AI253" s="735">
        <f t="shared" si="126"/>
        <v>34469.32</v>
      </c>
    </row>
    <row r="254" spans="1:35" x14ac:dyDescent="0.2">
      <c r="A254" s="704" t="s">
        <v>391</v>
      </c>
      <c r="B254" s="711">
        <v>2</v>
      </c>
      <c r="C254" s="735">
        <v>621.01</v>
      </c>
      <c r="D254" s="746">
        <v>1070</v>
      </c>
      <c r="E254" s="735"/>
      <c r="F254" s="735">
        <v>1077.1300000000001</v>
      </c>
      <c r="G254" s="735"/>
      <c r="H254" s="735"/>
      <c r="I254" s="735"/>
      <c r="J254" s="735"/>
      <c r="K254" s="735">
        <f t="shared" si="120"/>
        <v>2768.1400000000003</v>
      </c>
      <c r="L254" s="746">
        <v>2000</v>
      </c>
      <c r="M254" s="735"/>
      <c r="N254" s="746">
        <f t="shared" si="121"/>
        <v>2000</v>
      </c>
      <c r="O254" s="746">
        <f t="shared" si="122"/>
        <v>35217.680000000008</v>
      </c>
      <c r="P254" s="735">
        <f t="shared" si="123"/>
        <v>70435.360000000015</v>
      </c>
      <c r="Q254" s="421">
        <v>2</v>
      </c>
      <c r="R254" s="746">
        <v>621.01</v>
      </c>
      <c r="S254" s="746">
        <v>1070</v>
      </c>
      <c r="T254" s="746"/>
      <c r="U254" s="746">
        <v>1077.1300000000001</v>
      </c>
      <c r="V254" s="735"/>
      <c r="W254" s="735"/>
      <c r="X254" s="735"/>
      <c r="Y254" s="735"/>
      <c r="Z254" s="735">
        <f t="shared" si="127"/>
        <v>2768.1400000000003</v>
      </c>
      <c r="AA254" s="735">
        <v>2000</v>
      </c>
      <c r="AB254" s="735"/>
      <c r="AC254" s="735">
        <f t="shared" si="128"/>
        <v>2000</v>
      </c>
      <c r="AD254" s="746">
        <f t="shared" si="129"/>
        <v>35217.680000000008</v>
      </c>
      <c r="AE254" s="746">
        <f t="shared" si="130"/>
        <v>70435.360000000015</v>
      </c>
      <c r="AF254" s="736">
        <f t="shared" si="124"/>
        <v>0</v>
      </c>
      <c r="AG254" s="763">
        <f t="shared" si="125"/>
        <v>0</v>
      </c>
      <c r="AH254" s="711">
        <v>2</v>
      </c>
      <c r="AI254" s="735">
        <f t="shared" si="126"/>
        <v>70435.360000000015</v>
      </c>
    </row>
    <row r="255" spans="1:35" x14ac:dyDescent="0.2">
      <c r="A255" s="704" t="s">
        <v>391</v>
      </c>
      <c r="B255" s="711">
        <v>1</v>
      </c>
      <c r="C255" s="735">
        <v>618.5</v>
      </c>
      <c r="D255" s="746">
        <v>1070</v>
      </c>
      <c r="E255" s="735"/>
      <c r="F255" s="735">
        <v>1077.1300000000001</v>
      </c>
      <c r="G255" s="735"/>
      <c r="H255" s="735"/>
      <c r="I255" s="735"/>
      <c r="J255" s="735"/>
      <c r="K255" s="746">
        <f t="shared" si="120"/>
        <v>2765.63</v>
      </c>
      <c r="L255" s="746">
        <v>1000</v>
      </c>
      <c r="M255" s="735"/>
      <c r="N255" s="746">
        <f t="shared" si="121"/>
        <v>1000</v>
      </c>
      <c r="O255" s="746">
        <f t="shared" si="122"/>
        <v>34187.56</v>
      </c>
      <c r="P255" s="735">
        <f t="shared" si="123"/>
        <v>34187.56</v>
      </c>
      <c r="Q255" s="421">
        <v>1</v>
      </c>
      <c r="R255" s="746">
        <v>618.5</v>
      </c>
      <c r="S255" s="746">
        <v>1070</v>
      </c>
      <c r="T255" s="746"/>
      <c r="U255" s="746">
        <v>1077.1300000000001</v>
      </c>
      <c r="V255" s="735"/>
      <c r="W255" s="735"/>
      <c r="X255" s="735"/>
      <c r="Y255" s="735"/>
      <c r="Z255" s="735">
        <f t="shared" si="127"/>
        <v>2765.63</v>
      </c>
      <c r="AA255" s="735">
        <v>1000</v>
      </c>
      <c r="AB255" s="735"/>
      <c r="AC255" s="735">
        <f t="shared" si="128"/>
        <v>1000</v>
      </c>
      <c r="AD255" s="746">
        <f t="shared" si="129"/>
        <v>34187.56</v>
      </c>
      <c r="AE255" s="746">
        <f t="shared" si="130"/>
        <v>34187.56</v>
      </c>
      <c r="AF255" s="736">
        <f t="shared" si="124"/>
        <v>0</v>
      </c>
      <c r="AG255" s="763">
        <f t="shared" si="125"/>
        <v>0</v>
      </c>
      <c r="AH255" s="711">
        <v>1</v>
      </c>
      <c r="AI255" s="735">
        <f t="shared" si="126"/>
        <v>34187.56</v>
      </c>
    </row>
    <row r="256" spans="1:35" x14ac:dyDescent="0.2">
      <c r="A256" s="704" t="s">
        <v>391</v>
      </c>
      <c r="B256" s="711">
        <v>5</v>
      </c>
      <c r="C256" s="735">
        <v>587.83000000000004</v>
      </c>
      <c r="D256" s="746">
        <v>1070</v>
      </c>
      <c r="E256" s="735"/>
      <c r="F256" s="746">
        <v>1099.8</v>
      </c>
      <c r="G256" s="735"/>
      <c r="H256" s="735"/>
      <c r="I256" s="735"/>
      <c r="J256" s="735"/>
      <c r="K256" s="746">
        <f t="shared" si="120"/>
        <v>2757.63</v>
      </c>
      <c r="L256" s="746">
        <v>5000</v>
      </c>
      <c r="M256" s="735"/>
      <c r="N256" s="746">
        <f t="shared" si="121"/>
        <v>5000</v>
      </c>
      <c r="O256" s="746">
        <f t="shared" si="122"/>
        <v>38091.56</v>
      </c>
      <c r="P256" s="735">
        <f t="shared" si="123"/>
        <v>190457.8</v>
      </c>
      <c r="Q256" s="421">
        <v>5</v>
      </c>
      <c r="R256" s="746">
        <v>587.83000000000004</v>
      </c>
      <c r="S256" s="746">
        <v>1070</v>
      </c>
      <c r="T256" s="746"/>
      <c r="U256" s="746">
        <v>1099.8</v>
      </c>
      <c r="V256" s="735"/>
      <c r="W256" s="735"/>
      <c r="X256" s="735"/>
      <c r="Y256" s="735"/>
      <c r="Z256" s="735">
        <f t="shared" si="127"/>
        <v>2757.63</v>
      </c>
      <c r="AA256" s="735">
        <v>5000</v>
      </c>
      <c r="AB256" s="735"/>
      <c r="AC256" s="735">
        <f t="shared" si="128"/>
        <v>5000</v>
      </c>
      <c r="AD256" s="746">
        <f t="shared" si="129"/>
        <v>38091.56</v>
      </c>
      <c r="AE256" s="746">
        <f t="shared" si="130"/>
        <v>190457.8</v>
      </c>
      <c r="AF256" s="736">
        <f t="shared" si="124"/>
        <v>0</v>
      </c>
      <c r="AG256" s="763">
        <f t="shared" si="125"/>
        <v>0</v>
      </c>
      <c r="AH256" s="711">
        <v>5</v>
      </c>
      <c r="AI256" s="735">
        <f t="shared" si="126"/>
        <v>190457.8</v>
      </c>
    </row>
    <row r="257" spans="1:35" x14ac:dyDescent="0.2">
      <c r="A257" s="704" t="s">
        <v>391</v>
      </c>
      <c r="B257" s="711">
        <v>1</v>
      </c>
      <c r="C257" s="735">
        <v>600.94000000000005</v>
      </c>
      <c r="D257" s="746">
        <v>1070</v>
      </c>
      <c r="E257" s="735"/>
      <c r="F257" s="746">
        <v>1077.1300000000001</v>
      </c>
      <c r="G257" s="735"/>
      <c r="H257" s="735"/>
      <c r="I257" s="735"/>
      <c r="J257" s="735"/>
      <c r="K257" s="746">
        <f t="shared" si="120"/>
        <v>2748.07</v>
      </c>
      <c r="L257" s="746">
        <v>1000</v>
      </c>
      <c r="M257" s="735"/>
      <c r="N257" s="746">
        <f t="shared" si="121"/>
        <v>1000</v>
      </c>
      <c r="O257" s="746">
        <f t="shared" si="122"/>
        <v>33976.840000000004</v>
      </c>
      <c r="P257" s="735">
        <f t="shared" si="123"/>
        <v>33976.840000000004</v>
      </c>
      <c r="Q257" s="421">
        <v>1</v>
      </c>
      <c r="R257" s="746">
        <v>600.94000000000005</v>
      </c>
      <c r="S257" s="746">
        <v>1070</v>
      </c>
      <c r="T257" s="746"/>
      <c r="U257" s="746">
        <v>1077.1300000000001</v>
      </c>
      <c r="V257" s="735"/>
      <c r="W257" s="735"/>
      <c r="X257" s="735"/>
      <c r="Y257" s="735"/>
      <c r="Z257" s="735">
        <f t="shared" si="127"/>
        <v>2748.07</v>
      </c>
      <c r="AA257" s="735">
        <v>1000</v>
      </c>
      <c r="AB257" s="735"/>
      <c r="AC257" s="735">
        <f t="shared" si="128"/>
        <v>1000</v>
      </c>
      <c r="AD257" s="746">
        <f t="shared" si="129"/>
        <v>33976.840000000004</v>
      </c>
      <c r="AE257" s="746">
        <f t="shared" si="130"/>
        <v>33976.840000000004</v>
      </c>
      <c r="AF257" s="736">
        <f t="shared" si="124"/>
        <v>0</v>
      </c>
      <c r="AG257" s="763">
        <f t="shared" si="125"/>
        <v>0</v>
      </c>
      <c r="AH257" s="711">
        <v>1</v>
      </c>
      <c r="AI257" s="735">
        <f t="shared" si="126"/>
        <v>33976.840000000004</v>
      </c>
    </row>
    <row r="258" spans="1:35" x14ac:dyDescent="0.2">
      <c r="A258" s="704" t="s">
        <v>391</v>
      </c>
      <c r="B258" s="711">
        <v>1</v>
      </c>
      <c r="C258" s="735">
        <v>587.83000000000004</v>
      </c>
      <c r="D258" s="746">
        <v>1070</v>
      </c>
      <c r="E258" s="735"/>
      <c r="F258" s="746">
        <v>1077.33</v>
      </c>
      <c r="G258" s="735"/>
      <c r="H258" s="735"/>
      <c r="I258" s="735"/>
      <c r="J258" s="735"/>
      <c r="K258" s="746">
        <f t="shared" si="120"/>
        <v>2735.16</v>
      </c>
      <c r="L258" s="746">
        <v>1000</v>
      </c>
      <c r="M258" s="735"/>
      <c r="N258" s="746">
        <f t="shared" si="121"/>
        <v>1000</v>
      </c>
      <c r="O258" s="746">
        <f t="shared" si="122"/>
        <v>33821.919999999998</v>
      </c>
      <c r="P258" s="735">
        <f t="shared" si="123"/>
        <v>33821.919999999998</v>
      </c>
      <c r="Q258" s="421">
        <v>1</v>
      </c>
      <c r="R258" s="735">
        <v>587.83000000000004</v>
      </c>
      <c r="S258" s="746">
        <v>1070</v>
      </c>
      <c r="T258" s="735"/>
      <c r="U258" s="746">
        <v>1077.33</v>
      </c>
      <c r="V258" s="735"/>
      <c r="W258" s="735"/>
      <c r="X258" s="735"/>
      <c r="Y258" s="735"/>
      <c r="Z258" s="735">
        <f t="shared" si="127"/>
        <v>2735.16</v>
      </c>
      <c r="AA258" s="735">
        <v>1000</v>
      </c>
      <c r="AB258" s="735"/>
      <c r="AC258" s="735">
        <f t="shared" si="128"/>
        <v>1000</v>
      </c>
      <c r="AD258" s="746">
        <f t="shared" si="129"/>
        <v>33821.919999999998</v>
      </c>
      <c r="AE258" s="746">
        <f t="shared" si="130"/>
        <v>33821.919999999998</v>
      </c>
      <c r="AF258" s="736">
        <f t="shared" si="124"/>
        <v>0</v>
      </c>
      <c r="AG258" s="763">
        <f t="shared" si="125"/>
        <v>0</v>
      </c>
      <c r="AH258" s="711">
        <v>1</v>
      </c>
      <c r="AI258" s="735">
        <f t="shared" si="126"/>
        <v>33821.919999999998</v>
      </c>
    </row>
    <row r="259" spans="1:35" x14ac:dyDescent="0.2">
      <c r="A259" s="704"/>
      <c r="B259" s="711"/>
      <c r="C259" s="735"/>
      <c r="D259" s="746"/>
      <c r="E259" s="735"/>
      <c r="F259" s="735"/>
      <c r="G259" s="735"/>
      <c r="H259" s="735"/>
      <c r="I259" s="735"/>
      <c r="J259" s="735"/>
      <c r="K259" s="735"/>
      <c r="L259" s="735"/>
      <c r="M259" s="735"/>
      <c r="N259" s="735"/>
      <c r="O259" s="746"/>
      <c r="P259" s="746"/>
      <c r="Q259" s="421"/>
      <c r="R259" s="735"/>
      <c r="S259" s="735"/>
      <c r="T259" s="735"/>
      <c r="U259" s="735"/>
      <c r="V259" s="735"/>
      <c r="W259" s="735"/>
      <c r="X259" s="735"/>
      <c r="Y259" s="735"/>
      <c r="Z259" s="735"/>
      <c r="AA259" s="735"/>
      <c r="AB259" s="735"/>
      <c r="AC259" s="735"/>
      <c r="AD259" s="735"/>
      <c r="AE259" s="735"/>
      <c r="AF259" s="735"/>
      <c r="AG259" s="711"/>
      <c r="AH259" s="711"/>
      <c r="AI259" s="746"/>
    </row>
    <row r="260" spans="1:35" x14ac:dyDescent="0.2">
      <c r="A260" s="704"/>
      <c r="B260" s="711"/>
      <c r="C260" s="735"/>
      <c r="D260" s="735"/>
      <c r="E260" s="735"/>
      <c r="F260" s="735"/>
      <c r="G260" s="735"/>
      <c r="H260" s="735"/>
      <c r="I260" s="735"/>
      <c r="J260" s="735"/>
      <c r="K260" s="735"/>
      <c r="L260" s="735"/>
      <c r="M260" s="735"/>
      <c r="N260" s="735"/>
      <c r="O260" s="746"/>
      <c r="P260" s="746"/>
      <c r="Q260" s="421"/>
      <c r="R260" s="735"/>
      <c r="S260" s="735"/>
      <c r="T260" s="735"/>
      <c r="U260" s="735"/>
      <c r="V260" s="735"/>
      <c r="W260" s="735"/>
      <c r="X260" s="735"/>
      <c r="Y260" s="735"/>
      <c r="Z260" s="735"/>
      <c r="AA260" s="735"/>
      <c r="AB260" s="735"/>
      <c r="AC260" s="735"/>
      <c r="AD260" s="735"/>
      <c r="AE260" s="735"/>
      <c r="AF260" s="746"/>
      <c r="AG260" s="759"/>
      <c r="AH260" s="711"/>
      <c r="AI260" s="746"/>
    </row>
    <row r="261" spans="1:35" x14ac:dyDescent="0.2">
      <c r="A261" s="704"/>
      <c r="B261" s="711"/>
      <c r="C261" s="735"/>
      <c r="D261" s="735"/>
      <c r="E261" s="735"/>
      <c r="F261" s="735"/>
      <c r="G261" s="735"/>
      <c r="H261" s="735"/>
      <c r="I261" s="735"/>
      <c r="J261" s="735"/>
      <c r="K261" s="735"/>
      <c r="L261" s="735"/>
      <c r="M261" s="735"/>
      <c r="N261" s="735"/>
      <c r="O261" s="735"/>
      <c r="P261" s="735"/>
      <c r="Q261" s="421"/>
      <c r="R261" s="735"/>
      <c r="S261" s="735"/>
      <c r="T261" s="735"/>
      <c r="U261" s="735"/>
      <c r="V261" s="735"/>
      <c r="W261" s="735"/>
      <c r="X261" s="735"/>
      <c r="Y261" s="735"/>
      <c r="Z261" s="735"/>
      <c r="AA261" s="735"/>
      <c r="AB261" s="735"/>
      <c r="AC261" s="735"/>
      <c r="AD261" s="735"/>
      <c r="AE261" s="735"/>
      <c r="AF261" s="735"/>
      <c r="AG261" s="711"/>
      <c r="AH261" s="711"/>
      <c r="AI261" s="735"/>
    </row>
    <row r="262" spans="1:35" x14ac:dyDescent="0.2">
      <c r="A262" s="704"/>
      <c r="B262" s="711"/>
      <c r="C262" s="735"/>
      <c r="D262" s="735"/>
      <c r="E262" s="735"/>
      <c r="F262" s="735"/>
      <c r="G262" s="735"/>
      <c r="H262" s="735"/>
      <c r="I262" s="735"/>
      <c r="J262" s="735"/>
      <c r="K262" s="735"/>
      <c r="L262" s="735"/>
      <c r="M262" s="735"/>
      <c r="N262" s="735"/>
      <c r="O262" s="735"/>
      <c r="P262" s="735"/>
      <c r="Q262" s="421"/>
      <c r="R262" s="735"/>
      <c r="S262" s="735"/>
      <c r="T262" s="735"/>
      <c r="U262" s="735"/>
      <c r="V262" s="735"/>
      <c r="W262" s="735"/>
      <c r="X262" s="735"/>
      <c r="Y262" s="735"/>
      <c r="Z262" s="735"/>
      <c r="AA262" s="735"/>
      <c r="AB262" s="735"/>
      <c r="AC262" s="735"/>
      <c r="AD262" s="735"/>
      <c r="AE262" s="735"/>
      <c r="AF262" s="735"/>
      <c r="AG262" s="711"/>
      <c r="AH262" s="711"/>
      <c r="AI262" s="746"/>
    </row>
    <row r="263" spans="1:35" x14ac:dyDescent="0.2">
      <c r="A263" s="706" t="s">
        <v>169</v>
      </c>
      <c r="B263" s="555">
        <f>SUM(B233:B262)</f>
        <v>47</v>
      </c>
      <c r="C263" s="733">
        <f t="shared" ref="C263:H263" si="131">SUM(C233:C262)</f>
        <v>17930.03</v>
      </c>
      <c r="D263" s="733">
        <f t="shared" si="131"/>
        <v>29024</v>
      </c>
      <c r="E263" s="733">
        <f t="shared" si="131"/>
        <v>0</v>
      </c>
      <c r="F263" s="733">
        <f t="shared" si="131"/>
        <v>40813.440000000002</v>
      </c>
      <c r="G263" s="733">
        <f t="shared" si="131"/>
        <v>0</v>
      </c>
      <c r="H263" s="733">
        <f t="shared" si="131"/>
        <v>0</v>
      </c>
      <c r="I263" s="731"/>
      <c r="J263" s="731"/>
      <c r="K263" s="764">
        <f>SUM(K233:K262)</f>
        <v>87767.47000000003</v>
      </c>
      <c r="L263" s="764">
        <f>SUM(L233:L262)</f>
        <v>47000</v>
      </c>
      <c r="M263" s="731"/>
      <c r="N263" s="764">
        <f t="shared" ref="N263:U263" si="132">SUM(N233:N262)</f>
        <v>47000</v>
      </c>
      <c r="O263" s="764">
        <f t="shared" si="132"/>
        <v>1100209.6400000001</v>
      </c>
      <c r="P263" s="764">
        <f t="shared" si="132"/>
        <v>2032025.9200000004</v>
      </c>
      <c r="Q263" s="765">
        <f t="shared" si="132"/>
        <v>44</v>
      </c>
      <c r="R263" s="764">
        <f t="shared" si="132"/>
        <v>17258.04</v>
      </c>
      <c r="S263" s="764">
        <f t="shared" si="132"/>
        <v>27914</v>
      </c>
      <c r="T263" s="764">
        <f t="shared" si="132"/>
        <v>0</v>
      </c>
      <c r="U263" s="764">
        <f t="shared" si="132"/>
        <v>39260.540000000008</v>
      </c>
      <c r="V263" s="731"/>
      <c r="W263" s="731"/>
      <c r="X263" s="731"/>
      <c r="Y263" s="731"/>
      <c r="Z263" s="731">
        <f t="shared" ref="Z263:AI263" si="133">SUM(Z233:Z262)</f>
        <v>84432.580000000031</v>
      </c>
      <c r="AA263" s="731">
        <f t="shared" si="133"/>
        <v>44000</v>
      </c>
      <c r="AB263" s="731">
        <f t="shared" si="133"/>
        <v>0</v>
      </c>
      <c r="AC263" s="731">
        <f t="shared" si="133"/>
        <v>44000</v>
      </c>
      <c r="AD263" s="731">
        <f t="shared" si="133"/>
        <v>1057190.9600000002</v>
      </c>
      <c r="AE263" s="764">
        <f t="shared" si="133"/>
        <v>1912251.7200000002</v>
      </c>
      <c r="AF263" s="731">
        <f t="shared" si="133"/>
        <v>119774.20000000001</v>
      </c>
      <c r="AG263" s="555">
        <f t="shared" si="133"/>
        <v>3</v>
      </c>
      <c r="AH263" s="555">
        <f t="shared" si="133"/>
        <v>44</v>
      </c>
      <c r="AI263" s="764">
        <f t="shared" si="133"/>
        <v>1912251.7200000002</v>
      </c>
    </row>
    <row r="264" spans="1:35" x14ac:dyDescent="0.2">
      <c r="B264" s="17"/>
      <c r="C264" s="17"/>
      <c r="D264" s="17"/>
      <c r="E264" s="17"/>
      <c r="F264" s="17"/>
      <c r="G264" s="17"/>
      <c r="H264" s="17"/>
      <c r="I264" s="17"/>
      <c r="J264" s="17"/>
      <c r="K264" s="17"/>
      <c r="L264" s="17"/>
      <c r="M264" s="17"/>
      <c r="N264" s="17"/>
      <c r="O264" s="17"/>
      <c r="P264" s="17"/>
      <c r="R264" s="17"/>
      <c r="S264" s="17"/>
      <c r="T264" s="17"/>
      <c r="U264" s="17"/>
      <c r="V264" s="17"/>
      <c r="W264" s="17"/>
      <c r="X264" s="17"/>
      <c r="Y264" s="17"/>
      <c r="Z264" s="17"/>
      <c r="AA264" s="17"/>
      <c r="AB264" s="17"/>
      <c r="AC264" s="17"/>
      <c r="AD264" s="17"/>
      <c r="AE264" s="17"/>
      <c r="AF264" s="17"/>
      <c r="AG264" s="17"/>
      <c r="AH264" s="17"/>
      <c r="AI264" s="17"/>
    </row>
    <row r="265" spans="1:35" x14ac:dyDescent="0.2">
      <c r="B265" s="17"/>
      <c r="C265" s="17"/>
      <c r="D265" s="17"/>
      <c r="E265" s="17"/>
      <c r="F265" s="17"/>
      <c r="G265" s="17"/>
      <c r="H265" s="17"/>
      <c r="I265" s="17"/>
      <c r="J265" s="17"/>
      <c r="K265" s="17"/>
      <c r="L265" s="17"/>
      <c r="M265" s="17"/>
      <c r="N265" s="17"/>
      <c r="O265" s="17"/>
      <c r="P265" s="17"/>
      <c r="R265" s="17"/>
      <c r="S265" s="17"/>
      <c r="T265" s="17"/>
      <c r="U265" s="17"/>
      <c r="V265" s="17"/>
      <c r="W265" s="17"/>
      <c r="X265" s="17"/>
      <c r="Y265" s="17"/>
      <c r="Z265" s="17"/>
      <c r="AA265" s="17"/>
      <c r="AB265" s="17"/>
      <c r="AC265" s="17"/>
      <c r="AD265" s="17"/>
      <c r="AE265" s="17"/>
      <c r="AF265" s="17"/>
      <c r="AG265" s="17"/>
      <c r="AH265" s="17"/>
      <c r="AI265" s="17"/>
    </row>
    <row r="266" spans="1:35" ht="36" x14ac:dyDescent="0.2">
      <c r="A266" s="706" t="s">
        <v>734</v>
      </c>
      <c r="B266" s="555"/>
      <c r="C266" s="742"/>
      <c r="D266" s="742"/>
      <c r="E266" s="742"/>
      <c r="F266" s="742"/>
      <c r="G266" s="742"/>
      <c r="H266" s="742"/>
      <c r="I266" s="742"/>
      <c r="J266" s="742"/>
      <c r="K266" s="742"/>
      <c r="L266" s="742"/>
      <c r="M266" s="742"/>
      <c r="N266" s="742"/>
      <c r="O266" s="742"/>
      <c r="P266" s="742"/>
      <c r="Q266" s="712"/>
      <c r="R266" s="742"/>
      <c r="S266" s="742"/>
      <c r="T266" s="742"/>
      <c r="U266" s="742"/>
      <c r="V266" s="742"/>
      <c r="W266" s="742"/>
      <c r="X266" s="742"/>
      <c r="Y266" s="742"/>
      <c r="Z266" s="742"/>
      <c r="AA266" s="742"/>
      <c r="AB266" s="742"/>
      <c r="AC266" s="742"/>
      <c r="AD266" s="742"/>
      <c r="AE266" s="742"/>
      <c r="AF266" s="742"/>
      <c r="AG266" s="743"/>
      <c r="AH266" s="743"/>
      <c r="AI266" s="742"/>
    </row>
    <row r="267" spans="1:35" x14ac:dyDescent="0.2">
      <c r="A267" s="860"/>
      <c r="B267" s="743"/>
      <c r="C267" s="742"/>
      <c r="D267" s="742"/>
      <c r="E267" s="742"/>
      <c r="F267" s="742"/>
      <c r="G267" s="742"/>
      <c r="H267" s="742"/>
      <c r="I267" s="742"/>
      <c r="J267" s="742"/>
      <c r="K267" s="742"/>
      <c r="L267" s="742"/>
      <c r="M267" s="742"/>
      <c r="N267" s="742"/>
      <c r="O267" s="742"/>
      <c r="P267" s="742"/>
      <c r="Q267" s="712"/>
      <c r="R267" s="742"/>
      <c r="S267" s="742"/>
      <c r="T267" s="742"/>
      <c r="U267" s="742"/>
      <c r="V267" s="742"/>
      <c r="W267" s="742"/>
      <c r="X267" s="742"/>
      <c r="Y267" s="742"/>
      <c r="Z267" s="742"/>
      <c r="AA267" s="742"/>
      <c r="AB267" s="742"/>
      <c r="AC267" s="742"/>
      <c r="AD267" s="742"/>
      <c r="AE267" s="742"/>
      <c r="AF267" s="742"/>
      <c r="AG267" s="743"/>
      <c r="AH267" s="743"/>
      <c r="AI267" s="742"/>
    </row>
    <row r="268" spans="1:35" x14ac:dyDescent="0.2">
      <c r="A268" s="1485" t="s">
        <v>644</v>
      </c>
      <c r="B268" s="1487" t="s">
        <v>645</v>
      </c>
      <c r="C268" s="1487"/>
      <c r="D268" s="1487"/>
      <c r="E268" s="1487"/>
      <c r="F268" s="1487"/>
      <c r="G268" s="1487"/>
      <c r="H268" s="1487"/>
      <c r="I268" s="1487"/>
      <c r="J268" s="1487"/>
      <c r="K268" s="1487"/>
      <c r="L268" s="1487"/>
      <c r="M268" s="1487"/>
      <c r="N268" s="1487"/>
      <c r="O268" s="1487"/>
      <c r="P268" s="1487"/>
      <c r="Q268" s="1487" t="s">
        <v>646</v>
      </c>
      <c r="R268" s="1487"/>
      <c r="S268" s="1487"/>
      <c r="T268" s="1487"/>
      <c r="U268" s="1487"/>
      <c r="V268" s="1487"/>
      <c r="W268" s="1487"/>
      <c r="X268" s="1487"/>
      <c r="Y268" s="1487"/>
      <c r="Z268" s="1487"/>
      <c r="AA268" s="1487"/>
      <c r="AB268" s="1487"/>
      <c r="AC268" s="1487"/>
      <c r="AD268" s="1487"/>
      <c r="AE268" s="1487"/>
      <c r="AF268" s="1487" t="s">
        <v>647</v>
      </c>
      <c r="AG268" s="1487"/>
      <c r="AH268" s="1487" t="s">
        <v>648</v>
      </c>
      <c r="AI268" s="1487"/>
    </row>
    <row r="269" spans="1:35" ht="120" customHeight="1" x14ac:dyDescent="0.2">
      <c r="A269" s="1485"/>
      <c r="B269" s="691" t="s">
        <v>649</v>
      </c>
      <c r="C269" s="692" t="s">
        <v>650</v>
      </c>
      <c r="D269" s="692" t="s">
        <v>684</v>
      </c>
      <c r="E269" s="692" t="s">
        <v>652</v>
      </c>
      <c r="F269" s="692" t="s">
        <v>653</v>
      </c>
      <c r="G269" s="692" t="s">
        <v>654</v>
      </c>
      <c r="H269" s="692" t="s">
        <v>655</v>
      </c>
      <c r="I269" s="692" t="s">
        <v>656</v>
      </c>
      <c r="J269" s="692" t="s">
        <v>657</v>
      </c>
      <c r="K269" s="692" t="s">
        <v>658</v>
      </c>
      <c r="L269" s="692" t="s">
        <v>659</v>
      </c>
      <c r="M269" s="692" t="s">
        <v>660</v>
      </c>
      <c r="N269" s="692" t="s">
        <v>661</v>
      </c>
      <c r="O269" s="692" t="s">
        <v>662</v>
      </c>
      <c r="P269" s="692" t="s">
        <v>685</v>
      </c>
      <c r="Q269" s="691" t="s">
        <v>649</v>
      </c>
      <c r="R269" s="692" t="s">
        <v>650</v>
      </c>
      <c r="S269" s="692" t="s">
        <v>651</v>
      </c>
      <c r="T269" s="692" t="s">
        <v>652</v>
      </c>
      <c r="U269" s="692" t="s">
        <v>653</v>
      </c>
      <c r="V269" s="692" t="s">
        <v>654</v>
      </c>
      <c r="W269" s="692" t="s">
        <v>655</v>
      </c>
      <c r="X269" s="692" t="s">
        <v>656</v>
      </c>
      <c r="Y269" s="692" t="s">
        <v>657</v>
      </c>
      <c r="Z269" s="692" t="s">
        <v>658</v>
      </c>
      <c r="AA269" s="692" t="s">
        <v>659</v>
      </c>
      <c r="AB269" s="692" t="s">
        <v>660</v>
      </c>
      <c r="AC269" s="692" t="s">
        <v>661</v>
      </c>
      <c r="AD269" s="692" t="s">
        <v>662</v>
      </c>
      <c r="AE269" s="692" t="s">
        <v>686</v>
      </c>
      <c r="AF269" s="692" t="s">
        <v>664</v>
      </c>
      <c r="AG269" s="691" t="s">
        <v>665</v>
      </c>
      <c r="AH269" s="691" t="s">
        <v>649</v>
      </c>
      <c r="AI269" s="692" t="s">
        <v>687</v>
      </c>
    </row>
    <row r="270" spans="1:35" x14ac:dyDescent="0.2">
      <c r="A270" s="1486"/>
      <c r="B270" s="555" t="s">
        <v>667</v>
      </c>
      <c r="C270" s="733" t="s">
        <v>668</v>
      </c>
      <c r="D270" s="733" t="s">
        <v>669</v>
      </c>
      <c r="E270" s="733" t="s">
        <v>670</v>
      </c>
      <c r="F270" s="734" t="s">
        <v>671</v>
      </c>
      <c r="G270" s="734" t="s">
        <v>672</v>
      </c>
      <c r="H270" s="734" t="s">
        <v>673</v>
      </c>
      <c r="I270" s="734" t="s">
        <v>674</v>
      </c>
      <c r="J270" s="734" t="s">
        <v>675</v>
      </c>
      <c r="K270" s="734" t="s">
        <v>676</v>
      </c>
      <c r="L270" s="734" t="s">
        <v>677</v>
      </c>
      <c r="M270" s="734" t="s">
        <v>678</v>
      </c>
      <c r="N270" s="734" t="s">
        <v>679</v>
      </c>
      <c r="O270" s="734" t="s">
        <v>680</v>
      </c>
      <c r="P270" s="734" t="s">
        <v>681</v>
      </c>
      <c r="Q270" s="555" t="s">
        <v>667</v>
      </c>
      <c r="R270" s="733" t="s">
        <v>668</v>
      </c>
      <c r="S270" s="733" t="s">
        <v>669</v>
      </c>
      <c r="T270" s="733" t="s">
        <v>670</v>
      </c>
      <c r="U270" s="734" t="s">
        <v>671</v>
      </c>
      <c r="V270" s="734" t="s">
        <v>672</v>
      </c>
      <c r="W270" s="734" t="s">
        <v>673</v>
      </c>
      <c r="X270" s="734" t="s">
        <v>674</v>
      </c>
      <c r="Y270" s="734" t="s">
        <v>675</v>
      </c>
      <c r="Z270" s="734" t="s">
        <v>676</v>
      </c>
      <c r="AA270" s="734" t="s">
        <v>677</v>
      </c>
      <c r="AB270" s="734" t="s">
        <v>678</v>
      </c>
      <c r="AC270" s="734" t="s">
        <v>679</v>
      </c>
      <c r="AD270" s="734" t="s">
        <v>680</v>
      </c>
      <c r="AE270" s="734" t="s">
        <v>681</v>
      </c>
      <c r="AF270" s="733"/>
      <c r="AG270" s="555"/>
      <c r="AH270" s="555"/>
      <c r="AI270" s="733"/>
    </row>
    <row r="271" spans="1:35" x14ac:dyDescent="0.2">
      <c r="A271" s="704"/>
      <c r="B271" s="711"/>
      <c r="C271" s="735"/>
      <c r="D271" s="735"/>
      <c r="E271" s="735"/>
      <c r="F271" s="735"/>
      <c r="G271" s="735"/>
      <c r="H271" s="735"/>
      <c r="I271" s="735"/>
      <c r="J271" s="735"/>
      <c r="K271" s="735"/>
      <c r="L271" s="735"/>
      <c r="M271" s="735"/>
      <c r="N271" s="735"/>
      <c r="O271" s="735"/>
      <c r="P271" s="735"/>
      <c r="Q271" s="421"/>
      <c r="R271" s="735"/>
      <c r="S271" s="735"/>
      <c r="T271" s="735"/>
      <c r="U271" s="735"/>
      <c r="V271" s="735"/>
      <c r="W271" s="735"/>
      <c r="X271" s="735"/>
      <c r="Y271" s="735"/>
      <c r="Z271" s="735"/>
      <c r="AA271" s="735"/>
      <c r="AB271" s="735"/>
      <c r="AC271" s="735"/>
      <c r="AD271" s="735"/>
      <c r="AE271" s="735"/>
      <c r="AF271" s="735"/>
      <c r="AG271" s="711"/>
      <c r="AH271" s="711"/>
      <c r="AI271" s="735"/>
    </row>
    <row r="272" spans="1:35" x14ac:dyDescent="0.2">
      <c r="A272" s="704" t="s">
        <v>688</v>
      </c>
      <c r="B272" s="711"/>
      <c r="C272" s="735"/>
      <c r="D272" s="735"/>
      <c r="E272" s="735"/>
      <c r="F272" s="735"/>
      <c r="G272" s="735"/>
      <c r="H272" s="735"/>
      <c r="I272" s="735"/>
      <c r="J272" s="735"/>
      <c r="K272" s="735"/>
      <c r="L272" s="735"/>
      <c r="M272" s="735"/>
      <c r="N272" s="735"/>
      <c r="O272" s="735"/>
      <c r="P272" s="735"/>
      <c r="Q272" s="421"/>
      <c r="R272" s="735"/>
      <c r="S272" s="735"/>
      <c r="T272" s="735"/>
      <c r="U272" s="735"/>
      <c r="V272" s="735"/>
      <c r="W272" s="735"/>
      <c r="X272" s="735"/>
      <c r="Y272" s="735"/>
      <c r="Z272" s="735"/>
      <c r="AA272" s="735"/>
      <c r="AB272" s="735"/>
      <c r="AC272" s="735"/>
      <c r="AD272" s="735"/>
      <c r="AE272" s="735"/>
      <c r="AF272" s="735"/>
      <c r="AG272" s="711"/>
      <c r="AH272" s="711"/>
      <c r="AI272" s="735"/>
    </row>
    <row r="273" spans="1:35" x14ac:dyDescent="0.2">
      <c r="A273" s="861" t="s">
        <v>378</v>
      </c>
      <c r="B273" s="711"/>
      <c r="C273" s="735"/>
      <c r="D273" s="735"/>
      <c r="E273" s="735"/>
      <c r="F273" s="735"/>
      <c r="G273" s="735"/>
      <c r="H273" s="735"/>
      <c r="I273" s="735"/>
      <c r="J273" s="735"/>
      <c r="K273" s="735"/>
      <c r="L273" s="735"/>
      <c r="M273" s="735"/>
      <c r="N273" s="735"/>
      <c r="O273" s="735"/>
      <c r="P273" s="735"/>
      <c r="Q273" s="421"/>
      <c r="R273" s="735"/>
      <c r="S273" s="735"/>
      <c r="T273" s="735"/>
      <c r="U273" s="735"/>
      <c r="V273" s="735"/>
      <c r="W273" s="735"/>
      <c r="X273" s="735"/>
      <c r="Y273" s="735"/>
      <c r="Z273" s="735"/>
      <c r="AA273" s="735"/>
      <c r="AB273" s="735"/>
      <c r="AC273" s="735"/>
      <c r="AD273" s="735"/>
      <c r="AE273" s="735"/>
      <c r="AF273" s="735"/>
      <c r="AG273" s="711"/>
      <c r="AH273" s="711"/>
      <c r="AI273" s="735"/>
    </row>
    <row r="274" spans="1:35" x14ac:dyDescent="0.2">
      <c r="A274" s="862" t="s">
        <v>381</v>
      </c>
      <c r="B274" s="711">
        <v>1</v>
      </c>
      <c r="C274" s="735">
        <v>1192</v>
      </c>
      <c r="D274" s="735">
        <v>1506.72</v>
      </c>
      <c r="E274" s="735"/>
      <c r="F274" s="735"/>
      <c r="G274" s="735"/>
      <c r="H274" s="735"/>
      <c r="I274" s="735"/>
      <c r="J274" s="735"/>
      <c r="K274" s="735">
        <f>+C274+D274+E274+F274+G274+H274+I274+J274</f>
        <v>2698.7200000000003</v>
      </c>
      <c r="L274" s="735">
        <v>1000</v>
      </c>
      <c r="M274" s="735"/>
      <c r="N274" s="735"/>
      <c r="O274" s="735">
        <f>C274+D274+L274</f>
        <v>3698.7200000000003</v>
      </c>
      <c r="P274" s="746">
        <f>((C274+D274)*12+L274)*B274</f>
        <v>33384.639999999999</v>
      </c>
      <c r="Q274" s="421">
        <v>1</v>
      </c>
      <c r="R274" s="735">
        <v>1192</v>
      </c>
      <c r="S274" s="735">
        <v>1506.72</v>
      </c>
      <c r="T274" s="735"/>
      <c r="U274" s="735"/>
      <c r="V274" s="735"/>
      <c r="W274" s="735"/>
      <c r="X274" s="735"/>
      <c r="Y274" s="735"/>
      <c r="Z274" s="746">
        <f>R274+S274+T274+U274+V274+W274+X274+Y274</f>
        <v>2698.7200000000003</v>
      </c>
      <c r="AA274" s="735">
        <v>1000</v>
      </c>
      <c r="AB274" s="735"/>
      <c r="AC274" s="735"/>
      <c r="AD274" s="746">
        <f>R274+S274+AA274</f>
        <v>3698.7200000000003</v>
      </c>
      <c r="AE274" s="746">
        <f>((R274+S274)*12+AA274)*Q274</f>
        <v>33384.639999999999</v>
      </c>
      <c r="AF274" s="735">
        <f>O274-AD274</f>
        <v>0</v>
      </c>
      <c r="AG274" s="763">
        <f>P274-AE274</f>
        <v>0</v>
      </c>
      <c r="AH274" s="711">
        <v>1</v>
      </c>
      <c r="AI274" s="735">
        <f>AE274</f>
        <v>33384.639999999999</v>
      </c>
    </row>
    <row r="275" spans="1:35" x14ac:dyDescent="0.2">
      <c r="A275" s="862" t="s">
        <v>383</v>
      </c>
      <c r="B275" s="711">
        <v>3</v>
      </c>
      <c r="C275" s="735">
        <v>1084.25</v>
      </c>
      <c r="D275" s="735">
        <v>1291.49</v>
      </c>
      <c r="E275" s="735"/>
      <c r="F275" s="735"/>
      <c r="G275" s="735"/>
      <c r="H275" s="735"/>
      <c r="I275" s="735"/>
      <c r="J275" s="735"/>
      <c r="K275" s="735">
        <f>+C275+D275+E275+F275+G275+H275+I275+J275</f>
        <v>2375.7399999999998</v>
      </c>
      <c r="L275" s="735">
        <v>1000</v>
      </c>
      <c r="M275" s="735"/>
      <c r="N275" s="735"/>
      <c r="O275" s="735">
        <f>C275+D275+L275</f>
        <v>3375.74</v>
      </c>
      <c r="P275" s="746">
        <f>((C275+D275)*12+L275)*B275</f>
        <v>88526.639999999985</v>
      </c>
      <c r="Q275" s="421">
        <v>3</v>
      </c>
      <c r="R275" s="735">
        <v>1084.25</v>
      </c>
      <c r="S275" s="735">
        <v>1360</v>
      </c>
      <c r="T275" s="735"/>
      <c r="U275" s="735"/>
      <c r="V275" s="735"/>
      <c r="W275" s="735"/>
      <c r="X275" s="735"/>
      <c r="Y275" s="735"/>
      <c r="Z275" s="746">
        <f>R275+S275+T275+U275+V275+W275+X275+Y275</f>
        <v>2444.25</v>
      </c>
      <c r="AA275" s="735">
        <v>1000</v>
      </c>
      <c r="AB275" s="735"/>
      <c r="AC275" s="735"/>
      <c r="AD275" s="746">
        <f>R275+S275+AA275</f>
        <v>3444.25</v>
      </c>
      <c r="AE275" s="746">
        <f>((R275+S275)*12+AA275)*Q275</f>
        <v>90993</v>
      </c>
      <c r="AF275" s="735">
        <f>O275-AD275</f>
        <v>-68.510000000000218</v>
      </c>
      <c r="AG275" s="763">
        <f>P275-AE275</f>
        <v>-2466.3600000000151</v>
      </c>
      <c r="AH275" s="711">
        <v>3</v>
      </c>
      <c r="AI275" s="735">
        <f>AE275</f>
        <v>90993</v>
      </c>
    </row>
    <row r="276" spans="1:35" x14ac:dyDescent="0.2">
      <c r="A276" s="704"/>
      <c r="B276" s="711"/>
      <c r="C276" s="735"/>
      <c r="D276" s="735"/>
      <c r="E276" s="735"/>
      <c r="F276" s="735"/>
      <c r="G276" s="735"/>
      <c r="H276" s="735"/>
      <c r="I276" s="735"/>
      <c r="J276" s="735"/>
      <c r="K276" s="735"/>
      <c r="L276" s="735"/>
      <c r="M276" s="735"/>
      <c r="N276" s="735"/>
      <c r="O276" s="735"/>
      <c r="P276" s="746"/>
      <c r="Q276" s="421"/>
      <c r="R276" s="735"/>
      <c r="S276" s="735"/>
      <c r="T276" s="735"/>
      <c r="U276" s="735"/>
      <c r="V276" s="735"/>
      <c r="W276" s="735"/>
      <c r="X276" s="735"/>
      <c r="Y276" s="735"/>
      <c r="Z276" s="746"/>
      <c r="AA276" s="735"/>
      <c r="AB276" s="735"/>
      <c r="AC276" s="735"/>
      <c r="AD276" s="746"/>
      <c r="AE276" s="746"/>
      <c r="AF276" s="735"/>
      <c r="AG276" s="711"/>
      <c r="AH276" s="711"/>
      <c r="AI276" s="735"/>
    </row>
    <row r="277" spans="1:35" x14ac:dyDescent="0.2">
      <c r="A277" s="861" t="s">
        <v>385</v>
      </c>
      <c r="B277" s="711"/>
      <c r="C277" s="735"/>
      <c r="D277" s="735"/>
      <c r="E277" s="735"/>
      <c r="F277" s="735"/>
      <c r="G277" s="735"/>
      <c r="H277" s="735"/>
      <c r="I277" s="735"/>
      <c r="J277" s="735"/>
      <c r="K277" s="735"/>
      <c r="L277" s="735"/>
      <c r="M277" s="735"/>
      <c r="N277" s="735"/>
      <c r="O277" s="735"/>
      <c r="P277" s="746"/>
      <c r="Q277" s="421"/>
      <c r="R277" s="735"/>
      <c r="S277" s="735"/>
      <c r="T277" s="735"/>
      <c r="U277" s="735"/>
      <c r="V277" s="735"/>
      <c r="W277" s="735"/>
      <c r="X277" s="735"/>
      <c r="Y277" s="735"/>
      <c r="Z277" s="746"/>
      <c r="AA277" s="735"/>
      <c r="AB277" s="735"/>
      <c r="AC277" s="735"/>
      <c r="AD277" s="746"/>
      <c r="AE277" s="746"/>
      <c r="AF277" s="735"/>
      <c r="AG277" s="711"/>
      <c r="AH277" s="711"/>
      <c r="AI277" s="735"/>
    </row>
    <row r="278" spans="1:35" x14ac:dyDescent="0.2">
      <c r="A278" s="862" t="s">
        <v>386</v>
      </c>
      <c r="B278" s="711">
        <v>2</v>
      </c>
      <c r="C278" s="735">
        <v>832.09</v>
      </c>
      <c r="D278" s="735">
        <v>1110</v>
      </c>
      <c r="E278" s="735"/>
      <c r="F278" s="735"/>
      <c r="G278" s="735"/>
      <c r="H278" s="735"/>
      <c r="I278" s="735"/>
      <c r="J278" s="735"/>
      <c r="K278" s="735">
        <f t="shared" ref="K278:K281" si="134">+C278+D278+E278+F278+G278+H278+I278+J278</f>
        <v>1942.0900000000001</v>
      </c>
      <c r="L278" s="735">
        <v>1000</v>
      </c>
      <c r="M278" s="735"/>
      <c r="N278" s="735"/>
      <c r="O278" s="735">
        <f t="shared" ref="O278:O281" si="135">C278+D278+L278</f>
        <v>2942.09</v>
      </c>
      <c r="P278" s="746">
        <f t="shared" ref="P278:P281" si="136">((C278+D278)*12+L278)*B278</f>
        <v>48610.16</v>
      </c>
      <c r="Q278" s="421">
        <v>2</v>
      </c>
      <c r="R278" s="735">
        <v>832.09</v>
      </c>
      <c r="S278" s="735">
        <v>1230</v>
      </c>
      <c r="T278" s="735"/>
      <c r="U278" s="735"/>
      <c r="V278" s="735"/>
      <c r="W278" s="735"/>
      <c r="X278" s="735"/>
      <c r="Y278" s="735"/>
      <c r="Z278" s="746">
        <f t="shared" ref="Z278:Z281" si="137">R278+S278+T278+U278+V278+W278+X278+Y278</f>
        <v>2062.09</v>
      </c>
      <c r="AA278" s="735">
        <v>1000</v>
      </c>
      <c r="AB278" s="735"/>
      <c r="AC278" s="735"/>
      <c r="AD278" s="746">
        <f t="shared" ref="AD278:AD281" si="138">R278+S278+AA278</f>
        <v>3062.09</v>
      </c>
      <c r="AE278" s="746">
        <f t="shared" ref="AE278:AE281" si="139">((R278+S278)*12+AA278)*Q278</f>
        <v>51490.16</v>
      </c>
      <c r="AF278" s="735">
        <f t="shared" ref="AF278:AG281" si="140">O278-AD278</f>
        <v>-120</v>
      </c>
      <c r="AG278" s="763">
        <f t="shared" si="140"/>
        <v>-2880</v>
      </c>
      <c r="AH278" s="711">
        <v>2</v>
      </c>
      <c r="AI278" s="735">
        <f>AE278+34149.6</f>
        <v>85639.760000000009</v>
      </c>
    </row>
    <row r="279" spans="1:35" x14ac:dyDescent="0.2">
      <c r="A279" s="862" t="s">
        <v>387</v>
      </c>
      <c r="B279" s="711">
        <v>4</v>
      </c>
      <c r="C279" s="735">
        <v>825.96</v>
      </c>
      <c r="D279" s="735">
        <v>1110</v>
      </c>
      <c r="E279" s="735"/>
      <c r="F279" s="735"/>
      <c r="G279" s="735"/>
      <c r="H279" s="735"/>
      <c r="I279" s="735"/>
      <c r="J279" s="735"/>
      <c r="K279" s="735">
        <f t="shared" si="134"/>
        <v>1935.96</v>
      </c>
      <c r="L279" s="735">
        <v>1000</v>
      </c>
      <c r="M279" s="735"/>
      <c r="N279" s="735"/>
      <c r="O279" s="735">
        <f t="shared" si="135"/>
        <v>2935.96</v>
      </c>
      <c r="P279" s="746">
        <f t="shared" si="136"/>
        <v>96926.080000000002</v>
      </c>
      <c r="Q279" s="421">
        <v>4</v>
      </c>
      <c r="R279" s="735">
        <v>825.96</v>
      </c>
      <c r="S279" s="735">
        <v>1230</v>
      </c>
      <c r="T279" s="735"/>
      <c r="U279" s="735"/>
      <c r="V279" s="735"/>
      <c r="W279" s="735"/>
      <c r="X279" s="735"/>
      <c r="Y279" s="735"/>
      <c r="Z279" s="746">
        <f t="shared" si="137"/>
        <v>2055.96</v>
      </c>
      <c r="AA279" s="735">
        <v>1000</v>
      </c>
      <c r="AB279" s="735"/>
      <c r="AC279" s="735"/>
      <c r="AD279" s="746">
        <f t="shared" si="138"/>
        <v>3055.96</v>
      </c>
      <c r="AE279" s="746">
        <f t="shared" si="139"/>
        <v>102686.08</v>
      </c>
      <c r="AF279" s="735">
        <f t="shared" si="140"/>
        <v>-120</v>
      </c>
      <c r="AG279" s="763">
        <f t="shared" si="140"/>
        <v>-5760</v>
      </c>
      <c r="AH279" s="711">
        <v>4</v>
      </c>
      <c r="AI279" s="735">
        <f>AE279+68299.2</f>
        <v>170985.28</v>
      </c>
    </row>
    <row r="280" spans="1:35" x14ac:dyDescent="0.2">
      <c r="A280" s="862" t="s">
        <v>388</v>
      </c>
      <c r="B280" s="711">
        <v>5</v>
      </c>
      <c r="C280" s="735">
        <v>766.29</v>
      </c>
      <c r="D280" s="735">
        <v>1110</v>
      </c>
      <c r="E280" s="735"/>
      <c r="F280" s="735"/>
      <c r="G280" s="735"/>
      <c r="H280" s="735"/>
      <c r="I280" s="735"/>
      <c r="J280" s="735"/>
      <c r="K280" s="735">
        <f t="shared" si="134"/>
        <v>1876.29</v>
      </c>
      <c r="L280" s="735">
        <v>1000</v>
      </c>
      <c r="M280" s="735"/>
      <c r="N280" s="735"/>
      <c r="O280" s="735">
        <f t="shared" si="135"/>
        <v>2876.29</v>
      </c>
      <c r="P280" s="746">
        <f t="shared" si="136"/>
        <v>117577.4</v>
      </c>
      <c r="Q280" s="421">
        <v>5</v>
      </c>
      <c r="R280" s="735">
        <v>766.29</v>
      </c>
      <c r="S280" s="735">
        <v>1230</v>
      </c>
      <c r="T280" s="735"/>
      <c r="U280" s="735"/>
      <c r="V280" s="735"/>
      <c r="W280" s="735"/>
      <c r="X280" s="735"/>
      <c r="Y280" s="735"/>
      <c r="Z280" s="746">
        <f t="shared" si="137"/>
        <v>1996.29</v>
      </c>
      <c r="AA280" s="735">
        <v>1000</v>
      </c>
      <c r="AB280" s="735"/>
      <c r="AC280" s="735"/>
      <c r="AD280" s="746">
        <f t="shared" si="138"/>
        <v>2996.29</v>
      </c>
      <c r="AE280" s="746">
        <f t="shared" si="139"/>
        <v>124777.4</v>
      </c>
      <c r="AF280" s="735">
        <f t="shared" si="140"/>
        <v>-120</v>
      </c>
      <c r="AG280" s="763">
        <f t="shared" si="140"/>
        <v>-7200</v>
      </c>
      <c r="AH280" s="711">
        <v>5</v>
      </c>
      <c r="AI280" s="735">
        <f>AE280+34149.6</f>
        <v>158927</v>
      </c>
    </row>
    <row r="281" spans="1:35" x14ac:dyDescent="0.2">
      <c r="A281" s="862" t="s">
        <v>408</v>
      </c>
      <c r="B281" s="711">
        <v>2</v>
      </c>
      <c r="C281" s="735">
        <v>730.83</v>
      </c>
      <c r="D281" s="735">
        <v>1110</v>
      </c>
      <c r="E281" s="735"/>
      <c r="F281" s="735"/>
      <c r="G281" s="735"/>
      <c r="H281" s="735"/>
      <c r="I281" s="735"/>
      <c r="J281" s="735"/>
      <c r="K281" s="735">
        <f t="shared" si="134"/>
        <v>1840.83</v>
      </c>
      <c r="L281" s="735">
        <v>1000</v>
      </c>
      <c r="M281" s="735"/>
      <c r="N281" s="735"/>
      <c r="O281" s="735">
        <f t="shared" si="135"/>
        <v>2840.83</v>
      </c>
      <c r="P281" s="746">
        <f t="shared" si="136"/>
        <v>46179.92</v>
      </c>
      <c r="Q281" s="421">
        <v>2</v>
      </c>
      <c r="R281" s="735">
        <v>730.83</v>
      </c>
      <c r="S281" s="735">
        <v>1230</v>
      </c>
      <c r="T281" s="735"/>
      <c r="U281" s="735"/>
      <c r="V281" s="735"/>
      <c r="W281" s="735"/>
      <c r="X281" s="735"/>
      <c r="Y281" s="735"/>
      <c r="Z281" s="746">
        <f t="shared" si="137"/>
        <v>1960.83</v>
      </c>
      <c r="AA281" s="735">
        <v>1000</v>
      </c>
      <c r="AB281" s="735"/>
      <c r="AC281" s="735"/>
      <c r="AD281" s="746">
        <f t="shared" si="138"/>
        <v>2960.83</v>
      </c>
      <c r="AE281" s="746">
        <f t="shared" si="139"/>
        <v>49059.92</v>
      </c>
      <c r="AF281" s="735">
        <f t="shared" si="140"/>
        <v>-120</v>
      </c>
      <c r="AG281" s="763">
        <f t="shared" si="140"/>
        <v>-2880</v>
      </c>
      <c r="AH281" s="711">
        <v>2</v>
      </c>
      <c r="AI281" s="735">
        <f>AE281+34149.6</f>
        <v>83209.51999999999</v>
      </c>
    </row>
    <row r="282" spans="1:35" x14ac:dyDescent="0.2">
      <c r="A282" s="704"/>
      <c r="B282" s="711"/>
      <c r="C282" s="735"/>
      <c r="D282" s="735"/>
      <c r="E282" s="735"/>
      <c r="F282" s="735"/>
      <c r="G282" s="735"/>
      <c r="H282" s="735"/>
      <c r="I282" s="735"/>
      <c r="J282" s="735"/>
      <c r="K282" s="735"/>
      <c r="L282" s="735"/>
      <c r="M282" s="735"/>
      <c r="N282" s="735"/>
      <c r="O282" s="735"/>
      <c r="P282" s="746"/>
      <c r="Q282" s="421"/>
      <c r="R282" s="735"/>
      <c r="S282" s="735"/>
      <c r="T282" s="735"/>
      <c r="U282" s="735"/>
      <c r="V282" s="735"/>
      <c r="W282" s="735"/>
      <c r="X282" s="735"/>
      <c r="Y282" s="735"/>
      <c r="Z282" s="746"/>
      <c r="AA282" s="735"/>
      <c r="AB282" s="735"/>
      <c r="AC282" s="735"/>
      <c r="AD282" s="746"/>
      <c r="AE282" s="746"/>
      <c r="AF282" s="735"/>
      <c r="AG282" s="711"/>
      <c r="AH282" s="711"/>
      <c r="AI282" s="735"/>
    </row>
    <row r="283" spans="1:35" x14ac:dyDescent="0.2">
      <c r="A283" s="861" t="s">
        <v>389</v>
      </c>
      <c r="B283" s="711"/>
      <c r="C283" s="735"/>
      <c r="D283" s="735"/>
      <c r="E283" s="735"/>
      <c r="F283" s="735"/>
      <c r="G283" s="735"/>
      <c r="H283" s="735"/>
      <c r="I283" s="735"/>
      <c r="J283" s="735"/>
      <c r="K283" s="735"/>
      <c r="L283" s="735"/>
      <c r="M283" s="735"/>
      <c r="N283" s="735"/>
      <c r="O283" s="735"/>
      <c r="P283" s="746"/>
      <c r="Q283" s="421"/>
      <c r="R283" s="735"/>
      <c r="S283" s="735"/>
      <c r="T283" s="735"/>
      <c r="U283" s="735"/>
      <c r="V283" s="735"/>
      <c r="W283" s="735"/>
      <c r="X283" s="735"/>
      <c r="Y283" s="735"/>
      <c r="Z283" s="746"/>
      <c r="AA283" s="735"/>
      <c r="AB283" s="735"/>
      <c r="AC283" s="735"/>
      <c r="AD283" s="746"/>
      <c r="AE283" s="746"/>
      <c r="AF283" s="735"/>
      <c r="AG283" s="711"/>
      <c r="AH283" s="711"/>
      <c r="AI283" s="735"/>
    </row>
    <row r="284" spans="1:35" x14ac:dyDescent="0.2">
      <c r="A284" s="862" t="s">
        <v>390</v>
      </c>
      <c r="B284" s="711">
        <v>6</v>
      </c>
      <c r="C284" s="735">
        <v>701.32</v>
      </c>
      <c r="D284" s="735">
        <v>1070</v>
      </c>
      <c r="E284" s="735"/>
      <c r="F284" s="735"/>
      <c r="G284" s="735"/>
      <c r="H284" s="735"/>
      <c r="I284" s="735"/>
      <c r="J284" s="735"/>
      <c r="K284" s="735">
        <f t="shared" ref="K284:K285" si="141">+C284+D284+E284+F284+G284+H284+I284+J284</f>
        <v>1771.3200000000002</v>
      </c>
      <c r="L284" s="735">
        <v>1000</v>
      </c>
      <c r="M284" s="735"/>
      <c r="N284" s="735"/>
      <c r="O284" s="735">
        <f>C284+D284+L284</f>
        <v>2771.32</v>
      </c>
      <c r="P284" s="746">
        <f>((C284+D284)*12+L284)*B284</f>
        <v>133535.04000000004</v>
      </c>
      <c r="Q284" s="421">
        <v>6</v>
      </c>
      <c r="R284" s="735">
        <v>701.32</v>
      </c>
      <c r="S284" s="735">
        <v>1170</v>
      </c>
      <c r="T284" s="735"/>
      <c r="U284" s="735"/>
      <c r="V284" s="735"/>
      <c r="W284" s="735"/>
      <c r="X284" s="735"/>
      <c r="Y284" s="735"/>
      <c r="Z284" s="746">
        <f t="shared" ref="Z284:Z285" si="142">R284+S284+T284+U284+V284+W284+X284+Y284</f>
        <v>1871.3200000000002</v>
      </c>
      <c r="AA284" s="735">
        <v>1000</v>
      </c>
      <c r="AB284" s="735"/>
      <c r="AC284" s="735"/>
      <c r="AD284" s="746">
        <f t="shared" ref="AD284:AD285" si="143">R284+S284+AA284</f>
        <v>2871.32</v>
      </c>
      <c r="AE284" s="746">
        <f t="shared" ref="AE284:AE285" si="144">((R284+S284)*12+AA284)*Q284</f>
        <v>140735.04000000004</v>
      </c>
      <c r="AF284" s="735">
        <f t="shared" ref="AF284:AG285" si="145">O284-AD284</f>
        <v>-100</v>
      </c>
      <c r="AG284" s="763">
        <f>P284-AE284</f>
        <v>-7200</v>
      </c>
      <c r="AH284" s="711">
        <v>6</v>
      </c>
      <c r="AI284" s="735">
        <f>AE284+51427.8</f>
        <v>192162.84000000003</v>
      </c>
    </row>
    <row r="285" spans="1:35" x14ac:dyDescent="0.2">
      <c r="A285" s="862" t="s">
        <v>391</v>
      </c>
      <c r="B285" s="711">
        <v>1</v>
      </c>
      <c r="C285" s="735">
        <v>679.37</v>
      </c>
      <c r="D285" s="735">
        <v>1070</v>
      </c>
      <c r="E285" s="735"/>
      <c r="F285" s="735"/>
      <c r="G285" s="735"/>
      <c r="H285" s="735"/>
      <c r="I285" s="735"/>
      <c r="J285" s="735"/>
      <c r="K285" s="735">
        <f t="shared" si="141"/>
        <v>1749.37</v>
      </c>
      <c r="L285" s="735">
        <v>1000</v>
      </c>
      <c r="M285" s="735"/>
      <c r="N285" s="735"/>
      <c r="O285" s="735">
        <f t="shared" ref="O285" si="146">C285+D285+L285</f>
        <v>2749.37</v>
      </c>
      <c r="P285" s="746">
        <f t="shared" ref="P285" si="147">((C285+D285)*12+L285)*B285</f>
        <v>21992.44</v>
      </c>
      <c r="Q285" s="421">
        <v>1</v>
      </c>
      <c r="R285" s="735">
        <v>679.37</v>
      </c>
      <c r="S285" s="735">
        <v>1170</v>
      </c>
      <c r="T285" s="735"/>
      <c r="U285" s="735"/>
      <c r="V285" s="735"/>
      <c r="W285" s="735"/>
      <c r="X285" s="735"/>
      <c r="Y285" s="735"/>
      <c r="Z285" s="746">
        <f t="shared" si="142"/>
        <v>1849.37</v>
      </c>
      <c r="AA285" s="735">
        <v>1000</v>
      </c>
      <c r="AB285" s="735"/>
      <c r="AC285" s="735"/>
      <c r="AD285" s="746">
        <f t="shared" si="143"/>
        <v>2849.37</v>
      </c>
      <c r="AE285" s="746">
        <f t="shared" si="144"/>
        <v>23192.44</v>
      </c>
      <c r="AF285" s="735">
        <f t="shared" si="145"/>
        <v>-100</v>
      </c>
      <c r="AG285" s="763">
        <f t="shared" si="145"/>
        <v>-1200</v>
      </c>
      <c r="AH285" s="711">
        <v>1</v>
      </c>
      <c r="AI285" s="735">
        <f>AE285+10285.56</f>
        <v>33478</v>
      </c>
    </row>
    <row r="286" spans="1:35" x14ac:dyDescent="0.2">
      <c r="A286" s="704"/>
      <c r="B286" s="711"/>
      <c r="C286" s="735"/>
      <c r="D286" s="735"/>
      <c r="E286" s="735"/>
      <c r="F286" s="735"/>
      <c r="G286" s="735"/>
      <c r="H286" s="735" t="s">
        <v>735</v>
      </c>
      <c r="I286" s="735"/>
      <c r="J286" s="735"/>
      <c r="K286" s="735"/>
      <c r="L286" s="735"/>
      <c r="M286" s="735"/>
      <c r="N286" s="735"/>
      <c r="O286" s="735"/>
      <c r="P286" s="746"/>
      <c r="Q286" s="421"/>
      <c r="R286" s="735"/>
      <c r="S286" s="735"/>
      <c r="T286" s="735"/>
      <c r="U286" s="735"/>
      <c r="V286" s="735"/>
      <c r="W286" s="735"/>
      <c r="X286" s="735"/>
      <c r="Y286" s="735"/>
      <c r="Z286" s="746"/>
      <c r="AA286" s="735"/>
      <c r="AB286" s="735"/>
      <c r="AC286" s="735"/>
      <c r="AD286" s="746"/>
      <c r="AE286" s="746"/>
      <c r="AF286" s="735"/>
      <c r="AG286" s="711"/>
      <c r="AH286" s="711"/>
      <c r="AI286" s="735"/>
    </row>
    <row r="287" spans="1:35" x14ac:dyDescent="0.2">
      <c r="A287" s="861" t="s">
        <v>393</v>
      </c>
      <c r="B287" s="711"/>
      <c r="C287" s="735"/>
      <c r="D287" s="735"/>
      <c r="E287" s="735"/>
      <c r="F287" s="735"/>
      <c r="G287" s="735"/>
      <c r="H287" s="735"/>
      <c r="I287" s="735"/>
      <c r="J287" s="735"/>
      <c r="K287" s="735"/>
      <c r="L287" s="735"/>
      <c r="M287" s="735"/>
      <c r="N287" s="735"/>
      <c r="O287" s="735"/>
      <c r="P287" s="746"/>
      <c r="Q287" s="421"/>
      <c r="R287" s="735"/>
      <c r="S287" s="735"/>
      <c r="T287" s="735"/>
      <c r="U287" s="735"/>
      <c r="V287" s="735"/>
      <c r="W287" s="735"/>
      <c r="X287" s="735"/>
      <c r="Y287" s="735"/>
      <c r="Z287" s="746"/>
      <c r="AA287" s="735"/>
      <c r="AB287" s="735"/>
      <c r="AC287" s="735"/>
      <c r="AD287" s="746"/>
      <c r="AE287" s="746"/>
      <c r="AF287" s="735"/>
      <c r="AG287" s="711"/>
      <c r="AH287" s="711"/>
      <c r="AI287" s="735"/>
    </row>
    <row r="288" spans="1:35" x14ac:dyDescent="0.2">
      <c r="A288" s="862" t="s">
        <v>394</v>
      </c>
      <c r="B288" s="711">
        <v>3</v>
      </c>
      <c r="C288" s="735">
        <v>667.56</v>
      </c>
      <c r="D288" s="735">
        <v>1070</v>
      </c>
      <c r="E288" s="735"/>
      <c r="F288" s="735"/>
      <c r="G288" s="735"/>
      <c r="H288" s="735"/>
      <c r="I288" s="735"/>
      <c r="J288" s="735"/>
      <c r="K288" s="735">
        <f t="shared" ref="K288" si="148">+C288+D288+E288+F288+G288+H288+I288+J288</f>
        <v>1737.56</v>
      </c>
      <c r="L288" s="735">
        <v>1000</v>
      </c>
      <c r="M288" s="735"/>
      <c r="N288" s="735"/>
      <c r="O288" s="735">
        <f t="shared" ref="O288" si="149">C288+D288+L288</f>
        <v>2737.56</v>
      </c>
      <c r="P288" s="746">
        <f>((C288+D288)*12+L288)*B288</f>
        <v>65552.160000000003</v>
      </c>
      <c r="Q288" s="421">
        <v>3</v>
      </c>
      <c r="R288" s="735">
        <v>667.56</v>
      </c>
      <c r="S288" s="735">
        <v>1150</v>
      </c>
      <c r="T288" s="735"/>
      <c r="U288" s="735"/>
      <c r="V288" s="735"/>
      <c r="W288" s="735"/>
      <c r="X288" s="735"/>
      <c r="Y288" s="735"/>
      <c r="Z288" s="746">
        <f t="shared" ref="Z288" si="150">R288+S288+T288+U288+V288+W288+X288+Y288</f>
        <v>1817.56</v>
      </c>
      <c r="AA288" s="735">
        <v>1000</v>
      </c>
      <c r="AB288" s="735"/>
      <c r="AC288" s="735"/>
      <c r="AD288" s="746">
        <f t="shared" ref="AD288" si="151">R288+S288+AA288</f>
        <v>2817.56</v>
      </c>
      <c r="AE288" s="746">
        <f t="shared" ref="AE288" si="152">((R288+S288)*12+AA288)*Q288</f>
        <v>68432.160000000003</v>
      </c>
      <c r="AF288" s="735">
        <f t="shared" ref="AF288:AG288" si="153">O288-AD288</f>
        <v>-80</v>
      </c>
      <c r="AG288" s="763">
        <f t="shared" si="153"/>
        <v>-2880</v>
      </c>
      <c r="AH288" s="711">
        <v>3</v>
      </c>
      <c r="AI288" s="735">
        <f>AE288+18861.12</f>
        <v>87293.28</v>
      </c>
    </row>
    <row r="289" spans="1:35" x14ac:dyDescent="0.2">
      <c r="A289" s="704"/>
      <c r="B289" s="711"/>
      <c r="C289" s="735"/>
      <c r="D289" s="735"/>
      <c r="E289" s="735"/>
      <c r="F289" s="735"/>
      <c r="G289" s="735"/>
      <c r="H289" s="735"/>
      <c r="I289" s="735"/>
      <c r="J289" s="735"/>
      <c r="K289" s="735"/>
      <c r="L289" s="735"/>
      <c r="M289" s="735"/>
      <c r="N289" s="735"/>
      <c r="O289" s="735"/>
      <c r="P289" s="746"/>
      <c r="Q289" s="421"/>
      <c r="R289" s="735"/>
      <c r="S289" s="735"/>
      <c r="T289" s="735"/>
      <c r="U289" s="735"/>
      <c r="V289" s="735"/>
      <c r="W289" s="735"/>
      <c r="X289" s="735"/>
      <c r="Y289" s="735"/>
      <c r="Z289" s="735"/>
      <c r="AA289" s="735"/>
      <c r="AB289" s="735"/>
      <c r="AC289" s="735"/>
      <c r="AD289" s="735"/>
      <c r="AE289" s="735"/>
      <c r="AF289" s="735"/>
      <c r="AG289" s="711"/>
      <c r="AH289" s="711"/>
      <c r="AI289" s="735"/>
    </row>
    <row r="290" spans="1:35" x14ac:dyDescent="0.2">
      <c r="A290" s="861"/>
      <c r="B290" s="711"/>
      <c r="C290" s="735"/>
      <c r="D290" s="735"/>
      <c r="E290" s="735"/>
      <c r="F290" s="735"/>
      <c r="G290" s="735"/>
      <c r="H290" s="735"/>
      <c r="I290" s="735"/>
      <c r="J290" s="735"/>
      <c r="K290" s="735"/>
      <c r="L290" s="735"/>
      <c r="M290" s="735"/>
      <c r="N290" s="735"/>
      <c r="O290" s="735"/>
      <c r="P290" s="746"/>
      <c r="Q290" s="421"/>
      <c r="R290" s="735"/>
      <c r="S290" s="735"/>
      <c r="T290" s="735"/>
      <c r="U290" s="735"/>
      <c r="V290" s="735"/>
      <c r="W290" s="735"/>
      <c r="X290" s="735"/>
      <c r="Y290" s="735"/>
      <c r="Z290" s="735"/>
      <c r="AA290" s="735"/>
      <c r="AB290" s="735"/>
      <c r="AC290" s="735"/>
      <c r="AD290" s="735"/>
      <c r="AE290" s="735"/>
      <c r="AF290" s="735"/>
      <c r="AG290" s="711"/>
      <c r="AH290" s="711"/>
      <c r="AI290" s="735"/>
    </row>
    <row r="291" spans="1:35" x14ac:dyDescent="0.2">
      <c r="A291" s="862"/>
      <c r="B291" s="711"/>
      <c r="C291" s="735"/>
      <c r="D291" s="735"/>
      <c r="E291" s="735"/>
      <c r="F291" s="735"/>
      <c r="G291" s="735"/>
      <c r="H291" s="735"/>
      <c r="I291" s="735"/>
      <c r="J291" s="735"/>
      <c r="K291" s="735"/>
      <c r="L291" s="735"/>
      <c r="M291" s="735"/>
      <c r="N291" s="735"/>
      <c r="O291" s="735"/>
      <c r="P291" s="746"/>
      <c r="Q291" s="421"/>
      <c r="R291" s="735"/>
      <c r="S291" s="735"/>
      <c r="T291" s="735"/>
      <c r="U291" s="735"/>
      <c r="V291" s="735"/>
      <c r="W291" s="735"/>
      <c r="X291" s="735"/>
      <c r="Y291" s="735"/>
      <c r="Z291" s="735"/>
      <c r="AA291" s="735"/>
      <c r="AB291" s="735"/>
      <c r="AC291" s="735"/>
      <c r="AD291" s="735"/>
      <c r="AE291" s="735"/>
      <c r="AF291" s="735"/>
      <c r="AG291" s="711"/>
      <c r="AH291" s="711"/>
      <c r="AI291" s="735"/>
    </row>
    <row r="292" spans="1:35" x14ac:dyDescent="0.2">
      <c r="A292" s="704" t="s">
        <v>689</v>
      </c>
      <c r="B292" s="711"/>
      <c r="C292" s="735"/>
      <c r="D292" s="735"/>
      <c r="E292" s="735"/>
      <c r="F292" s="735"/>
      <c r="G292" s="735"/>
      <c r="H292" s="735"/>
      <c r="I292" s="735"/>
      <c r="J292" s="735"/>
      <c r="K292" s="735"/>
      <c r="L292" s="735"/>
      <c r="M292" s="735"/>
      <c r="N292" s="735"/>
      <c r="O292" s="735"/>
      <c r="P292" s="746"/>
      <c r="Q292" s="421"/>
      <c r="R292" s="735"/>
      <c r="S292" s="735"/>
      <c r="T292" s="735"/>
      <c r="U292" s="735"/>
      <c r="V292" s="735"/>
      <c r="W292" s="735"/>
      <c r="X292" s="735"/>
      <c r="Y292" s="735"/>
      <c r="Z292" s="735"/>
      <c r="AA292" s="735"/>
      <c r="AB292" s="735"/>
      <c r="AC292" s="735"/>
      <c r="AD292" s="735"/>
      <c r="AE292" s="735"/>
      <c r="AF292" s="735"/>
      <c r="AG292" s="711"/>
      <c r="AH292" s="711"/>
      <c r="AI292" s="735"/>
    </row>
    <row r="293" spans="1:35" x14ac:dyDescent="0.2">
      <c r="A293" s="704" t="s">
        <v>690</v>
      </c>
      <c r="B293" s="711"/>
      <c r="C293" s="735"/>
      <c r="D293" s="735"/>
      <c r="E293" s="735"/>
      <c r="F293" s="735"/>
      <c r="G293" s="735"/>
      <c r="H293" s="735"/>
      <c r="I293" s="735"/>
      <c r="J293" s="735"/>
      <c r="K293" s="735"/>
      <c r="L293" s="735"/>
      <c r="M293" s="735"/>
      <c r="N293" s="735"/>
      <c r="O293" s="735"/>
      <c r="P293" s="746"/>
      <c r="Q293" s="421"/>
      <c r="R293" s="735"/>
      <c r="S293" s="735"/>
      <c r="T293" s="735"/>
      <c r="U293" s="735"/>
      <c r="V293" s="735"/>
      <c r="W293" s="735"/>
      <c r="X293" s="735"/>
      <c r="Y293" s="735"/>
      <c r="Z293" s="735"/>
      <c r="AA293" s="735"/>
      <c r="AB293" s="735"/>
      <c r="AC293" s="735"/>
      <c r="AD293" s="735"/>
      <c r="AE293" s="735"/>
      <c r="AF293" s="735"/>
      <c r="AG293" s="711"/>
      <c r="AH293" s="711"/>
      <c r="AI293" s="735"/>
    </row>
    <row r="294" spans="1:35" x14ac:dyDescent="0.2">
      <c r="A294" s="704"/>
      <c r="B294" s="711"/>
      <c r="C294" s="735"/>
      <c r="D294" s="735"/>
      <c r="E294" s="735"/>
      <c r="F294" s="735"/>
      <c r="G294" s="735"/>
      <c r="H294" s="735"/>
      <c r="I294" s="735"/>
      <c r="J294" s="735"/>
      <c r="K294" s="735"/>
      <c r="L294" s="735"/>
      <c r="M294" s="735"/>
      <c r="N294" s="735"/>
      <c r="O294" s="735"/>
      <c r="P294" s="746"/>
      <c r="Q294" s="421"/>
      <c r="R294" s="735"/>
      <c r="S294" s="735"/>
      <c r="T294" s="735"/>
      <c r="U294" s="735"/>
      <c r="V294" s="735"/>
      <c r="W294" s="735"/>
      <c r="X294" s="735"/>
      <c r="Y294" s="735"/>
      <c r="Z294" s="735"/>
      <c r="AA294" s="735"/>
      <c r="AB294" s="735"/>
      <c r="AC294" s="735"/>
      <c r="AD294" s="735"/>
      <c r="AE294" s="735"/>
      <c r="AF294" s="735"/>
      <c r="AG294" s="711"/>
      <c r="AH294" s="711"/>
      <c r="AI294" s="735"/>
    </row>
    <row r="295" spans="1:35" x14ac:dyDescent="0.2">
      <c r="A295" s="704" t="s">
        <v>691</v>
      </c>
      <c r="B295" s="711"/>
      <c r="C295" s="735"/>
      <c r="D295" s="735"/>
      <c r="E295" s="735"/>
      <c r="F295" s="735"/>
      <c r="G295" s="735"/>
      <c r="H295" s="735"/>
      <c r="I295" s="735"/>
      <c r="J295" s="735"/>
      <c r="K295" s="735"/>
      <c r="L295" s="735"/>
      <c r="M295" s="735"/>
      <c r="N295" s="735"/>
      <c r="O295" s="735"/>
      <c r="P295" s="746"/>
      <c r="Q295" s="421"/>
      <c r="R295" s="735"/>
      <c r="S295" s="735"/>
      <c r="T295" s="735"/>
      <c r="U295" s="735"/>
      <c r="V295" s="735"/>
      <c r="W295" s="735"/>
      <c r="X295" s="735"/>
      <c r="Y295" s="735"/>
      <c r="Z295" s="735"/>
      <c r="AA295" s="735"/>
      <c r="AB295" s="735"/>
      <c r="AC295" s="735"/>
      <c r="AD295" s="735"/>
      <c r="AE295" s="735"/>
      <c r="AF295" s="735"/>
      <c r="AG295" s="711"/>
      <c r="AH295" s="711"/>
      <c r="AI295" s="735"/>
    </row>
    <row r="296" spans="1:35" x14ac:dyDescent="0.2">
      <c r="A296" s="704" t="s">
        <v>690</v>
      </c>
      <c r="B296" s="711"/>
      <c r="C296" s="735"/>
      <c r="D296" s="735"/>
      <c r="E296" s="735"/>
      <c r="F296" s="735"/>
      <c r="G296" s="735"/>
      <c r="H296" s="735"/>
      <c r="I296" s="735"/>
      <c r="J296" s="735"/>
      <c r="K296" s="735"/>
      <c r="L296" s="735"/>
      <c r="M296" s="735"/>
      <c r="N296" s="735"/>
      <c r="O296" s="735"/>
      <c r="P296" s="746"/>
      <c r="Q296" s="421"/>
      <c r="R296" s="735"/>
      <c r="S296" s="735"/>
      <c r="T296" s="735"/>
      <c r="U296" s="735"/>
      <c r="V296" s="735"/>
      <c r="W296" s="735"/>
      <c r="X296" s="735"/>
      <c r="Y296" s="735"/>
      <c r="Z296" s="735"/>
      <c r="AA296" s="735"/>
      <c r="AB296" s="735"/>
      <c r="AC296" s="735"/>
      <c r="AD296" s="735"/>
      <c r="AE296" s="735"/>
      <c r="AF296" s="735"/>
      <c r="AG296" s="711"/>
      <c r="AH296" s="711"/>
      <c r="AI296" s="735"/>
    </row>
    <row r="297" spans="1:35" x14ac:dyDescent="0.2">
      <c r="A297" s="704"/>
      <c r="B297" s="711"/>
      <c r="C297" s="735"/>
      <c r="D297" s="735"/>
      <c r="E297" s="735"/>
      <c r="F297" s="735"/>
      <c r="G297" s="735"/>
      <c r="H297" s="735"/>
      <c r="I297" s="735"/>
      <c r="J297" s="735"/>
      <c r="K297" s="735"/>
      <c r="L297" s="735"/>
      <c r="M297" s="735"/>
      <c r="N297" s="735"/>
      <c r="O297" s="735"/>
      <c r="P297" s="746"/>
      <c r="Q297" s="421"/>
      <c r="R297" s="735"/>
      <c r="S297" s="735"/>
      <c r="T297" s="735"/>
      <c r="U297" s="735"/>
      <c r="V297" s="735"/>
      <c r="W297" s="735"/>
      <c r="X297" s="735"/>
      <c r="Y297" s="735"/>
      <c r="Z297" s="735"/>
      <c r="AA297" s="735"/>
      <c r="AB297" s="735"/>
      <c r="AC297" s="735"/>
      <c r="AD297" s="735"/>
      <c r="AE297" s="735"/>
      <c r="AF297" s="735"/>
      <c r="AG297" s="711"/>
      <c r="AH297" s="711"/>
      <c r="AI297" s="735"/>
    </row>
    <row r="298" spans="1:35" x14ac:dyDescent="0.2">
      <c r="A298" s="704"/>
      <c r="B298" s="711"/>
      <c r="C298" s="735"/>
      <c r="D298" s="735"/>
      <c r="E298" s="735"/>
      <c r="F298" s="735"/>
      <c r="G298" s="735"/>
      <c r="H298" s="735"/>
      <c r="I298" s="735"/>
      <c r="J298" s="735"/>
      <c r="K298" s="735"/>
      <c r="L298" s="735"/>
      <c r="M298" s="735"/>
      <c r="N298" s="735"/>
      <c r="O298" s="735"/>
      <c r="P298" s="746"/>
      <c r="Q298" s="421"/>
      <c r="R298" s="735"/>
      <c r="S298" s="735"/>
      <c r="T298" s="735"/>
      <c r="U298" s="735"/>
      <c r="V298" s="735"/>
      <c r="W298" s="735"/>
      <c r="X298" s="735"/>
      <c r="Y298" s="735"/>
      <c r="Z298" s="735"/>
      <c r="AA298" s="735"/>
      <c r="AB298" s="735"/>
      <c r="AC298" s="735"/>
      <c r="AD298" s="735"/>
      <c r="AE298" s="735"/>
      <c r="AF298" s="735"/>
      <c r="AG298" s="711"/>
      <c r="AH298" s="711"/>
      <c r="AI298" s="735"/>
    </row>
    <row r="299" spans="1:35" x14ac:dyDescent="0.2">
      <c r="A299" s="706" t="s">
        <v>169</v>
      </c>
      <c r="B299" s="555">
        <f>SUM(B271:B298)</f>
        <v>27</v>
      </c>
      <c r="C299" s="731">
        <f>SUM(C274:C298)</f>
        <v>7479.67</v>
      </c>
      <c r="D299" s="731">
        <f t="shared" ref="D299:O299" si="154">SUM(D274:D298)</f>
        <v>10448.209999999999</v>
      </c>
      <c r="E299" s="731">
        <f t="shared" si="154"/>
        <v>0</v>
      </c>
      <c r="F299" s="731">
        <f t="shared" si="154"/>
        <v>0</v>
      </c>
      <c r="G299" s="731">
        <f t="shared" si="154"/>
        <v>0</v>
      </c>
      <c r="H299" s="731">
        <f t="shared" si="154"/>
        <v>0</v>
      </c>
      <c r="I299" s="731">
        <f t="shared" si="154"/>
        <v>0</v>
      </c>
      <c r="J299" s="731">
        <f t="shared" si="154"/>
        <v>0</v>
      </c>
      <c r="K299" s="731">
        <f t="shared" si="154"/>
        <v>17927.88</v>
      </c>
      <c r="L299" s="731">
        <f t="shared" si="154"/>
        <v>9000</v>
      </c>
      <c r="M299" s="731">
        <f t="shared" si="154"/>
        <v>0</v>
      </c>
      <c r="N299" s="731">
        <f t="shared" si="154"/>
        <v>0</v>
      </c>
      <c r="O299" s="731">
        <f t="shared" si="154"/>
        <v>26927.879999999997</v>
      </c>
      <c r="P299" s="764">
        <f>SUM(P274:P298)</f>
        <v>652284.4800000001</v>
      </c>
      <c r="Q299" s="765">
        <f t="shared" ref="Q299:AI299" si="155">SUM(Q274:Q298)</f>
        <v>27</v>
      </c>
      <c r="R299" s="764">
        <f t="shared" si="155"/>
        <v>7479.67</v>
      </c>
      <c r="S299" s="764">
        <f t="shared" si="155"/>
        <v>11276.720000000001</v>
      </c>
      <c r="T299" s="764">
        <f t="shared" si="155"/>
        <v>0</v>
      </c>
      <c r="U299" s="764">
        <f t="shared" si="155"/>
        <v>0</v>
      </c>
      <c r="V299" s="764">
        <f t="shared" si="155"/>
        <v>0</v>
      </c>
      <c r="W299" s="764">
        <f t="shared" si="155"/>
        <v>0</v>
      </c>
      <c r="X299" s="764">
        <f t="shared" si="155"/>
        <v>0</v>
      </c>
      <c r="Y299" s="764">
        <f t="shared" si="155"/>
        <v>0</v>
      </c>
      <c r="Z299" s="764">
        <f t="shared" si="155"/>
        <v>18756.390000000003</v>
      </c>
      <c r="AA299" s="764">
        <f t="shared" si="155"/>
        <v>9000</v>
      </c>
      <c r="AB299" s="764">
        <f t="shared" si="155"/>
        <v>0</v>
      </c>
      <c r="AC299" s="764">
        <f t="shared" si="155"/>
        <v>0</v>
      </c>
      <c r="AD299" s="764">
        <f t="shared" si="155"/>
        <v>27756.39</v>
      </c>
      <c r="AE299" s="764">
        <f t="shared" si="155"/>
        <v>684750.84</v>
      </c>
      <c r="AF299" s="764">
        <f t="shared" si="155"/>
        <v>-828.51000000000022</v>
      </c>
      <c r="AG299" s="766">
        <f t="shared" si="155"/>
        <v>-32466.360000000015</v>
      </c>
      <c r="AH299" s="766">
        <f t="shared" si="155"/>
        <v>27</v>
      </c>
      <c r="AI299" s="764">
        <f t="shared" si="155"/>
        <v>936073.32000000007</v>
      </c>
    </row>
    <row r="300" spans="1:35" x14ac:dyDescent="0.2">
      <c r="B300" s="17"/>
      <c r="C300" s="17"/>
      <c r="D300" s="17"/>
      <c r="E300" s="17"/>
      <c r="F300" s="17"/>
      <c r="G300" s="17"/>
      <c r="H300" s="17"/>
      <c r="I300" s="17"/>
      <c r="J300" s="17"/>
      <c r="K300" s="17"/>
      <c r="L300" s="17"/>
      <c r="M300" s="17"/>
      <c r="N300" s="17"/>
      <c r="O300" s="17"/>
      <c r="P300" s="17"/>
      <c r="R300" s="17"/>
      <c r="S300" s="17"/>
      <c r="T300" s="17"/>
      <c r="U300" s="17"/>
      <c r="V300" s="17"/>
      <c r="W300" s="17"/>
      <c r="X300" s="17"/>
      <c r="Y300" s="17"/>
      <c r="Z300" s="17"/>
      <c r="AA300" s="17"/>
      <c r="AB300" s="17"/>
      <c r="AC300" s="17"/>
      <c r="AD300" s="17"/>
      <c r="AE300" s="17"/>
      <c r="AF300" s="17"/>
      <c r="AG300" s="17"/>
      <c r="AH300" s="17"/>
      <c r="AI300" s="17"/>
    </row>
    <row r="301" spans="1:35" x14ac:dyDescent="0.2">
      <c r="B301" s="17"/>
      <c r="C301" s="17"/>
      <c r="D301" s="17"/>
      <c r="E301" s="17"/>
      <c r="F301" s="17"/>
      <c r="G301" s="17"/>
      <c r="H301" s="17"/>
      <c r="I301" s="17"/>
      <c r="J301" s="17"/>
      <c r="K301" s="17"/>
      <c r="L301" s="17"/>
      <c r="M301" s="17"/>
      <c r="N301" s="17"/>
      <c r="O301" s="17"/>
      <c r="P301" s="17"/>
      <c r="R301" s="17"/>
      <c r="S301" s="17"/>
      <c r="T301" s="17"/>
      <c r="U301" s="17"/>
      <c r="V301" s="17"/>
      <c r="W301" s="17"/>
      <c r="X301" s="17"/>
      <c r="Y301" s="17"/>
      <c r="Z301" s="17"/>
      <c r="AA301" s="17"/>
      <c r="AB301" s="17"/>
      <c r="AC301" s="17"/>
      <c r="AD301" s="17"/>
      <c r="AE301" s="17"/>
      <c r="AF301" s="17"/>
      <c r="AG301" s="17"/>
      <c r="AH301" s="17"/>
      <c r="AI301" s="17"/>
    </row>
    <row r="302" spans="1:35" ht="24" x14ac:dyDescent="0.2">
      <c r="A302" s="706" t="s">
        <v>736</v>
      </c>
      <c r="B302" s="743"/>
      <c r="C302" s="742"/>
      <c r="D302" s="742"/>
      <c r="E302" s="742"/>
      <c r="F302" s="742"/>
      <c r="G302" s="742"/>
      <c r="H302" s="742"/>
      <c r="I302" s="742"/>
      <c r="J302" s="742"/>
      <c r="K302" s="742"/>
      <c r="L302" s="742"/>
      <c r="M302" s="742"/>
      <c r="N302" s="742"/>
      <c r="O302" s="742"/>
      <c r="P302" s="742"/>
      <c r="Q302" s="712"/>
      <c r="R302" s="742"/>
      <c r="S302" s="742"/>
      <c r="T302" s="742"/>
      <c r="U302" s="742"/>
      <c r="V302" s="742"/>
      <c r="W302" s="742"/>
      <c r="X302" s="742"/>
      <c r="Y302" s="742"/>
      <c r="Z302" s="742"/>
      <c r="AA302" s="742"/>
      <c r="AB302" s="742"/>
      <c r="AC302" s="742"/>
      <c r="AD302" s="742"/>
      <c r="AE302" s="742"/>
      <c r="AF302" s="742"/>
      <c r="AG302" s="743"/>
      <c r="AH302" s="743"/>
      <c r="AI302" s="742"/>
    </row>
    <row r="303" spans="1:35" x14ac:dyDescent="0.2">
      <c r="A303" s="860"/>
      <c r="B303" s="743"/>
      <c r="C303" s="742"/>
      <c r="D303" s="742"/>
      <c r="E303" s="742"/>
      <c r="F303" s="742"/>
      <c r="G303" s="742"/>
      <c r="H303" s="742"/>
      <c r="I303" s="742"/>
      <c r="J303" s="742"/>
      <c r="K303" s="742"/>
      <c r="L303" s="742"/>
      <c r="M303" s="742"/>
      <c r="N303" s="742"/>
      <c r="O303" s="742"/>
      <c r="P303" s="742"/>
      <c r="Q303" s="712"/>
      <c r="R303" s="742"/>
      <c r="S303" s="742"/>
      <c r="T303" s="742"/>
      <c r="U303" s="742"/>
      <c r="V303" s="742"/>
      <c r="W303" s="742"/>
      <c r="X303" s="742"/>
      <c r="Y303" s="742"/>
      <c r="Z303" s="742"/>
      <c r="AA303" s="742"/>
      <c r="AB303" s="742"/>
      <c r="AC303" s="742"/>
      <c r="AD303" s="742"/>
      <c r="AE303" s="742"/>
      <c r="AF303" s="742"/>
      <c r="AG303" s="743"/>
      <c r="AH303" s="743"/>
      <c r="AI303" s="742"/>
    </row>
    <row r="304" spans="1:35" x14ac:dyDescent="0.2">
      <c r="A304" s="1485" t="s">
        <v>644</v>
      </c>
      <c r="B304" s="1487" t="s">
        <v>645</v>
      </c>
      <c r="C304" s="1487"/>
      <c r="D304" s="1487"/>
      <c r="E304" s="1487"/>
      <c r="F304" s="1487"/>
      <c r="G304" s="1487"/>
      <c r="H304" s="1487"/>
      <c r="I304" s="1487"/>
      <c r="J304" s="1487"/>
      <c r="K304" s="1487"/>
      <c r="L304" s="1487"/>
      <c r="M304" s="1487"/>
      <c r="N304" s="1487"/>
      <c r="O304" s="1487"/>
      <c r="P304" s="1487"/>
      <c r="Q304" s="1487" t="s">
        <v>646</v>
      </c>
      <c r="R304" s="1487"/>
      <c r="S304" s="1487"/>
      <c r="T304" s="1487"/>
      <c r="U304" s="1487"/>
      <c r="V304" s="1487"/>
      <c r="W304" s="1487"/>
      <c r="X304" s="1487"/>
      <c r="Y304" s="1487"/>
      <c r="Z304" s="1487"/>
      <c r="AA304" s="1487"/>
      <c r="AB304" s="1487"/>
      <c r="AC304" s="1487"/>
      <c r="AD304" s="1487"/>
      <c r="AE304" s="1487"/>
      <c r="AF304" s="1487" t="s">
        <v>647</v>
      </c>
      <c r="AG304" s="1487"/>
      <c r="AH304" s="1487" t="s">
        <v>648</v>
      </c>
      <c r="AI304" s="1487"/>
    </row>
    <row r="305" spans="1:35" ht="120" customHeight="1" x14ac:dyDescent="0.2">
      <c r="A305" s="1485"/>
      <c r="B305" s="691" t="s">
        <v>649</v>
      </c>
      <c r="C305" s="692" t="s">
        <v>650</v>
      </c>
      <c r="D305" s="692" t="s">
        <v>684</v>
      </c>
      <c r="E305" s="692" t="s">
        <v>652</v>
      </c>
      <c r="F305" s="692" t="s">
        <v>653</v>
      </c>
      <c r="G305" s="692" t="s">
        <v>654</v>
      </c>
      <c r="H305" s="692" t="s">
        <v>655</v>
      </c>
      <c r="I305" s="692" t="s">
        <v>656</v>
      </c>
      <c r="J305" s="692" t="s">
        <v>657</v>
      </c>
      <c r="K305" s="692" t="s">
        <v>658</v>
      </c>
      <c r="L305" s="692" t="s">
        <v>659</v>
      </c>
      <c r="M305" s="692" t="s">
        <v>660</v>
      </c>
      <c r="N305" s="692" t="s">
        <v>661</v>
      </c>
      <c r="O305" s="692" t="s">
        <v>662</v>
      </c>
      <c r="P305" s="692" t="s">
        <v>685</v>
      </c>
      <c r="Q305" s="691" t="s">
        <v>649</v>
      </c>
      <c r="R305" s="692" t="s">
        <v>650</v>
      </c>
      <c r="S305" s="692" t="s">
        <v>651</v>
      </c>
      <c r="T305" s="692" t="s">
        <v>652</v>
      </c>
      <c r="U305" s="692" t="s">
        <v>653</v>
      </c>
      <c r="V305" s="692" t="s">
        <v>654</v>
      </c>
      <c r="W305" s="692" t="s">
        <v>655</v>
      </c>
      <c r="X305" s="692" t="s">
        <v>656</v>
      </c>
      <c r="Y305" s="692" t="s">
        <v>657</v>
      </c>
      <c r="Z305" s="692" t="s">
        <v>658</v>
      </c>
      <c r="AA305" s="692" t="s">
        <v>659</v>
      </c>
      <c r="AB305" s="692" t="s">
        <v>660</v>
      </c>
      <c r="AC305" s="692" t="s">
        <v>661</v>
      </c>
      <c r="AD305" s="692" t="s">
        <v>662</v>
      </c>
      <c r="AE305" s="692" t="s">
        <v>686</v>
      </c>
      <c r="AF305" s="692" t="s">
        <v>664</v>
      </c>
      <c r="AG305" s="691" t="s">
        <v>665</v>
      </c>
      <c r="AH305" s="691" t="s">
        <v>649</v>
      </c>
      <c r="AI305" s="692" t="s">
        <v>687</v>
      </c>
    </row>
    <row r="306" spans="1:35" x14ac:dyDescent="0.2">
      <c r="A306" s="1486"/>
      <c r="B306" s="555" t="s">
        <v>667</v>
      </c>
      <c r="C306" s="733" t="s">
        <v>668</v>
      </c>
      <c r="D306" s="733" t="s">
        <v>669</v>
      </c>
      <c r="E306" s="733" t="s">
        <v>670</v>
      </c>
      <c r="F306" s="734" t="s">
        <v>671</v>
      </c>
      <c r="G306" s="734" t="s">
        <v>672</v>
      </c>
      <c r="H306" s="734" t="s">
        <v>673</v>
      </c>
      <c r="I306" s="734" t="s">
        <v>674</v>
      </c>
      <c r="J306" s="734" t="s">
        <v>675</v>
      </c>
      <c r="K306" s="734" t="s">
        <v>676</v>
      </c>
      <c r="L306" s="734" t="s">
        <v>677</v>
      </c>
      <c r="M306" s="734" t="s">
        <v>678</v>
      </c>
      <c r="N306" s="734" t="s">
        <v>679</v>
      </c>
      <c r="O306" s="734" t="s">
        <v>680</v>
      </c>
      <c r="P306" s="734" t="s">
        <v>681</v>
      </c>
      <c r="Q306" s="555" t="s">
        <v>667</v>
      </c>
      <c r="R306" s="733" t="s">
        <v>668</v>
      </c>
      <c r="S306" s="733" t="s">
        <v>669</v>
      </c>
      <c r="T306" s="733" t="s">
        <v>670</v>
      </c>
      <c r="U306" s="734" t="s">
        <v>671</v>
      </c>
      <c r="V306" s="734" t="s">
        <v>672</v>
      </c>
      <c r="W306" s="734" t="s">
        <v>673</v>
      </c>
      <c r="X306" s="734" t="s">
        <v>674</v>
      </c>
      <c r="Y306" s="734" t="s">
        <v>675</v>
      </c>
      <c r="Z306" s="734" t="s">
        <v>676</v>
      </c>
      <c r="AA306" s="734" t="s">
        <v>677</v>
      </c>
      <c r="AB306" s="734" t="s">
        <v>678</v>
      </c>
      <c r="AC306" s="734" t="s">
        <v>679</v>
      </c>
      <c r="AD306" s="734" t="s">
        <v>680</v>
      </c>
      <c r="AE306" s="734" t="s">
        <v>681</v>
      </c>
      <c r="AF306" s="733"/>
      <c r="AG306" s="555"/>
      <c r="AH306" s="555"/>
      <c r="AI306" s="733"/>
    </row>
    <row r="307" spans="1:35" x14ac:dyDescent="0.2">
      <c r="A307" s="704"/>
      <c r="B307" s="711"/>
      <c r="C307" s="735"/>
      <c r="D307" s="735"/>
      <c r="E307" s="735"/>
      <c r="F307" s="735"/>
      <c r="G307" s="735"/>
      <c r="H307" s="735"/>
      <c r="I307" s="735"/>
      <c r="J307" s="735"/>
      <c r="K307" s="735"/>
      <c r="L307" s="735"/>
      <c r="M307" s="735"/>
      <c r="N307" s="735"/>
      <c r="O307" s="735"/>
      <c r="P307" s="735"/>
      <c r="Q307" s="711"/>
      <c r="R307" s="735"/>
      <c r="S307" s="735"/>
      <c r="T307" s="735"/>
      <c r="U307" s="735"/>
      <c r="V307" s="735"/>
      <c r="W307" s="735"/>
      <c r="X307" s="735"/>
      <c r="Y307" s="735"/>
      <c r="Z307" s="735"/>
      <c r="AA307" s="735"/>
      <c r="AB307" s="735"/>
      <c r="AC307" s="735"/>
      <c r="AD307" s="735"/>
      <c r="AE307" s="735"/>
      <c r="AF307" s="767"/>
      <c r="AG307" s="723"/>
      <c r="AH307" s="711"/>
      <c r="AI307" s="735"/>
    </row>
    <row r="308" spans="1:35" x14ac:dyDescent="0.2">
      <c r="A308" s="704" t="s">
        <v>688</v>
      </c>
      <c r="B308" s="711"/>
      <c r="C308" s="735"/>
      <c r="D308" s="735"/>
      <c r="E308" s="735"/>
      <c r="F308" s="735"/>
      <c r="G308" s="735"/>
      <c r="H308" s="735"/>
      <c r="I308" s="735"/>
      <c r="J308" s="735"/>
      <c r="K308" s="735"/>
      <c r="L308" s="735"/>
      <c r="M308" s="735"/>
      <c r="N308" s="735"/>
      <c r="O308" s="735"/>
      <c r="P308" s="735"/>
      <c r="Q308" s="711"/>
      <c r="R308" s="735"/>
      <c r="S308" s="735"/>
      <c r="T308" s="735"/>
      <c r="U308" s="735"/>
      <c r="V308" s="735"/>
      <c r="W308" s="735"/>
      <c r="X308" s="735"/>
      <c r="Y308" s="735"/>
      <c r="Z308" s="735"/>
      <c r="AA308" s="735"/>
      <c r="AB308" s="735"/>
      <c r="AC308" s="735"/>
      <c r="AD308" s="735"/>
      <c r="AE308" s="735"/>
      <c r="AF308" s="767"/>
      <c r="AG308" s="723"/>
      <c r="AH308" s="711"/>
      <c r="AI308" s="735"/>
    </row>
    <row r="309" spans="1:35" x14ac:dyDescent="0.2">
      <c r="A309" s="861" t="s">
        <v>378</v>
      </c>
      <c r="B309" s="711"/>
      <c r="C309" s="735"/>
      <c r="D309" s="735"/>
      <c r="E309" s="735"/>
      <c r="F309" s="735"/>
      <c r="G309" s="735"/>
      <c r="H309" s="735"/>
      <c r="I309" s="735"/>
      <c r="J309" s="735"/>
      <c r="K309" s="735"/>
      <c r="L309" s="735"/>
      <c r="M309" s="735"/>
      <c r="N309" s="735"/>
      <c r="O309" s="735"/>
      <c r="P309" s="735"/>
      <c r="Q309" s="711"/>
      <c r="R309" s="735"/>
      <c r="S309" s="735"/>
      <c r="T309" s="735"/>
      <c r="U309" s="735"/>
      <c r="V309" s="735"/>
      <c r="W309" s="735"/>
      <c r="X309" s="735"/>
      <c r="Y309" s="735"/>
      <c r="Z309" s="735"/>
      <c r="AA309" s="735"/>
      <c r="AB309" s="735"/>
      <c r="AC309" s="735"/>
      <c r="AD309" s="735"/>
      <c r="AE309" s="735"/>
      <c r="AF309" s="735"/>
      <c r="AG309" s="711"/>
      <c r="AH309" s="711"/>
      <c r="AI309" s="735"/>
    </row>
    <row r="310" spans="1:35" x14ac:dyDescent="0.2">
      <c r="A310" s="862" t="s">
        <v>381</v>
      </c>
      <c r="B310" s="711">
        <v>1</v>
      </c>
      <c r="C310" s="735">
        <v>796.39</v>
      </c>
      <c r="D310" s="735">
        <v>2260</v>
      </c>
      <c r="E310" s="735"/>
      <c r="F310" s="735"/>
      <c r="G310" s="735"/>
      <c r="H310" s="735"/>
      <c r="I310" s="735"/>
      <c r="J310" s="735"/>
      <c r="K310" s="735">
        <f>+C310+D310+E310+F310+G310+H310+I310+J310</f>
        <v>3056.39</v>
      </c>
      <c r="L310" s="735">
        <v>1000</v>
      </c>
      <c r="M310" s="735"/>
      <c r="N310" s="735"/>
      <c r="O310" s="735">
        <f>C310+D310+L310</f>
        <v>4056.39</v>
      </c>
      <c r="P310" s="746">
        <f>((C310+D310)*12+L310)*B310</f>
        <v>37676.68</v>
      </c>
      <c r="Q310" s="711">
        <v>1</v>
      </c>
      <c r="R310" s="735">
        <v>796.39</v>
      </c>
      <c r="S310" s="735">
        <v>2260</v>
      </c>
      <c r="T310" s="735"/>
      <c r="U310" s="735"/>
      <c r="V310" s="735"/>
      <c r="W310" s="735"/>
      <c r="X310" s="735"/>
      <c r="Y310" s="735"/>
      <c r="Z310" s="735">
        <f>+R310+S310+T310+U310+V310+W310+X310+Y310</f>
        <v>3056.39</v>
      </c>
      <c r="AA310" s="735">
        <v>1000</v>
      </c>
      <c r="AB310" s="735"/>
      <c r="AC310" s="735"/>
      <c r="AD310" s="735">
        <f>R310+S310+AA310</f>
        <v>4056.39</v>
      </c>
      <c r="AE310" s="746">
        <f>((R310+S310)*12+AA310)*Q310</f>
        <v>37676.68</v>
      </c>
      <c r="AF310" s="735">
        <f t="shared" ref="AF310:AG312" si="156">O310-AD310</f>
        <v>0</v>
      </c>
      <c r="AG310" s="763">
        <f t="shared" si="156"/>
        <v>0</v>
      </c>
      <c r="AH310" s="711">
        <v>1</v>
      </c>
      <c r="AI310" s="735">
        <f>AE310</f>
        <v>37676.68</v>
      </c>
    </row>
    <row r="311" spans="1:35" x14ac:dyDescent="0.2">
      <c r="A311" s="862" t="s">
        <v>383</v>
      </c>
      <c r="B311" s="711">
        <v>7</v>
      </c>
      <c r="C311" s="735">
        <v>757.49</v>
      </c>
      <c r="D311" s="735">
        <v>1575</v>
      </c>
      <c r="E311" s="735"/>
      <c r="F311" s="735"/>
      <c r="G311" s="735"/>
      <c r="H311" s="735"/>
      <c r="I311" s="735"/>
      <c r="J311" s="735"/>
      <c r="K311" s="735">
        <f>+C311+D311+E311+F311+G311+H311+I311+J311</f>
        <v>2332.4899999999998</v>
      </c>
      <c r="L311" s="735">
        <v>1000</v>
      </c>
      <c r="M311" s="735"/>
      <c r="N311" s="735"/>
      <c r="O311" s="735">
        <f>C311+D311+L311</f>
        <v>3332.49</v>
      </c>
      <c r="P311" s="746">
        <f>((C311+D311)*12+L311)*B311</f>
        <v>202929.15999999997</v>
      </c>
      <c r="Q311" s="711">
        <v>7</v>
      </c>
      <c r="R311" s="735">
        <v>757.49</v>
      </c>
      <c r="S311" s="735">
        <v>1575</v>
      </c>
      <c r="T311" s="735"/>
      <c r="U311" s="735"/>
      <c r="V311" s="735"/>
      <c r="W311" s="735"/>
      <c r="X311" s="735"/>
      <c r="Y311" s="735"/>
      <c r="Z311" s="735">
        <f>+R311+S311+T311+U311+V311+W311+X311+Y311</f>
        <v>2332.4899999999998</v>
      </c>
      <c r="AA311" s="735">
        <v>1000</v>
      </c>
      <c r="AB311" s="735"/>
      <c r="AC311" s="735"/>
      <c r="AD311" s="735">
        <f>R311+S311+AA311</f>
        <v>3332.49</v>
      </c>
      <c r="AE311" s="746">
        <f>((R311+S311)*12+AA311)*Q311</f>
        <v>202929.15999999997</v>
      </c>
      <c r="AF311" s="735">
        <f t="shared" si="156"/>
        <v>0</v>
      </c>
      <c r="AG311" s="763">
        <f t="shared" si="156"/>
        <v>0</v>
      </c>
      <c r="AH311" s="711">
        <v>7</v>
      </c>
      <c r="AI311" s="735">
        <f>AE311</f>
        <v>202929.15999999997</v>
      </c>
    </row>
    <row r="312" spans="1:35" x14ac:dyDescent="0.2">
      <c r="A312" s="862" t="s">
        <v>384</v>
      </c>
      <c r="B312" s="711">
        <v>2</v>
      </c>
      <c r="C312" s="735">
        <v>738.1</v>
      </c>
      <c r="D312" s="735">
        <v>1257.9000000000001</v>
      </c>
      <c r="E312" s="735"/>
      <c r="F312" s="735"/>
      <c r="G312" s="735"/>
      <c r="H312" s="735"/>
      <c r="I312" s="735"/>
      <c r="J312" s="735"/>
      <c r="K312" s="735">
        <f>+C312+D312+E312+F312+G312+H312+I312+J312</f>
        <v>1996</v>
      </c>
      <c r="L312" s="735">
        <v>1000</v>
      </c>
      <c r="M312" s="735"/>
      <c r="N312" s="735"/>
      <c r="O312" s="735">
        <f>C312+D312+L312</f>
        <v>2996</v>
      </c>
      <c r="P312" s="746">
        <f>((C312+D312)*12+L312)*B312</f>
        <v>49904</v>
      </c>
      <c r="Q312" s="711">
        <v>2</v>
      </c>
      <c r="R312" s="735">
        <v>738.1</v>
      </c>
      <c r="S312" s="735">
        <v>1257.9000000000001</v>
      </c>
      <c r="T312" s="735"/>
      <c r="U312" s="735"/>
      <c r="V312" s="735"/>
      <c r="W312" s="735"/>
      <c r="X312" s="735"/>
      <c r="Y312" s="735"/>
      <c r="Z312" s="735">
        <f>+R312+S312+T312+U312+V312+W312+X312+Y312</f>
        <v>1996</v>
      </c>
      <c r="AA312" s="735">
        <v>1000</v>
      </c>
      <c r="AB312" s="735"/>
      <c r="AC312" s="735"/>
      <c r="AD312" s="735">
        <f>R312+S312+AA312</f>
        <v>2996</v>
      </c>
      <c r="AE312" s="746">
        <f>((R312+S312)*12+AA312)*Q312</f>
        <v>49904</v>
      </c>
      <c r="AF312" s="735">
        <f t="shared" si="156"/>
        <v>0</v>
      </c>
      <c r="AG312" s="763">
        <f t="shared" si="156"/>
        <v>0</v>
      </c>
      <c r="AH312" s="711">
        <v>2</v>
      </c>
      <c r="AI312" s="735">
        <f>((102.1*AH312)*12)+AE312</f>
        <v>52354.400000000001</v>
      </c>
    </row>
    <row r="313" spans="1:35" x14ac:dyDescent="0.2">
      <c r="A313" s="704"/>
      <c r="B313" s="711"/>
      <c r="C313" s="735"/>
      <c r="D313" s="735"/>
      <c r="E313" s="735"/>
      <c r="F313" s="735"/>
      <c r="G313" s="735"/>
      <c r="H313" s="735"/>
      <c r="I313" s="735"/>
      <c r="J313" s="735"/>
      <c r="K313" s="735"/>
      <c r="L313" s="735"/>
      <c r="M313" s="735"/>
      <c r="N313" s="735"/>
      <c r="O313" s="735"/>
      <c r="P313" s="746"/>
      <c r="Q313" s="711"/>
      <c r="R313" s="735"/>
      <c r="S313" s="735"/>
      <c r="T313" s="735"/>
      <c r="U313" s="735"/>
      <c r="V313" s="735"/>
      <c r="W313" s="735"/>
      <c r="X313" s="735"/>
      <c r="Y313" s="735"/>
      <c r="Z313" s="735"/>
      <c r="AA313" s="735"/>
      <c r="AB313" s="735"/>
      <c r="AC313" s="735"/>
      <c r="AD313" s="735"/>
      <c r="AE313" s="746"/>
      <c r="AF313" s="735"/>
      <c r="AG313" s="711"/>
      <c r="AH313" s="711"/>
      <c r="AI313" s="735"/>
    </row>
    <row r="314" spans="1:35" x14ac:dyDescent="0.2">
      <c r="A314" s="861" t="s">
        <v>385</v>
      </c>
      <c r="B314" s="711"/>
      <c r="C314" s="735"/>
      <c r="D314" s="735"/>
      <c r="E314" s="735"/>
      <c r="F314" s="735"/>
      <c r="G314" s="735"/>
      <c r="H314" s="735"/>
      <c r="I314" s="735"/>
      <c r="J314" s="735"/>
      <c r="K314" s="735"/>
      <c r="L314" s="735"/>
      <c r="M314" s="735"/>
      <c r="N314" s="735"/>
      <c r="O314" s="735"/>
      <c r="P314" s="746"/>
      <c r="Q314" s="711"/>
      <c r="R314" s="735"/>
      <c r="S314" s="735"/>
      <c r="T314" s="735"/>
      <c r="U314" s="735"/>
      <c r="V314" s="735"/>
      <c r="W314" s="735"/>
      <c r="X314" s="735"/>
      <c r="Y314" s="735"/>
      <c r="Z314" s="735"/>
      <c r="AA314" s="735"/>
      <c r="AB314" s="735"/>
      <c r="AC314" s="735"/>
      <c r="AD314" s="735"/>
      <c r="AE314" s="746"/>
      <c r="AF314" s="735"/>
      <c r="AG314" s="711"/>
      <c r="AH314" s="711"/>
      <c r="AI314" s="735"/>
    </row>
    <row r="315" spans="1:35" x14ac:dyDescent="0.2">
      <c r="A315" s="862" t="s">
        <v>386</v>
      </c>
      <c r="B315" s="711">
        <v>4</v>
      </c>
      <c r="C315" s="735">
        <v>698.59</v>
      </c>
      <c r="D315" s="735">
        <v>1113.8900000000001</v>
      </c>
      <c r="E315" s="735"/>
      <c r="F315" s="735"/>
      <c r="G315" s="735"/>
      <c r="H315" s="735"/>
      <c r="I315" s="735"/>
      <c r="J315" s="735"/>
      <c r="K315" s="735">
        <f t="shared" ref="K315:K317" si="157">+C315+D315+E315+F315+G315+H315+I315+J315</f>
        <v>1812.48</v>
      </c>
      <c r="L315" s="735">
        <v>1000</v>
      </c>
      <c r="M315" s="735"/>
      <c r="N315" s="735"/>
      <c r="O315" s="735">
        <f t="shared" ref="O315:O317" si="158">C315+D315+L315</f>
        <v>2812.48</v>
      </c>
      <c r="P315" s="746">
        <f t="shared" ref="P315:P317" si="159">((C315+D315)*12+L315)*B315</f>
        <v>90999.040000000008</v>
      </c>
      <c r="Q315" s="711">
        <v>4</v>
      </c>
      <c r="R315" s="735">
        <v>698.59</v>
      </c>
      <c r="S315" s="735">
        <v>1113.8900000000001</v>
      </c>
      <c r="T315" s="735"/>
      <c r="U315" s="735"/>
      <c r="V315" s="735"/>
      <c r="W315" s="735"/>
      <c r="X315" s="735"/>
      <c r="Y315" s="735"/>
      <c r="Z315" s="735">
        <f t="shared" ref="Z315:Z317" si="160">+R315+S315+T315+U315+V315+W315+X315+Y315</f>
        <v>1812.48</v>
      </c>
      <c r="AA315" s="735">
        <v>1000</v>
      </c>
      <c r="AB315" s="735"/>
      <c r="AC315" s="735"/>
      <c r="AD315" s="735">
        <f t="shared" ref="AD315:AD317" si="161">R315+S315+AA315</f>
        <v>2812.48</v>
      </c>
      <c r="AE315" s="746">
        <f t="shared" ref="AE315:AE317" si="162">((R315+S315)*12+AA315)*Q315</f>
        <v>90999.040000000008</v>
      </c>
      <c r="AF315" s="735">
        <f t="shared" ref="AF315:AG317" si="163">O315-AD315</f>
        <v>0</v>
      </c>
      <c r="AG315" s="763">
        <f t="shared" si="163"/>
        <v>0</v>
      </c>
      <c r="AH315" s="711">
        <v>4</v>
      </c>
      <c r="AI315" s="735">
        <f>((116.11*AH315)*12)+AE315</f>
        <v>96572.32</v>
      </c>
    </row>
    <row r="316" spans="1:35" x14ac:dyDescent="0.2">
      <c r="A316" s="862" t="s">
        <v>387</v>
      </c>
      <c r="B316" s="711">
        <v>2</v>
      </c>
      <c r="C316" s="735">
        <v>673.65</v>
      </c>
      <c r="D316" s="735">
        <v>1113.8900000000001</v>
      </c>
      <c r="E316" s="735"/>
      <c r="F316" s="735"/>
      <c r="G316" s="735"/>
      <c r="H316" s="735"/>
      <c r="I316" s="735"/>
      <c r="J316" s="735"/>
      <c r="K316" s="735">
        <f t="shared" si="157"/>
        <v>1787.54</v>
      </c>
      <c r="L316" s="735">
        <v>1000</v>
      </c>
      <c r="M316" s="735"/>
      <c r="N316" s="735"/>
      <c r="O316" s="735">
        <f t="shared" si="158"/>
        <v>2787.54</v>
      </c>
      <c r="P316" s="746">
        <f t="shared" si="159"/>
        <v>44900.959999999999</v>
      </c>
      <c r="Q316" s="711">
        <v>2</v>
      </c>
      <c r="R316" s="735">
        <v>673.65</v>
      </c>
      <c r="S316" s="735">
        <v>1113.8900000000001</v>
      </c>
      <c r="T316" s="735"/>
      <c r="U316" s="735"/>
      <c r="V316" s="735"/>
      <c r="W316" s="735"/>
      <c r="X316" s="735"/>
      <c r="Y316" s="735"/>
      <c r="Z316" s="735">
        <f t="shared" si="160"/>
        <v>1787.54</v>
      </c>
      <c r="AA316" s="735">
        <v>1000</v>
      </c>
      <c r="AB316" s="735"/>
      <c r="AC316" s="735"/>
      <c r="AD316" s="735">
        <f t="shared" si="161"/>
        <v>2787.54</v>
      </c>
      <c r="AE316" s="746">
        <f t="shared" si="162"/>
        <v>44900.959999999999</v>
      </c>
      <c r="AF316" s="735">
        <f t="shared" si="163"/>
        <v>0</v>
      </c>
      <c r="AG316" s="763">
        <f t="shared" si="163"/>
        <v>0</v>
      </c>
      <c r="AH316" s="711">
        <v>2</v>
      </c>
      <c r="AI316" s="735">
        <f>((116.11*AH316)*12)+AE316</f>
        <v>47687.6</v>
      </c>
    </row>
    <row r="317" spans="1:35" x14ac:dyDescent="0.2">
      <c r="A317" s="862" t="s">
        <v>408</v>
      </c>
      <c r="B317" s="711">
        <v>2</v>
      </c>
      <c r="C317" s="735">
        <v>598.98</v>
      </c>
      <c r="D317" s="735">
        <v>1113.8</v>
      </c>
      <c r="E317" s="735"/>
      <c r="F317" s="735"/>
      <c r="G317" s="735"/>
      <c r="H317" s="735"/>
      <c r="I317" s="735"/>
      <c r="J317" s="735"/>
      <c r="K317" s="735">
        <f t="shared" si="157"/>
        <v>1712.78</v>
      </c>
      <c r="L317" s="735">
        <v>1000</v>
      </c>
      <c r="M317" s="735"/>
      <c r="N317" s="735"/>
      <c r="O317" s="735">
        <f t="shared" si="158"/>
        <v>2712.7799999999997</v>
      </c>
      <c r="P317" s="746">
        <f t="shared" si="159"/>
        <v>43106.720000000001</v>
      </c>
      <c r="Q317" s="711">
        <v>2</v>
      </c>
      <c r="R317" s="735">
        <v>598.98</v>
      </c>
      <c r="S317" s="735">
        <v>1113.8</v>
      </c>
      <c r="T317" s="735"/>
      <c r="U317" s="735"/>
      <c r="V317" s="735"/>
      <c r="W317" s="735"/>
      <c r="X317" s="735"/>
      <c r="Y317" s="735"/>
      <c r="Z317" s="735">
        <f t="shared" si="160"/>
        <v>1712.78</v>
      </c>
      <c r="AA317" s="735">
        <v>1000</v>
      </c>
      <c r="AB317" s="735"/>
      <c r="AC317" s="735"/>
      <c r="AD317" s="735">
        <f t="shared" si="161"/>
        <v>2712.7799999999997</v>
      </c>
      <c r="AE317" s="746">
        <f t="shared" si="162"/>
        <v>43106.720000000001</v>
      </c>
      <c r="AF317" s="735">
        <f t="shared" si="163"/>
        <v>0</v>
      </c>
      <c r="AG317" s="763">
        <f t="shared" si="163"/>
        <v>0</v>
      </c>
      <c r="AH317" s="711">
        <v>2</v>
      </c>
      <c r="AI317" s="735">
        <f>((116.2*AH317)*12)+AE317</f>
        <v>45895.520000000004</v>
      </c>
    </row>
    <row r="318" spans="1:35" x14ac:dyDescent="0.2">
      <c r="A318" s="704"/>
      <c r="B318" s="711"/>
      <c r="C318" s="735"/>
      <c r="D318" s="735"/>
      <c r="E318" s="735"/>
      <c r="F318" s="735"/>
      <c r="G318" s="735"/>
      <c r="H318" s="735"/>
      <c r="I318" s="735"/>
      <c r="J318" s="735"/>
      <c r="K318" s="735"/>
      <c r="L318" s="735"/>
      <c r="M318" s="735"/>
      <c r="N318" s="735"/>
      <c r="O318" s="735"/>
      <c r="P318" s="746"/>
      <c r="Q318" s="711"/>
      <c r="R318" s="735"/>
      <c r="S318" s="735"/>
      <c r="T318" s="735"/>
      <c r="U318" s="735"/>
      <c r="V318" s="735"/>
      <c r="W318" s="735"/>
      <c r="X318" s="735"/>
      <c r="Y318" s="735"/>
      <c r="Z318" s="735"/>
      <c r="AA318" s="735"/>
      <c r="AB318" s="735"/>
      <c r="AC318" s="735"/>
      <c r="AD318" s="735"/>
      <c r="AE318" s="746"/>
      <c r="AF318" s="735"/>
      <c r="AG318" s="711"/>
      <c r="AH318" s="711"/>
      <c r="AI318" s="735"/>
    </row>
    <row r="319" spans="1:35" x14ac:dyDescent="0.2">
      <c r="A319" s="861" t="s">
        <v>389</v>
      </c>
      <c r="B319" s="711"/>
      <c r="C319" s="735"/>
      <c r="D319" s="735"/>
      <c r="E319" s="735"/>
      <c r="F319" s="735"/>
      <c r="G319" s="735"/>
      <c r="H319" s="735"/>
      <c r="I319" s="735"/>
      <c r="J319" s="735"/>
      <c r="K319" s="735"/>
      <c r="L319" s="735"/>
      <c r="M319" s="735"/>
      <c r="N319" s="735"/>
      <c r="O319" s="735"/>
      <c r="P319" s="746"/>
      <c r="Q319" s="711"/>
      <c r="R319" s="735"/>
      <c r="S319" s="735"/>
      <c r="T319" s="735"/>
      <c r="U319" s="735"/>
      <c r="V319" s="735"/>
      <c r="W319" s="735"/>
      <c r="X319" s="735"/>
      <c r="Y319" s="735"/>
      <c r="Z319" s="735"/>
      <c r="AA319" s="735"/>
      <c r="AB319" s="735"/>
      <c r="AC319" s="735"/>
      <c r="AD319" s="735"/>
      <c r="AE319" s="746"/>
      <c r="AF319" s="735"/>
      <c r="AG319" s="711"/>
      <c r="AH319" s="711"/>
      <c r="AI319" s="735"/>
    </row>
    <row r="320" spans="1:35" x14ac:dyDescent="0.2">
      <c r="A320" s="862" t="s">
        <v>390</v>
      </c>
      <c r="B320" s="711">
        <v>4</v>
      </c>
      <c r="C320" s="735">
        <v>574.92999999999995</v>
      </c>
      <c r="D320" s="735">
        <v>1070</v>
      </c>
      <c r="E320" s="735"/>
      <c r="F320" s="735"/>
      <c r="G320" s="735"/>
      <c r="H320" s="735"/>
      <c r="I320" s="735"/>
      <c r="J320" s="735"/>
      <c r="K320" s="735">
        <f t="shared" ref="K320:K321" si="164">+C320+D320+E320+F320+G320+H320+I320+J320</f>
        <v>1644.9299999999998</v>
      </c>
      <c r="L320" s="735">
        <v>1000</v>
      </c>
      <c r="M320" s="735"/>
      <c r="N320" s="735"/>
      <c r="O320" s="735">
        <f>C320+D320+L320</f>
        <v>2644.93</v>
      </c>
      <c r="P320" s="746">
        <f>((C320+D320)*12+L320)*B320</f>
        <v>82956.639999999985</v>
      </c>
      <c r="Q320" s="711">
        <v>4</v>
      </c>
      <c r="R320" s="735">
        <v>574.92999999999995</v>
      </c>
      <c r="S320" s="735">
        <v>1070</v>
      </c>
      <c r="T320" s="735"/>
      <c r="U320" s="735"/>
      <c r="V320" s="735"/>
      <c r="W320" s="735"/>
      <c r="X320" s="735"/>
      <c r="Y320" s="735"/>
      <c r="Z320" s="735">
        <f t="shared" ref="Z320:Z321" si="165">+R320+S320+T320+U320+V320+W320+X320+Y320</f>
        <v>1644.9299999999998</v>
      </c>
      <c r="AA320" s="735">
        <v>1000</v>
      </c>
      <c r="AB320" s="735"/>
      <c r="AC320" s="735"/>
      <c r="AD320" s="735">
        <f>R320+S320+AA320</f>
        <v>2644.93</v>
      </c>
      <c r="AE320" s="746">
        <f>((R320+S320)*12+AA320)*Q320</f>
        <v>82956.639999999985</v>
      </c>
      <c r="AF320" s="735">
        <f t="shared" ref="AF320:AG321" si="166">O320-AD320</f>
        <v>0</v>
      </c>
      <c r="AG320" s="763">
        <f>P320-AE320</f>
        <v>0</v>
      </c>
      <c r="AH320" s="711">
        <v>4</v>
      </c>
      <c r="AI320" s="735">
        <f>((100*AH320)*12)+AE320</f>
        <v>87756.639999999985</v>
      </c>
    </row>
    <row r="321" spans="1:35" x14ac:dyDescent="0.2">
      <c r="A321" s="862" t="s">
        <v>391</v>
      </c>
      <c r="B321" s="711">
        <v>7</v>
      </c>
      <c r="C321" s="735">
        <v>567.16999999999996</v>
      </c>
      <c r="D321" s="735">
        <v>1070</v>
      </c>
      <c r="E321" s="735"/>
      <c r="F321" s="735"/>
      <c r="G321" s="735"/>
      <c r="H321" s="735"/>
      <c r="I321" s="735"/>
      <c r="J321" s="735"/>
      <c r="K321" s="735">
        <f t="shared" si="164"/>
        <v>1637.17</v>
      </c>
      <c r="L321" s="735">
        <v>1000</v>
      </c>
      <c r="M321" s="735"/>
      <c r="N321" s="735"/>
      <c r="O321" s="735">
        <f t="shared" ref="O321" si="167">C321+D321+L321</f>
        <v>2637.17</v>
      </c>
      <c r="P321" s="746">
        <f t="shared" ref="P321" si="168">((C321+D321)*12+L321)*B321</f>
        <v>144522.28</v>
      </c>
      <c r="Q321" s="711">
        <v>7</v>
      </c>
      <c r="R321" s="735">
        <v>567.16999999999996</v>
      </c>
      <c r="S321" s="735">
        <v>1070</v>
      </c>
      <c r="T321" s="735"/>
      <c r="U321" s="735"/>
      <c r="V321" s="735"/>
      <c r="W321" s="735"/>
      <c r="X321" s="735"/>
      <c r="Y321" s="735"/>
      <c r="Z321" s="735">
        <f t="shared" si="165"/>
        <v>1637.17</v>
      </c>
      <c r="AA321" s="735">
        <v>1000</v>
      </c>
      <c r="AB321" s="735"/>
      <c r="AC321" s="735"/>
      <c r="AD321" s="735">
        <f t="shared" ref="AD321" si="169">R321+S321+AA321</f>
        <v>2637.17</v>
      </c>
      <c r="AE321" s="746">
        <f t="shared" ref="AE321" si="170">((R321+S321)*12+AA321)*Q321</f>
        <v>144522.28</v>
      </c>
      <c r="AF321" s="735">
        <f t="shared" si="166"/>
        <v>0</v>
      </c>
      <c r="AG321" s="763">
        <f t="shared" si="166"/>
        <v>0</v>
      </c>
      <c r="AH321" s="711">
        <v>7</v>
      </c>
      <c r="AI321" s="735">
        <f>((100*AH321)*12)+AE321</f>
        <v>152922.28</v>
      </c>
    </row>
    <row r="322" spans="1:35" x14ac:dyDescent="0.2">
      <c r="A322" s="704"/>
      <c r="B322" s="711"/>
      <c r="C322" s="735"/>
      <c r="D322" s="735"/>
      <c r="E322" s="735"/>
      <c r="F322" s="735"/>
      <c r="G322" s="735"/>
      <c r="H322" s="735" t="s">
        <v>735</v>
      </c>
      <c r="I322" s="735"/>
      <c r="J322" s="735"/>
      <c r="K322" s="735"/>
      <c r="L322" s="735"/>
      <c r="M322" s="735"/>
      <c r="N322" s="735"/>
      <c r="O322" s="735"/>
      <c r="P322" s="746"/>
      <c r="Q322" s="711"/>
      <c r="R322" s="735"/>
      <c r="S322" s="735"/>
      <c r="T322" s="735"/>
      <c r="U322" s="735"/>
      <c r="V322" s="735"/>
      <c r="W322" s="735" t="s">
        <v>735</v>
      </c>
      <c r="X322" s="735"/>
      <c r="Y322" s="735"/>
      <c r="Z322" s="735"/>
      <c r="AA322" s="735"/>
      <c r="AB322" s="735"/>
      <c r="AC322" s="735"/>
      <c r="AD322" s="735"/>
      <c r="AE322" s="746"/>
      <c r="AF322" s="735"/>
      <c r="AG322" s="711"/>
      <c r="AH322" s="711"/>
      <c r="AI322" s="735"/>
    </row>
    <row r="323" spans="1:35" x14ac:dyDescent="0.2">
      <c r="A323" s="861" t="s">
        <v>393</v>
      </c>
      <c r="B323" s="711"/>
      <c r="C323" s="735"/>
      <c r="D323" s="735"/>
      <c r="E323" s="735"/>
      <c r="F323" s="735"/>
      <c r="G323" s="735"/>
      <c r="H323" s="735"/>
      <c r="I323" s="735"/>
      <c r="J323" s="735"/>
      <c r="K323" s="735"/>
      <c r="L323" s="735"/>
      <c r="M323" s="735"/>
      <c r="N323" s="735"/>
      <c r="O323" s="735"/>
      <c r="P323" s="746"/>
      <c r="Q323" s="711"/>
      <c r="R323" s="735"/>
      <c r="S323" s="735"/>
      <c r="T323" s="735"/>
      <c r="U323" s="735"/>
      <c r="V323" s="735"/>
      <c r="W323" s="735"/>
      <c r="X323" s="735"/>
      <c r="Y323" s="735"/>
      <c r="Z323" s="735"/>
      <c r="AA323" s="735"/>
      <c r="AB323" s="735"/>
      <c r="AC323" s="735"/>
      <c r="AD323" s="735"/>
      <c r="AE323" s="746"/>
      <c r="AF323" s="735"/>
      <c r="AG323" s="711"/>
      <c r="AH323" s="711"/>
      <c r="AI323" s="735"/>
    </row>
    <row r="324" spans="1:35" x14ac:dyDescent="0.2">
      <c r="A324" s="862"/>
      <c r="B324" s="711"/>
      <c r="C324" s="735"/>
      <c r="D324" s="735"/>
      <c r="E324" s="735"/>
      <c r="F324" s="735"/>
      <c r="G324" s="735"/>
      <c r="H324" s="735"/>
      <c r="I324" s="735"/>
      <c r="J324" s="735"/>
      <c r="K324" s="735"/>
      <c r="L324" s="735"/>
      <c r="M324" s="735"/>
      <c r="N324" s="735"/>
      <c r="O324" s="735"/>
      <c r="P324" s="746"/>
      <c r="Q324" s="711"/>
      <c r="R324" s="735"/>
      <c r="S324" s="735"/>
      <c r="T324" s="735"/>
      <c r="U324" s="735"/>
      <c r="V324" s="735"/>
      <c r="W324" s="735"/>
      <c r="X324" s="735"/>
      <c r="Y324" s="735"/>
      <c r="Z324" s="735"/>
      <c r="AA324" s="735"/>
      <c r="AB324" s="735"/>
      <c r="AC324" s="735"/>
      <c r="AD324" s="735"/>
      <c r="AE324" s="746"/>
      <c r="AF324" s="735"/>
      <c r="AG324" s="763"/>
      <c r="AH324" s="711"/>
      <c r="AI324" s="735"/>
    </row>
    <row r="325" spans="1:35" x14ac:dyDescent="0.2">
      <c r="A325" s="862"/>
      <c r="B325" s="711"/>
      <c r="C325" s="735"/>
      <c r="D325" s="735"/>
      <c r="E325" s="735"/>
      <c r="F325" s="735"/>
      <c r="G325" s="735"/>
      <c r="H325" s="735"/>
      <c r="I325" s="735"/>
      <c r="J325" s="735"/>
      <c r="K325" s="735"/>
      <c r="L325" s="735"/>
      <c r="M325" s="735"/>
      <c r="N325" s="735"/>
      <c r="O325" s="735"/>
      <c r="P325" s="746"/>
      <c r="Q325" s="711"/>
      <c r="R325" s="735"/>
      <c r="S325" s="735"/>
      <c r="T325" s="735"/>
      <c r="U325" s="735"/>
      <c r="V325" s="735"/>
      <c r="W325" s="735"/>
      <c r="X325" s="735"/>
      <c r="Y325" s="735"/>
      <c r="Z325" s="735"/>
      <c r="AA325" s="735"/>
      <c r="AB325" s="735"/>
      <c r="AC325" s="735"/>
      <c r="AD325" s="735"/>
      <c r="AE325" s="746"/>
      <c r="AF325" s="735"/>
      <c r="AG325" s="711"/>
      <c r="AH325" s="711"/>
      <c r="AI325" s="735"/>
    </row>
    <row r="326" spans="1:35" x14ac:dyDescent="0.2">
      <c r="A326" s="704" t="s">
        <v>689</v>
      </c>
      <c r="B326" s="711"/>
      <c r="C326" s="735"/>
      <c r="D326" s="735"/>
      <c r="E326" s="735"/>
      <c r="F326" s="735"/>
      <c r="G326" s="735"/>
      <c r="H326" s="735"/>
      <c r="I326" s="735"/>
      <c r="J326" s="735"/>
      <c r="K326" s="735"/>
      <c r="L326" s="735"/>
      <c r="M326" s="735"/>
      <c r="N326" s="735"/>
      <c r="O326" s="735"/>
      <c r="P326" s="746"/>
      <c r="Q326" s="711"/>
      <c r="R326" s="735"/>
      <c r="S326" s="735"/>
      <c r="T326" s="735"/>
      <c r="U326" s="735"/>
      <c r="V326" s="735"/>
      <c r="W326" s="735"/>
      <c r="X326" s="735"/>
      <c r="Y326" s="735"/>
      <c r="Z326" s="735"/>
      <c r="AA326" s="735"/>
      <c r="AB326" s="735"/>
      <c r="AC326" s="735"/>
      <c r="AD326" s="735"/>
      <c r="AE326" s="746"/>
      <c r="AF326" s="735"/>
      <c r="AG326" s="711"/>
      <c r="AH326" s="711"/>
      <c r="AI326" s="735"/>
    </row>
    <row r="327" spans="1:35" x14ac:dyDescent="0.2">
      <c r="A327" s="704" t="s">
        <v>690</v>
      </c>
      <c r="B327" s="711"/>
      <c r="C327" s="735"/>
      <c r="D327" s="735"/>
      <c r="E327" s="735"/>
      <c r="F327" s="735"/>
      <c r="G327" s="735"/>
      <c r="H327" s="735"/>
      <c r="I327" s="735"/>
      <c r="J327" s="735"/>
      <c r="K327" s="735"/>
      <c r="L327" s="735"/>
      <c r="M327" s="735"/>
      <c r="N327" s="735"/>
      <c r="O327" s="735"/>
      <c r="P327" s="746"/>
      <c r="Q327" s="711"/>
      <c r="R327" s="735"/>
      <c r="S327" s="735"/>
      <c r="T327" s="735"/>
      <c r="U327" s="735"/>
      <c r="V327" s="735"/>
      <c r="W327" s="735"/>
      <c r="X327" s="735"/>
      <c r="Y327" s="735"/>
      <c r="Z327" s="735"/>
      <c r="AA327" s="735"/>
      <c r="AB327" s="735"/>
      <c r="AC327" s="735"/>
      <c r="AD327" s="735"/>
      <c r="AE327" s="746"/>
      <c r="AF327" s="735"/>
      <c r="AG327" s="711"/>
      <c r="AH327" s="711"/>
      <c r="AI327" s="735"/>
    </row>
    <row r="328" spans="1:35" x14ac:dyDescent="0.2">
      <c r="A328" s="704"/>
      <c r="B328" s="711"/>
      <c r="C328" s="735"/>
      <c r="D328" s="735"/>
      <c r="E328" s="735"/>
      <c r="F328" s="735"/>
      <c r="G328" s="735"/>
      <c r="H328" s="735"/>
      <c r="I328" s="735"/>
      <c r="J328" s="735"/>
      <c r="K328" s="735"/>
      <c r="L328" s="735"/>
      <c r="M328" s="735"/>
      <c r="N328" s="735"/>
      <c r="O328" s="735"/>
      <c r="P328" s="746"/>
      <c r="Q328" s="711"/>
      <c r="R328" s="735"/>
      <c r="S328" s="735"/>
      <c r="T328" s="735"/>
      <c r="U328" s="735"/>
      <c r="V328" s="735"/>
      <c r="W328" s="735"/>
      <c r="X328" s="735"/>
      <c r="Y328" s="735"/>
      <c r="Z328" s="735"/>
      <c r="AA328" s="735"/>
      <c r="AB328" s="735"/>
      <c r="AC328" s="735"/>
      <c r="AD328" s="735"/>
      <c r="AE328" s="746"/>
      <c r="AF328" s="735"/>
      <c r="AG328" s="711"/>
      <c r="AH328" s="711"/>
      <c r="AI328" s="735"/>
    </row>
    <row r="329" spans="1:35" x14ac:dyDescent="0.2">
      <c r="A329" s="704" t="s">
        <v>691</v>
      </c>
      <c r="B329" s="711"/>
      <c r="C329" s="735"/>
      <c r="D329" s="735"/>
      <c r="E329" s="735"/>
      <c r="F329" s="735"/>
      <c r="G329" s="735"/>
      <c r="H329" s="735"/>
      <c r="I329" s="735"/>
      <c r="J329" s="735"/>
      <c r="K329" s="735"/>
      <c r="L329" s="735"/>
      <c r="M329" s="735"/>
      <c r="N329" s="735"/>
      <c r="O329" s="735"/>
      <c r="P329" s="746"/>
      <c r="Q329" s="711"/>
      <c r="R329" s="735"/>
      <c r="S329" s="735"/>
      <c r="T329" s="735"/>
      <c r="U329" s="735"/>
      <c r="V329" s="735"/>
      <c r="W329" s="735"/>
      <c r="X329" s="735"/>
      <c r="Y329" s="735"/>
      <c r="Z329" s="735"/>
      <c r="AA329" s="735"/>
      <c r="AB329" s="735"/>
      <c r="AC329" s="735"/>
      <c r="AD329" s="735"/>
      <c r="AE329" s="746"/>
      <c r="AF329" s="735"/>
      <c r="AG329" s="711"/>
      <c r="AH329" s="711"/>
      <c r="AI329" s="735"/>
    </row>
    <row r="330" spans="1:35" x14ac:dyDescent="0.2">
      <c r="A330" s="704" t="s">
        <v>690</v>
      </c>
      <c r="B330" s="711"/>
      <c r="C330" s="735"/>
      <c r="D330" s="735"/>
      <c r="E330" s="735"/>
      <c r="F330" s="735"/>
      <c r="G330" s="735"/>
      <c r="H330" s="735"/>
      <c r="I330" s="735"/>
      <c r="J330" s="735"/>
      <c r="K330" s="735"/>
      <c r="L330" s="735"/>
      <c r="M330" s="735"/>
      <c r="N330" s="735"/>
      <c r="O330" s="735"/>
      <c r="P330" s="746"/>
      <c r="Q330" s="711"/>
      <c r="R330" s="735"/>
      <c r="S330" s="735"/>
      <c r="T330" s="735"/>
      <c r="U330" s="735"/>
      <c r="V330" s="735"/>
      <c r="W330" s="735"/>
      <c r="X330" s="735"/>
      <c r="Y330" s="735"/>
      <c r="Z330" s="735"/>
      <c r="AA330" s="735"/>
      <c r="AB330" s="735"/>
      <c r="AC330" s="735"/>
      <c r="AD330" s="735"/>
      <c r="AE330" s="746"/>
      <c r="AF330" s="735"/>
      <c r="AG330" s="711"/>
      <c r="AH330" s="711"/>
      <c r="AI330" s="735"/>
    </row>
    <row r="331" spans="1:35" x14ac:dyDescent="0.2">
      <c r="A331" s="704"/>
      <c r="B331" s="711"/>
      <c r="C331" s="735"/>
      <c r="D331" s="735"/>
      <c r="E331" s="735"/>
      <c r="F331" s="735"/>
      <c r="G331" s="735"/>
      <c r="H331" s="735"/>
      <c r="I331" s="735"/>
      <c r="J331" s="735"/>
      <c r="K331" s="735"/>
      <c r="L331" s="735"/>
      <c r="M331" s="735"/>
      <c r="N331" s="735"/>
      <c r="O331" s="735"/>
      <c r="P331" s="746"/>
      <c r="Q331" s="711"/>
      <c r="R331" s="735"/>
      <c r="S331" s="735"/>
      <c r="T331" s="735"/>
      <c r="U331" s="735"/>
      <c r="V331" s="735"/>
      <c r="W331" s="735"/>
      <c r="X331" s="735"/>
      <c r="Y331" s="735"/>
      <c r="Z331" s="735"/>
      <c r="AA331" s="735"/>
      <c r="AB331" s="735"/>
      <c r="AC331" s="735"/>
      <c r="AD331" s="735"/>
      <c r="AE331" s="746"/>
      <c r="AF331" s="735"/>
      <c r="AG331" s="711"/>
      <c r="AH331" s="711"/>
      <c r="AI331" s="735"/>
    </row>
    <row r="332" spans="1:35" x14ac:dyDescent="0.2">
      <c r="A332" s="704"/>
      <c r="B332" s="711"/>
      <c r="C332" s="735"/>
      <c r="D332" s="735"/>
      <c r="E332" s="735"/>
      <c r="F332" s="735"/>
      <c r="G332" s="735"/>
      <c r="H332" s="735"/>
      <c r="I332" s="735"/>
      <c r="J332" s="735"/>
      <c r="K332" s="735"/>
      <c r="L332" s="735"/>
      <c r="M332" s="735"/>
      <c r="N332" s="735"/>
      <c r="O332" s="735"/>
      <c r="P332" s="746"/>
      <c r="Q332" s="711"/>
      <c r="R332" s="735"/>
      <c r="S332" s="735"/>
      <c r="T332" s="735"/>
      <c r="U332" s="735"/>
      <c r="V332" s="735"/>
      <c r="W332" s="735"/>
      <c r="X332" s="735"/>
      <c r="Y332" s="735"/>
      <c r="Z332" s="735"/>
      <c r="AA332" s="735"/>
      <c r="AB332" s="735"/>
      <c r="AC332" s="735"/>
      <c r="AD332" s="735"/>
      <c r="AE332" s="746"/>
      <c r="AF332" s="735"/>
      <c r="AG332" s="711"/>
      <c r="AH332" s="711"/>
      <c r="AI332" s="735"/>
    </row>
    <row r="333" spans="1:35" x14ac:dyDescent="0.2">
      <c r="A333" s="706" t="s">
        <v>169</v>
      </c>
      <c r="B333" s="743">
        <f>SUM(B307:B332)</f>
        <v>29</v>
      </c>
      <c r="C333" s="742">
        <f>SUM(C307:C332)</f>
        <v>5405.3000000000011</v>
      </c>
      <c r="D333" s="742">
        <f>SUM(D307:D332)</f>
        <v>10574.48</v>
      </c>
      <c r="E333" s="742"/>
      <c r="F333" s="742"/>
      <c r="G333" s="742"/>
      <c r="H333" s="742"/>
      <c r="I333" s="742"/>
      <c r="J333" s="742"/>
      <c r="K333" s="742">
        <f>SUM(K310:K332)</f>
        <v>15979.779999999999</v>
      </c>
      <c r="L333" s="742">
        <f>SUM(L310:L332)</f>
        <v>8000</v>
      </c>
      <c r="M333" s="742"/>
      <c r="N333" s="742"/>
      <c r="O333" s="747">
        <f>SUM(O310:O332)</f>
        <v>23979.78</v>
      </c>
      <c r="P333" s="747">
        <f>SUM(P310:P332)</f>
        <v>696995.4800000001</v>
      </c>
      <c r="Q333" s="743">
        <f>SUM(Q307:Q332)</f>
        <v>29</v>
      </c>
      <c r="R333" s="742">
        <f>SUM(R307:R332)</f>
        <v>5405.3000000000011</v>
      </c>
      <c r="S333" s="742">
        <f>SUM(S307:S332)</f>
        <v>10574.48</v>
      </c>
      <c r="T333" s="742"/>
      <c r="U333" s="742"/>
      <c r="V333" s="742"/>
      <c r="W333" s="742"/>
      <c r="X333" s="742"/>
      <c r="Y333" s="742"/>
      <c r="Z333" s="742">
        <f>SUM(Z310:Z332)</f>
        <v>15979.779999999999</v>
      </c>
      <c r="AA333" s="742">
        <f>SUM(AA310:AA332)</f>
        <v>8000</v>
      </c>
      <c r="AB333" s="742"/>
      <c r="AC333" s="742"/>
      <c r="AD333" s="747">
        <f>SUM(AD307:AD332)</f>
        <v>23979.78</v>
      </c>
      <c r="AE333" s="747">
        <f>SUM(AE310:AE332)</f>
        <v>696995.4800000001</v>
      </c>
      <c r="AF333" s="742"/>
      <c r="AG333" s="768">
        <f>SUM(AG312:AG332)</f>
        <v>0</v>
      </c>
      <c r="AH333" s="743">
        <f>SUM(AH307:AH332)</f>
        <v>29</v>
      </c>
      <c r="AI333" s="742">
        <f>SUM(AI310:AI332)</f>
        <v>723794.6</v>
      </c>
    </row>
    <row r="334" spans="1:35" x14ac:dyDescent="0.2">
      <c r="B334" s="17"/>
      <c r="C334" s="17"/>
      <c r="D334" s="17"/>
      <c r="E334" s="17"/>
      <c r="F334" s="17"/>
      <c r="G334" s="17"/>
      <c r="H334" s="17"/>
      <c r="I334" s="17"/>
      <c r="J334" s="17"/>
      <c r="K334" s="17"/>
      <c r="L334" s="17"/>
      <c r="M334" s="17"/>
      <c r="N334" s="17"/>
      <c r="O334" s="17"/>
      <c r="P334" s="17"/>
      <c r="R334" s="17"/>
      <c r="S334" s="17"/>
      <c r="T334" s="17"/>
      <c r="U334" s="17"/>
      <c r="V334" s="17"/>
      <c r="W334" s="17"/>
      <c r="X334" s="17"/>
      <c r="Y334" s="17"/>
      <c r="Z334" s="17"/>
      <c r="AA334" s="17"/>
      <c r="AB334" s="17"/>
      <c r="AC334" s="17"/>
      <c r="AD334" s="17"/>
      <c r="AE334" s="17"/>
      <c r="AF334" s="17"/>
      <c r="AG334" s="17"/>
      <c r="AH334" s="17"/>
      <c r="AI334" s="17"/>
    </row>
    <row r="335" spans="1:35" x14ac:dyDescent="0.2">
      <c r="B335" s="17"/>
      <c r="C335" s="17"/>
      <c r="D335" s="17"/>
      <c r="E335" s="17"/>
      <c r="F335" s="17"/>
      <c r="G335" s="17"/>
      <c r="H335" s="17"/>
      <c r="I335" s="17"/>
      <c r="J335" s="17"/>
      <c r="K335" s="17"/>
      <c r="L335" s="17"/>
      <c r="M335" s="17"/>
      <c r="N335" s="17"/>
      <c r="O335" s="17"/>
      <c r="P335" s="17"/>
      <c r="R335" s="17"/>
      <c r="S335" s="17"/>
      <c r="T335" s="17"/>
      <c r="U335" s="17"/>
      <c r="V335" s="17"/>
      <c r="W335" s="17"/>
      <c r="X335" s="17"/>
      <c r="Y335" s="17"/>
      <c r="Z335" s="17"/>
      <c r="AA335" s="17"/>
      <c r="AB335" s="17"/>
      <c r="AC335" s="17"/>
      <c r="AD335" s="17"/>
      <c r="AE335" s="17"/>
      <c r="AF335" s="17"/>
      <c r="AG335" s="17"/>
      <c r="AH335" s="17"/>
      <c r="AI335" s="17"/>
    </row>
    <row r="336" spans="1:35" ht="24" x14ac:dyDescent="0.2">
      <c r="A336" s="706" t="s">
        <v>435</v>
      </c>
      <c r="B336" s="743"/>
      <c r="C336" s="742"/>
      <c r="D336" s="742"/>
      <c r="E336" s="742"/>
      <c r="F336" s="742"/>
      <c r="G336" s="742"/>
      <c r="H336" s="742"/>
      <c r="I336" s="742"/>
      <c r="J336" s="742"/>
      <c r="K336" s="742"/>
      <c r="L336" s="742"/>
      <c r="M336" s="742"/>
      <c r="N336" s="742"/>
      <c r="O336" s="747"/>
      <c r="P336" s="747"/>
      <c r="Q336" s="743"/>
      <c r="R336" s="742"/>
      <c r="S336" s="742"/>
      <c r="T336" s="742"/>
      <c r="U336" s="742"/>
      <c r="V336" s="742"/>
      <c r="W336" s="742"/>
      <c r="X336" s="742"/>
      <c r="Y336" s="742"/>
      <c r="Z336" s="742"/>
      <c r="AA336" s="742"/>
      <c r="AB336" s="742"/>
      <c r="AC336" s="742"/>
      <c r="AD336" s="747"/>
      <c r="AE336" s="747"/>
      <c r="AF336" s="742"/>
      <c r="AG336" s="768"/>
      <c r="AH336" s="743"/>
      <c r="AI336" s="742"/>
    </row>
    <row r="337" spans="1:35" x14ac:dyDescent="0.2">
      <c r="A337" s="1485" t="s">
        <v>644</v>
      </c>
      <c r="B337" s="1487" t="s">
        <v>645</v>
      </c>
      <c r="C337" s="1487"/>
      <c r="D337" s="1487"/>
      <c r="E337" s="1487"/>
      <c r="F337" s="1487"/>
      <c r="G337" s="1487"/>
      <c r="H337" s="1487"/>
      <c r="I337" s="1487"/>
      <c r="J337" s="1487"/>
      <c r="K337" s="1487"/>
      <c r="L337" s="1487"/>
      <c r="M337" s="1487"/>
      <c r="N337" s="1487"/>
      <c r="O337" s="1487"/>
      <c r="P337" s="1487"/>
      <c r="Q337" s="1487" t="s">
        <v>646</v>
      </c>
      <c r="R337" s="1487"/>
      <c r="S337" s="1487"/>
      <c r="T337" s="1487"/>
      <c r="U337" s="1487"/>
      <c r="V337" s="1487"/>
      <c r="W337" s="1487"/>
      <c r="X337" s="1487"/>
      <c r="Y337" s="1487"/>
      <c r="Z337" s="1487"/>
      <c r="AA337" s="1487"/>
      <c r="AB337" s="1487"/>
      <c r="AC337" s="1487"/>
      <c r="AD337" s="1487"/>
      <c r="AE337" s="1487"/>
      <c r="AF337" s="1487" t="s">
        <v>647</v>
      </c>
      <c r="AG337" s="1487"/>
      <c r="AH337" s="1487" t="s">
        <v>648</v>
      </c>
      <c r="AI337" s="1487"/>
    </row>
    <row r="338" spans="1:35" ht="120" customHeight="1" x14ac:dyDescent="0.2">
      <c r="A338" s="1485"/>
      <c r="B338" s="691" t="s">
        <v>649</v>
      </c>
      <c r="C338" s="692" t="s">
        <v>650</v>
      </c>
      <c r="D338" s="692" t="s">
        <v>684</v>
      </c>
      <c r="E338" s="692" t="s">
        <v>652</v>
      </c>
      <c r="F338" s="692" t="s">
        <v>653</v>
      </c>
      <c r="G338" s="692" t="s">
        <v>654</v>
      </c>
      <c r="H338" s="692" t="s">
        <v>655</v>
      </c>
      <c r="I338" s="692" t="s">
        <v>656</v>
      </c>
      <c r="J338" s="692" t="s">
        <v>657</v>
      </c>
      <c r="K338" s="692" t="s">
        <v>658</v>
      </c>
      <c r="L338" s="692" t="s">
        <v>659</v>
      </c>
      <c r="M338" s="692" t="s">
        <v>660</v>
      </c>
      <c r="N338" s="692" t="s">
        <v>661</v>
      </c>
      <c r="O338" s="692" t="s">
        <v>662</v>
      </c>
      <c r="P338" s="692" t="s">
        <v>685</v>
      </c>
      <c r="Q338" s="691" t="s">
        <v>649</v>
      </c>
      <c r="R338" s="692" t="s">
        <v>650</v>
      </c>
      <c r="S338" s="692" t="s">
        <v>651</v>
      </c>
      <c r="T338" s="692" t="s">
        <v>652</v>
      </c>
      <c r="U338" s="692" t="s">
        <v>653</v>
      </c>
      <c r="V338" s="692" t="s">
        <v>654</v>
      </c>
      <c r="W338" s="692" t="s">
        <v>655</v>
      </c>
      <c r="X338" s="692" t="s">
        <v>656</v>
      </c>
      <c r="Y338" s="692" t="s">
        <v>657</v>
      </c>
      <c r="Z338" s="692" t="s">
        <v>658</v>
      </c>
      <c r="AA338" s="692" t="s">
        <v>659</v>
      </c>
      <c r="AB338" s="692" t="s">
        <v>660</v>
      </c>
      <c r="AC338" s="692" t="s">
        <v>661</v>
      </c>
      <c r="AD338" s="692" t="s">
        <v>662</v>
      </c>
      <c r="AE338" s="692" t="s">
        <v>686</v>
      </c>
      <c r="AF338" s="692" t="s">
        <v>664</v>
      </c>
      <c r="AG338" s="691" t="s">
        <v>665</v>
      </c>
      <c r="AH338" s="691" t="s">
        <v>649</v>
      </c>
      <c r="AI338" s="692" t="s">
        <v>687</v>
      </c>
    </row>
    <row r="339" spans="1:35" x14ac:dyDescent="0.2">
      <c r="A339" s="1486"/>
      <c r="B339" s="555" t="s">
        <v>667</v>
      </c>
      <c r="C339" s="733" t="s">
        <v>668</v>
      </c>
      <c r="D339" s="733" t="s">
        <v>669</v>
      </c>
      <c r="E339" s="733" t="s">
        <v>670</v>
      </c>
      <c r="F339" s="734" t="s">
        <v>671</v>
      </c>
      <c r="G339" s="734" t="s">
        <v>672</v>
      </c>
      <c r="H339" s="734" t="s">
        <v>673</v>
      </c>
      <c r="I339" s="734" t="s">
        <v>674</v>
      </c>
      <c r="J339" s="734" t="s">
        <v>675</v>
      </c>
      <c r="K339" s="734" t="s">
        <v>676</v>
      </c>
      <c r="L339" s="734" t="s">
        <v>677</v>
      </c>
      <c r="M339" s="734" t="s">
        <v>678</v>
      </c>
      <c r="N339" s="734" t="s">
        <v>679</v>
      </c>
      <c r="O339" s="734" t="s">
        <v>680</v>
      </c>
      <c r="P339" s="734" t="s">
        <v>681</v>
      </c>
      <c r="Q339" s="555" t="s">
        <v>667</v>
      </c>
      <c r="R339" s="733" t="s">
        <v>668</v>
      </c>
      <c r="S339" s="733" t="s">
        <v>669</v>
      </c>
      <c r="T339" s="733" t="s">
        <v>670</v>
      </c>
      <c r="U339" s="734" t="s">
        <v>671</v>
      </c>
      <c r="V339" s="734" t="s">
        <v>672</v>
      </c>
      <c r="W339" s="734" t="s">
        <v>673</v>
      </c>
      <c r="X339" s="734" t="s">
        <v>674</v>
      </c>
      <c r="Y339" s="734" t="s">
        <v>675</v>
      </c>
      <c r="Z339" s="734" t="s">
        <v>676</v>
      </c>
      <c r="AA339" s="734" t="s">
        <v>677</v>
      </c>
      <c r="AB339" s="734" t="s">
        <v>678</v>
      </c>
      <c r="AC339" s="734" t="s">
        <v>679</v>
      </c>
      <c r="AD339" s="734" t="s">
        <v>680</v>
      </c>
      <c r="AE339" s="734" t="s">
        <v>681</v>
      </c>
      <c r="AF339" s="733"/>
      <c r="AG339" s="555"/>
      <c r="AH339" s="555"/>
      <c r="AI339" s="733"/>
    </row>
    <row r="340" spans="1:35" x14ac:dyDescent="0.2">
      <c r="A340" s="863"/>
      <c r="B340" s="718"/>
      <c r="C340" s="769"/>
      <c r="D340" s="769"/>
      <c r="E340" s="769"/>
      <c r="F340" s="769"/>
      <c r="G340" s="769"/>
      <c r="H340" s="769"/>
      <c r="I340" s="769"/>
      <c r="J340" s="769"/>
      <c r="K340" s="769"/>
      <c r="L340" s="769"/>
      <c r="M340" s="769"/>
      <c r="N340" s="769"/>
      <c r="O340" s="769"/>
      <c r="P340" s="769"/>
      <c r="Q340" s="714"/>
      <c r="R340" s="769"/>
      <c r="S340" s="769"/>
      <c r="T340" s="769"/>
      <c r="U340" s="769"/>
      <c r="V340" s="769"/>
      <c r="W340" s="769"/>
      <c r="X340" s="769"/>
      <c r="Y340" s="769"/>
      <c r="Z340" s="769"/>
      <c r="AA340" s="769"/>
      <c r="AB340" s="769"/>
      <c r="AC340" s="769"/>
      <c r="AD340" s="769"/>
      <c r="AE340" s="769"/>
      <c r="AF340" s="769"/>
      <c r="AG340" s="718"/>
      <c r="AH340" s="718"/>
      <c r="AI340" s="769"/>
    </row>
    <row r="341" spans="1:35" x14ac:dyDescent="0.2">
      <c r="A341" s="863" t="s">
        <v>688</v>
      </c>
      <c r="B341" s="718"/>
      <c r="C341" s="769"/>
      <c r="D341" s="769"/>
      <c r="E341" s="769"/>
      <c r="F341" s="769"/>
      <c r="G341" s="769"/>
      <c r="H341" s="769"/>
      <c r="I341" s="769"/>
      <c r="J341" s="769"/>
      <c r="K341" s="769"/>
      <c r="L341" s="769"/>
      <c r="M341" s="769"/>
      <c r="N341" s="769"/>
      <c r="O341" s="769"/>
      <c r="P341" s="769"/>
      <c r="Q341" s="714"/>
      <c r="R341" s="769"/>
      <c r="S341" s="769"/>
      <c r="T341" s="769"/>
      <c r="U341" s="769"/>
      <c r="V341" s="769"/>
      <c r="W341" s="769"/>
      <c r="X341" s="769"/>
      <c r="Y341" s="769"/>
      <c r="Z341" s="769"/>
      <c r="AA341" s="769"/>
      <c r="AB341" s="769"/>
      <c r="AC341" s="769"/>
      <c r="AD341" s="769"/>
      <c r="AE341" s="769"/>
      <c r="AF341" s="769"/>
      <c r="AG341" s="718"/>
      <c r="AH341" s="718"/>
      <c r="AI341" s="769"/>
    </row>
    <row r="342" spans="1:35" x14ac:dyDescent="0.2">
      <c r="A342" s="863" t="s">
        <v>404</v>
      </c>
      <c r="B342" s="718">
        <v>1</v>
      </c>
      <c r="C342" s="769">
        <v>995.83</v>
      </c>
      <c r="D342" s="769">
        <v>1360</v>
      </c>
      <c r="E342" s="769"/>
      <c r="F342" s="769"/>
      <c r="G342" s="769"/>
      <c r="H342" s="769"/>
      <c r="I342" s="769"/>
      <c r="J342" s="769">
        <v>1196.3</v>
      </c>
      <c r="K342" s="769">
        <f>SUM(C342:J342)</f>
        <v>3552.13</v>
      </c>
      <c r="L342" s="769">
        <v>10000</v>
      </c>
      <c r="M342" s="769"/>
      <c r="N342" s="769">
        <f>SUM(L342:M342)</f>
        <v>10000</v>
      </c>
      <c r="O342" s="769">
        <f>K342*12</f>
        <v>42625.56</v>
      </c>
      <c r="P342" s="769">
        <f>B342*O342</f>
        <v>42625.56</v>
      </c>
      <c r="Q342" s="714">
        <v>1</v>
      </c>
      <c r="R342" s="769">
        <v>1112.9100000000001</v>
      </c>
      <c r="S342" s="769">
        <v>3010</v>
      </c>
      <c r="T342" s="769"/>
      <c r="U342" s="769"/>
      <c r="V342" s="769"/>
      <c r="W342" s="769"/>
      <c r="X342" s="769"/>
      <c r="Y342" s="769"/>
      <c r="Z342" s="769">
        <f>SUM(R342:S342)</f>
        <v>4122.91</v>
      </c>
      <c r="AA342" s="769">
        <v>1000</v>
      </c>
      <c r="AB342" s="769"/>
      <c r="AC342" s="769">
        <f>SUM(AA342:AB342)</f>
        <v>1000</v>
      </c>
      <c r="AD342" s="769">
        <f>Z342*12</f>
        <v>49474.92</v>
      </c>
      <c r="AE342" s="769">
        <f>Q342*AD342</f>
        <v>49474.92</v>
      </c>
      <c r="AF342" s="769"/>
      <c r="AG342" s="718"/>
      <c r="AH342" s="718"/>
      <c r="AI342" s="769"/>
    </row>
    <row r="343" spans="1:35" x14ac:dyDescent="0.2">
      <c r="A343" s="863" t="s">
        <v>436</v>
      </c>
      <c r="B343" s="718">
        <v>11</v>
      </c>
      <c r="C343" s="770">
        <v>7489.3600000000006</v>
      </c>
      <c r="D343" s="770">
        <v>10240</v>
      </c>
      <c r="E343" s="771"/>
      <c r="F343" s="771"/>
      <c r="G343" s="771"/>
      <c r="H343" s="771"/>
      <c r="I343" s="771"/>
      <c r="J343" s="771">
        <v>13159.3</v>
      </c>
      <c r="K343" s="769">
        <f>SUM(C343:J343)</f>
        <v>30888.66</v>
      </c>
      <c r="L343" s="771">
        <v>11000</v>
      </c>
      <c r="M343" s="769"/>
      <c r="N343" s="769">
        <f t="shared" ref="N343:N350" si="171">SUM(L343:M343)</f>
        <v>11000</v>
      </c>
      <c r="O343" s="769">
        <f t="shared" ref="O343:O351" si="172">K343*12</f>
        <v>370663.92</v>
      </c>
      <c r="P343" s="769">
        <f t="shared" ref="P343:P351" si="173">B343*O343</f>
        <v>4077303.1199999996</v>
      </c>
      <c r="Q343" s="714">
        <v>5</v>
      </c>
      <c r="R343" s="769">
        <v>4876.3999999999996</v>
      </c>
      <c r="S343" s="769">
        <v>9250</v>
      </c>
      <c r="T343" s="769"/>
      <c r="U343" s="769"/>
      <c r="V343" s="769"/>
      <c r="W343" s="769"/>
      <c r="X343" s="769"/>
      <c r="Y343" s="769"/>
      <c r="Z343" s="769">
        <f t="shared" ref="Z343:Z350" si="174">SUM(R343:S343)</f>
        <v>14126.4</v>
      </c>
      <c r="AA343" s="769">
        <v>5000</v>
      </c>
      <c r="AB343" s="769"/>
      <c r="AC343" s="769">
        <f t="shared" ref="AC343:AC350" si="175">SUM(AA343:AB343)</f>
        <v>5000</v>
      </c>
      <c r="AD343" s="769">
        <f t="shared" ref="AD343:AD350" si="176">Z343*12</f>
        <v>169516.79999999999</v>
      </c>
      <c r="AE343" s="769">
        <f t="shared" ref="AE343:AE350" si="177">Q343*AD343</f>
        <v>847584</v>
      </c>
      <c r="AF343" s="769"/>
      <c r="AG343" s="718"/>
      <c r="AH343" s="718"/>
      <c r="AI343" s="769"/>
    </row>
    <row r="344" spans="1:35" x14ac:dyDescent="0.2">
      <c r="A344" s="715" t="s">
        <v>386</v>
      </c>
      <c r="B344" s="717">
        <v>4</v>
      </c>
      <c r="C344" s="770">
        <v>3011.38</v>
      </c>
      <c r="D344" s="770">
        <v>4440</v>
      </c>
      <c r="E344" s="771"/>
      <c r="F344" s="771"/>
      <c r="G344" s="771"/>
      <c r="H344" s="771"/>
      <c r="I344" s="771"/>
      <c r="J344" s="770">
        <v>4785.2</v>
      </c>
      <c r="K344" s="769">
        <f>SUM(C344:J344)</f>
        <v>12236.58</v>
      </c>
      <c r="L344" s="771">
        <v>4000</v>
      </c>
      <c r="M344" s="769"/>
      <c r="N344" s="769">
        <v>4000</v>
      </c>
      <c r="O344" s="769">
        <f t="shared" si="172"/>
        <v>146838.96</v>
      </c>
      <c r="P344" s="769">
        <f t="shared" si="173"/>
        <v>587355.84</v>
      </c>
      <c r="Q344" s="714"/>
      <c r="R344" s="769"/>
      <c r="S344" s="769"/>
      <c r="T344" s="769"/>
      <c r="U344" s="769"/>
      <c r="V344" s="769"/>
      <c r="W344" s="769"/>
      <c r="X344" s="769"/>
      <c r="Y344" s="769"/>
      <c r="Z344" s="769"/>
      <c r="AA344" s="769"/>
      <c r="AB344" s="769"/>
      <c r="AC344" s="769"/>
      <c r="AD344" s="769"/>
      <c r="AE344" s="769"/>
      <c r="AF344" s="769"/>
      <c r="AG344" s="718"/>
      <c r="AH344" s="718"/>
      <c r="AI344" s="769"/>
    </row>
    <row r="345" spans="1:35" x14ac:dyDescent="0.2">
      <c r="A345" s="715" t="s">
        <v>387</v>
      </c>
      <c r="B345" s="717">
        <v>4</v>
      </c>
      <c r="C345" s="770">
        <v>2849.7599999999998</v>
      </c>
      <c r="D345" s="770">
        <v>4440</v>
      </c>
      <c r="E345" s="771"/>
      <c r="F345" s="771"/>
      <c r="G345" s="771"/>
      <c r="H345" s="771"/>
      <c r="I345" s="771"/>
      <c r="J345" s="770">
        <v>4785.2</v>
      </c>
      <c r="K345" s="769">
        <f t="shared" ref="K345:K351" si="178">SUM(C345:J345)</f>
        <v>12074.96</v>
      </c>
      <c r="L345" s="771">
        <v>4000</v>
      </c>
      <c r="M345" s="769"/>
      <c r="N345" s="769">
        <v>4000</v>
      </c>
      <c r="O345" s="769">
        <f t="shared" si="172"/>
        <v>144899.51999999999</v>
      </c>
      <c r="P345" s="769">
        <f t="shared" si="173"/>
        <v>579598.07999999996</v>
      </c>
      <c r="Q345" s="714"/>
      <c r="R345" s="769"/>
      <c r="S345" s="769"/>
      <c r="T345" s="769"/>
      <c r="U345" s="769"/>
      <c r="V345" s="769"/>
      <c r="W345" s="769"/>
      <c r="X345" s="769"/>
      <c r="Y345" s="769"/>
      <c r="Z345" s="769"/>
      <c r="AA345" s="769"/>
      <c r="AB345" s="769"/>
      <c r="AC345" s="769"/>
      <c r="AD345" s="769"/>
      <c r="AE345" s="769"/>
      <c r="AF345" s="769"/>
      <c r="AG345" s="718"/>
      <c r="AH345" s="718"/>
      <c r="AI345" s="769"/>
    </row>
    <row r="346" spans="1:35" x14ac:dyDescent="0.2">
      <c r="A346" s="715" t="s">
        <v>388</v>
      </c>
      <c r="B346" s="717">
        <v>2</v>
      </c>
      <c r="C346" s="770">
        <v>1385.09</v>
      </c>
      <c r="D346" s="770">
        <v>2220</v>
      </c>
      <c r="E346" s="771"/>
      <c r="F346" s="771"/>
      <c r="G346" s="771"/>
      <c r="H346" s="771"/>
      <c r="I346" s="771"/>
      <c r="J346" s="770">
        <v>2392.6</v>
      </c>
      <c r="K346" s="769">
        <f t="shared" si="178"/>
        <v>5997.6900000000005</v>
      </c>
      <c r="L346" s="771">
        <v>2000</v>
      </c>
      <c r="M346" s="769"/>
      <c r="N346" s="769">
        <v>2000</v>
      </c>
      <c r="O346" s="769">
        <f t="shared" si="172"/>
        <v>71972.28</v>
      </c>
      <c r="P346" s="769">
        <f t="shared" si="173"/>
        <v>143944.56</v>
      </c>
      <c r="Q346" s="714"/>
      <c r="R346" s="769"/>
      <c r="S346" s="769"/>
      <c r="T346" s="769"/>
      <c r="U346" s="769"/>
      <c r="V346" s="769"/>
      <c r="W346" s="769"/>
      <c r="X346" s="769"/>
      <c r="Y346" s="769"/>
      <c r="Z346" s="769"/>
      <c r="AA346" s="769"/>
      <c r="AB346" s="769"/>
      <c r="AC346" s="769"/>
      <c r="AD346" s="769"/>
      <c r="AE346" s="769"/>
      <c r="AF346" s="769"/>
      <c r="AG346" s="718"/>
      <c r="AH346" s="718"/>
      <c r="AI346" s="769"/>
    </row>
    <row r="347" spans="1:35" x14ac:dyDescent="0.2">
      <c r="A347" s="715" t="s">
        <v>437</v>
      </c>
      <c r="B347" s="717">
        <v>3</v>
      </c>
      <c r="C347" s="770">
        <v>2227.42</v>
      </c>
      <c r="D347" s="770">
        <v>3330</v>
      </c>
      <c r="E347" s="771"/>
      <c r="F347" s="771"/>
      <c r="G347" s="771"/>
      <c r="H347" s="771"/>
      <c r="I347" s="771"/>
      <c r="J347" s="770">
        <v>3588.8999999999996</v>
      </c>
      <c r="K347" s="769">
        <f t="shared" si="178"/>
        <v>9146.32</v>
      </c>
      <c r="L347" s="771"/>
      <c r="M347" s="769"/>
      <c r="N347" s="769">
        <v>3000</v>
      </c>
      <c r="O347" s="769">
        <f t="shared" si="172"/>
        <v>109755.84</v>
      </c>
      <c r="P347" s="769">
        <f t="shared" si="173"/>
        <v>329267.52</v>
      </c>
      <c r="Q347" s="714"/>
      <c r="R347" s="769"/>
      <c r="S347" s="769"/>
      <c r="T347" s="769"/>
      <c r="U347" s="769"/>
      <c r="V347" s="769"/>
      <c r="W347" s="769"/>
      <c r="X347" s="769"/>
      <c r="Y347" s="769"/>
      <c r="Z347" s="769"/>
      <c r="AA347" s="769"/>
      <c r="AB347" s="769"/>
      <c r="AC347" s="769"/>
      <c r="AD347" s="769"/>
      <c r="AE347" s="769"/>
      <c r="AF347" s="769"/>
      <c r="AG347" s="718"/>
      <c r="AH347" s="718"/>
      <c r="AI347" s="769"/>
    </row>
    <row r="348" spans="1:35" x14ac:dyDescent="0.2">
      <c r="A348" s="715" t="s">
        <v>390</v>
      </c>
      <c r="B348" s="718">
        <v>29</v>
      </c>
      <c r="C348" s="770">
        <v>17571.009999999998</v>
      </c>
      <c r="D348" s="770">
        <v>31030</v>
      </c>
      <c r="E348" s="769"/>
      <c r="F348" s="769"/>
      <c r="G348" s="769"/>
      <c r="H348" s="769"/>
      <c r="I348" s="769"/>
      <c r="J348" s="770">
        <v>34692.69999999999</v>
      </c>
      <c r="K348" s="769">
        <f t="shared" si="178"/>
        <v>83293.709999999992</v>
      </c>
      <c r="L348" s="769">
        <v>29000</v>
      </c>
      <c r="M348" s="769"/>
      <c r="N348" s="769">
        <f t="shared" si="171"/>
        <v>29000</v>
      </c>
      <c r="O348" s="769">
        <f t="shared" si="172"/>
        <v>999524.5199999999</v>
      </c>
      <c r="P348" s="769">
        <f t="shared" si="173"/>
        <v>28986211.079999998</v>
      </c>
      <c r="Q348" s="714">
        <v>7</v>
      </c>
      <c r="R348" s="769">
        <v>4024.51</v>
      </c>
      <c r="S348" s="769">
        <v>7597.52</v>
      </c>
      <c r="T348" s="769"/>
      <c r="U348" s="769"/>
      <c r="V348" s="769"/>
      <c r="W348" s="769"/>
      <c r="X348" s="769"/>
      <c r="Y348" s="769"/>
      <c r="Z348" s="769">
        <f t="shared" si="174"/>
        <v>11622.03</v>
      </c>
      <c r="AA348" s="769">
        <v>7000</v>
      </c>
      <c r="AB348" s="769"/>
      <c r="AC348" s="769">
        <f t="shared" si="175"/>
        <v>7000</v>
      </c>
      <c r="AD348" s="769">
        <f t="shared" si="176"/>
        <v>139464.36000000002</v>
      </c>
      <c r="AE348" s="769">
        <f t="shared" si="177"/>
        <v>976250.52000000014</v>
      </c>
      <c r="AF348" s="769"/>
      <c r="AG348" s="718"/>
      <c r="AH348" s="718"/>
      <c r="AI348" s="769"/>
    </row>
    <row r="349" spans="1:35" x14ac:dyDescent="0.2">
      <c r="A349" s="863" t="s">
        <v>391</v>
      </c>
      <c r="B349" s="718">
        <v>4</v>
      </c>
      <c r="C349" s="770">
        <v>2331.4499999999998</v>
      </c>
      <c r="D349" s="770">
        <v>4280</v>
      </c>
      <c r="E349" s="769"/>
      <c r="F349" s="769"/>
      <c r="G349" s="769"/>
      <c r="H349" s="769"/>
      <c r="I349" s="769"/>
      <c r="J349" s="770">
        <v>4785.2</v>
      </c>
      <c r="K349" s="769">
        <f t="shared" si="178"/>
        <v>11396.65</v>
      </c>
      <c r="L349" s="769">
        <v>5000</v>
      </c>
      <c r="M349" s="769"/>
      <c r="N349" s="769">
        <f t="shared" si="171"/>
        <v>5000</v>
      </c>
      <c r="O349" s="769">
        <f t="shared" si="172"/>
        <v>136759.79999999999</v>
      </c>
      <c r="P349" s="769">
        <f t="shared" si="173"/>
        <v>547039.19999999995</v>
      </c>
      <c r="Q349" s="714">
        <v>5</v>
      </c>
      <c r="R349" s="769">
        <v>2870.44</v>
      </c>
      <c r="S349" s="769">
        <v>5421.68</v>
      </c>
      <c r="T349" s="769"/>
      <c r="U349" s="769"/>
      <c r="V349" s="769"/>
      <c r="W349" s="769"/>
      <c r="X349" s="769"/>
      <c r="Y349" s="769"/>
      <c r="Z349" s="769">
        <f t="shared" si="174"/>
        <v>8292.1200000000008</v>
      </c>
      <c r="AA349" s="769">
        <v>5000</v>
      </c>
      <c r="AB349" s="769"/>
      <c r="AC349" s="769">
        <f t="shared" si="175"/>
        <v>5000</v>
      </c>
      <c r="AD349" s="769">
        <f t="shared" si="176"/>
        <v>99505.44</v>
      </c>
      <c r="AE349" s="769">
        <f t="shared" si="177"/>
        <v>497527.2</v>
      </c>
      <c r="AF349" s="769"/>
      <c r="AG349" s="718"/>
      <c r="AH349" s="718"/>
      <c r="AI349" s="769"/>
    </row>
    <row r="350" spans="1:35" x14ac:dyDescent="0.2">
      <c r="A350" s="863" t="s">
        <v>392</v>
      </c>
      <c r="B350" s="718">
        <v>7</v>
      </c>
      <c r="C350" s="770">
        <v>4106.74</v>
      </c>
      <c r="D350" s="770">
        <v>7490</v>
      </c>
      <c r="E350" s="769"/>
      <c r="F350" s="769"/>
      <c r="G350" s="769"/>
      <c r="H350" s="769"/>
      <c r="I350" s="769"/>
      <c r="J350" s="770">
        <v>8374.1</v>
      </c>
      <c r="K350" s="769">
        <f t="shared" si="178"/>
        <v>19970.84</v>
      </c>
      <c r="L350" s="769">
        <v>7000</v>
      </c>
      <c r="M350" s="769"/>
      <c r="N350" s="769">
        <f t="shared" si="171"/>
        <v>7000</v>
      </c>
      <c r="O350" s="769">
        <f t="shared" si="172"/>
        <v>239650.08000000002</v>
      </c>
      <c r="P350" s="769">
        <f t="shared" si="173"/>
        <v>1677550.56</v>
      </c>
      <c r="Q350" s="714">
        <v>6</v>
      </c>
      <c r="R350" s="769">
        <v>4041.9</v>
      </c>
      <c r="S350" s="769">
        <v>7163.48</v>
      </c>
      <c r="T350" s="769"/>
      <c r="U350" s="769"/>
      <c r="V350" s="769"/>
      <c r="W350" s="769"/>
      <c r="X350" s="769"/>
      <c r="Y350" s="769"/>
      <c r="Z350" s="769">
        <f t="shared" si="174"/>
        <v>11205.38</v>
      </c>
      <c r="AA350" s="769">
        <v>6000</v>
      </c>
      <c r="AB350" s="769"/>
      <c r="AC350" s="769">
        <f t="shared" si="175"/>
        <v>6000</v>
      </c>
      <c r="AD350" s="769">
        <f t="shared" si="176"/>
        <v>134464.56</v>
      </c>
      <c r="AE350" s="769">
        <f t="shared" si="177"/>
        <v>806787.36</v>
      </c>
      <c r="AF350" s="769"/>
      <c r="AG350" s="718"/>
      <c r="AH350" s="718"/>
      <c r="AI350" s="769"/>
    </row>
    <row r="351" spans="1:35" x14ac:dyDescent="0.2">
      <c r="A351" s="863" t="s">
        <v>394</v>
      </c>
      <c r="B351" s="718">
        <v>1</v>
      </c>
      <c r="C351" s="770">
        <v>569.83999999999992</v>
      </c>
      <c r="D351" s="770">
        <v>1070</v>
      </c>
      <c r="E351" s="769"/>
      <c r="F351" s="769"/>
      <c r="G351" s="769"/>
      <c r="H351" s="769"/>
      <c r="I351" s="769"/>
      <c r="J351" s="770">
        <v>1196.3</v>
      </c>
      <c r="K351" s="769">
        <f t="shared" si="178"/>
        <v>2836.14</v>
      </c>
      <c r="L351" s="769">
        <v>1000</v>
      </c>
      <c r="M351" s="769"/>
      <c r="N351" s="769">
        <v>1000</v>
      </c>
      <c r="O351" s="769">
        <f t="shared" si="172"/>
        <v>34033.68</v>
      </c>
      <c r="P351" s="769">
        <f t="shared" si="173"/>
        <v>34033.68</v>
      </c>
      <c r="Q351" s="714"/>
      <c r="R351" s="769"/>
      <c r="S351" s="769"/>
      <c r="T351" s="769"/>
      <c r="U351" s="769"/>
      <c r="V351" s="769"/>
      <c r="W351" s="769"/>
      <c r="X351" s="769"/>
      <c r="Y351" s="769"/>
      <c r="Z351" s="769"/>
      <c r="AA351" s="769"/>
      <c r="AB351" s="769"/>
      <c r="AC351" s="769"/>
      <c r="AD351" s="769"/>
      <c r="AE351" s="769"/>
      <c r="AF351" s="769"/>
      <c r="AG351" s="718"/>
      <c r="AH351" s="718"/>
      <c r="AI351" s="769"/>
    </row>
    <row r="352" spans="1:35" x14ac:dyDescent="0.2">
      <c r="A352" s="863" t="s">
        <v>690</v>
      </c>
      <c r="B352" s="718"/>
      <c r="C352" s="769"/>
      <c r="D352" s="769"/>
      <c r="E352" s="769"/>
      <c r="F352" s="769"/>
      <c r="G352" s="769"/>
      <c r="H352" s="769"/>
      <c r="I352" s="769"/>
      <c r="J352" s="769"/>
      <c r="K352" s="769"/>
      <c r="L352" s="769"/>
      <c r="M352" s="769"/>
      <c r="N352" s="769"/>
      <c r="O352" s="769"/>
      <c r="P352" s="769"/>
      <c r="Q352" s="714"/>
      <c r="R352" s="769"/>
      <c r="S352" s="769"/>
      <c r="T352" s="769"/>
      <c r="U352" s="769"/>
      <c r="V352" s="769"/>
      <c r="W352" s="769"/>
      <c r="X352" s="769"/>
      <c r="Y352" s="769"/>
      <c r="Z352" s="769"/>
      <c r="AA352" s="769"/>
      <c r="AB352" s="769"/>
      <c r="AC352" s="769"/>
      <c r="AD352" s="769"/>
      <c r="AE352" s="769"/>
      <c r="AF352" s="769"/>
      <c r="AG352" s="718"/>
      <c r="AH352" s="718"/>
      <c r="AI352" s="769"/>
    </row>
    <row r="353" spans="1:35" x14ac:dyDescent="0.2">
      <c r="A353" s="863"/>
      <c r="B353" s="718"/>
      <c r="C353" s="769"/>
      <c r="D353" s="769"/>
      <c r="E353" s="769"/>
      <c r="F353" s="769"/>
      <c r="G353" s="769"/>
      <c r="H353" s="769"/>
      <c r="I353" s="769"/>
      <c r="J353" s="769"/>
      <c r="K353" s="769"/>
      <c r="L353" s="769"/>
      <c r="M353" s="769"/>
      <c r="N353" s="769"/>
      <c r="O353" s="769"/>
      <c r="P353" s="769"/>
      <c r="Q353" s="714"/>
      <c r="R353" s="769"/>
      <c r="S353" s="769"/>
      <c r="T353" s="769"/>
      <c r="U353" s="769"/>
      <c r="V353" s="769"/>
      <c r="W353" s="769"/>
      <c r="X353" s="769"/>
      <c r="Y353" s="769"/>
      <c r="Z353" s="769"/>
      <c r="AA353" s="769"/>
      <c r="AB353" s="769"/>
      <c r="AC353" s="769"/>
      <c r="AD353" s="769"/>
      <c r="AE353" s="769"/>
      <c r="AF353" s="769"/>
      <c r="AG353" s="718"/>
      <c r="AH353" s="718"/>
      <c r="AI353" s="769"/>
    </row>
    <row r="354" spans="1:35" x14ac:dyDescent="0.2">
      <c r="A354" s="704"/>
      <c r="B354" s="711"/>
      <c r="C354" s="735"/>
      <c r="D354" s="735"/>
      <c r="E354" s="735"/>
      <c r="F354" s="735"/>
      <c r="G354" s="735"/>
      <c r="H354" s="735"/>
      <c r="I354" s="735"/>
      <c r="J354" s="735"/>
      <c r="K354" s="735"/>
      <c r="L354" s="735"/>
      <c r="M354" s="735"/>
      <c r="N354" s="735"/>
      <c r="O354" s="735"/>
      <c r="P354" s="735"/>
      <c r="Q354" s="421"/>
      <c r="R354" s="735"/>
      <c r="S354" s="735"/>
      <c r="T354" s="735"/>
      <c r="U354" s="735"/>
      <c r="V354" s="735"/>
      <c r="W354" s="735"/>
      <c r="X354" s="735"/>
      <c r="Y354" s="735"/>
      <c r="Z354" s="735"/>
      <c r="AA354" s="735"/>
      <c r="AB354" s="735"/>
      <c r="AC354" s="735"/>
      <c r="AD354" s="735"/>
      <c r="AE354" s="735"/>
      <c r="AF354" s="735"/>
      <c r="AG354" s="711"/>
      <c r="AH354" s="711"/>
      <c r="AI354" s="735"/>
    </row>
    <row r="355" spans="1:35" x14ac:dyDescent="0.2">
      <c r="A355" s="706" t="s">
        <v>169</v>
      </c>
      <c r="B355" s="743">
        <f>SUM(B341:B354)</f>
        <v>66</v>
      </c>
      <c r="C355" s="742">
        <f>SUM(C342:C354)</f>
        <v>42537.87999999999</v>
      </c>
      <c r="D355" s="742">
        <f>SUM(D342:D354)</f>
        <v>69900</v>
      </c>
      <c r="E355" s="742"/>
      <c r="F355" s="742"/>
      <c r="G355" s="742"/>
      <c r="H355" s="742"/>
      <c r="I355" s="742"/>
      <c r="J355" s="742"/>
      <c r="K355" s="742">
        <f>SUM(K342:K354)</f>
        <v>191393.68</v>
      </c>
      <c r="L355" s="742">
        <f>SUM(L342:L354)</f>
        <v>73000</v>
      </c>
      <c r="M355" s="742"/>
      <c r="N355" s="742">
        <f t="shared" ref="N355:S355" si="179">SUM(N342:N354)</f>
        <v>76000</v>
      </c>
      <c r="O355" s="742">
        <f t="shared" si="179"/>
        <v>2296724.16</v>
      </c>
      <c r="P355" s="742">
        <f t="shared" si="179"/>
        <v>37004929.200000003</v>
      </c>
      <c r="Q355" s="712">
        <f t="shared" si="179"/>
        <v>24</v>
      </c>
      <c r="R355" s="742">
        <f t="shared" si="179"/>
        <v>16926.16</v>
      </c>
      <c r="S355" s="742">
        <f t="shared" si="179"/>
        <v>32442.68</v>
      </c>
      <c r="T355" s="742"/>
      <c r="U355" s="742"/>
      <c r="V355" s="742"/>
      <c r="W355" s="742"/>
      <c r="X355" s="742"/>
      <c r="Y355" s="742"/>
      <c r="Z355" s="742">
        <f>SUM(Z342:Z354)</f>
        <v>49368.84</v>
      </c>
      <c r="AA355" s="742">
        <f>SUM(AA342:AA354)</f>
        <v>24000</v>
      </c>
      <c r="AB355" s="742"/>
      <c r="AC355" s="742">
        <f>SUM(AC342:AC354)</f>
        <v>24000</v>
      </c>
      <c r="AD355" s="742">
        <f>SUM(AD342:AD354)</f>
        <v>592426.07999999996</v>
      </c>
      <c r="AE355" s="742">
        <f>SUM(AE342:AE354)</f>
        <v>3177624</v>
      </c>
      <c r="AF355" s="742"/>
      <c r="AG355" s="743"/>
      <c r="AH355" s="743"/>
      <c r="AI355" s="742"/>
    </row>
    <row r="356" spans="1:35" x14ac:dyDescent="0.2">
      <c r="B356" s="17"/>
      <c r="C356" s="17"/>
      <c r="D356" s="17"/>
      <c r="E356" s="17"/>
      <c r="F356" s="17"/>
      <c r="G356" s="17"/>
      <c r="H356" s="17"/>
      <c r="I356" s="17"/>
      <c r="J356" s="17"/>
      <c r="K356" s="17"/>
      <c r="L356" s="17"/>
      <c r="M356" s="17"/>
      <c r="N356" s="17"/>
      <c r="O356" s="17"/>
      <c r="P356" s="17"/>
      <c r="R356" s="17"/>
      <c r="S356" s="17"/>
      <c r="T356" s="17"/>
      <c r="U356" s="17"/>
      <c r="V356" s="17"/>
      <c r="W356" s="17"/>
      <c r="X356" s="17"/>
      <c r="Y356" s="17"/>
      <c r="Z356" s="17"/>
      <c r="AA356" s="17"/>
      <c r="AB356" s="17"/>
      <c r="AC356" s="17"/>
      <c r="AD356" s="17"/>
      <c r="AE356" s="17"/>
      <c r="AF356" s="17"/>
      <c r="AG356" s="17"/>
      <c r="AH356" s="17"/>
      <c r="AI356" s="17"/>
    </row>
    <row r="357" spans="1:35" x14ac:dyDescent="0.2">
      <c r="B357" s="17"/>
      <c r="C357" s="17"/>
      <c r="D357" s="17"/>
      <c r="E357" s="17"/>
      <c r="F357" s="17"/>
      <c r="G357" s="17"/>
      <c r="H357" s="17"/>
      <c r="I357" s="17"/>
      <c r="J357" s="17"/>
      <c r="K357" s="17"/>
      <c r="L357" s="17"/>
      <c r="M357" s="17"/>
      <c r="N357" s="17"/>
      <c r="O357" s="17"/>
      <c r="P357" s="17"/>
      <c r="R357" s="17"/>
      <c r="S357" s="17"/>
      <c r="T357" s="17"/>
      <c r="U357" s="17"/>
      <c r="V357" s="17"/>
      <c r="W357" s="17"/>
      <c r="X357" s="17"/>
      <c r="Y357" s="17"/>
      <c r="Z357" s="17"/>
      <c r="AA357" s="17"/>
      <c r="AB357" s="17"/>
      <c r="AC357" s="17"/>
      <c r="AD357" s="17"/>
      <c r="AE357" s="17"/>
      <c r="AF357" s="17"/>
      <c r="AG357" s="17"/>
      <c r="AH357" s="17"/>
      <c r="AI357" s="17"/>
    </row>
    <row r="358" spans="1:35" ht="24" x14ac:dyDescent="0.2">
      <c r="A358" s="706" t="s">
        <v>624</v>
      </c>
      <c r="B358" s="743"/>
      <c r="C358" s="742"/>
      <c r="D358" s="742"/>
      <c r="E358" s="742"/>
      <c r="F358" s="742"/>
      <c r="G358" s="742"/>
      <c r="H358" s="742"/>
      <c r="I358" s="742"/>
      <c r="J358" s="742"/>
      <c r="K358" s="742"/>
      <c r="L358" s="742"/>
      <c r="M358" s="742"/>
      <c r="N358" s="742"/>
      <c r="O358" s="747"/>
      <c r="P358" s="747"/>
      <c r="Q358" s="743"/>
      <c r="R358" s="742"/>
      <c r="S358" s="742"/>
      <c r="T358" s="742"/>
      <c r="U358" s="742"/>
      <c r="V358" s="742"/>
      <c r="W358" s="742"/>
      <c r="X358" s="742"/>
      <c r="Y358" s="742"/>
      <c r="Z358" s="742"/>
      <c r="AA358" s="742"/>
      <c r="AB358" s="742"/>
      <c r="AC358" s="742"/>
      <c r="AD358" s="747"/>
      <c r="AE358" s="747"/>
      <c r="AF358" s="742"/>
      <c r="AG358" s="768"/>
      <c r="AH358" s="743"/>
      <c r="AI358" s="742"/>
    </row>
    <row r="359" spans="1:35" x14ac:dyDescent="0.2">
      <c r="A359" s="1485" t="s">
        <v>644</v>
      </c>
      <c r="B359" s="1487" t="s">
        <v>645</v>
      </c>
      <c r="C359" s="1487"/>
      <c r="D359" s="1487"/>
      <c r="E359" s="1487"/>
      <c r="F359" s="1487"/>
      <c r="G359" s="1487"/>
      <c r="H359" s="1487"/>
      <c r="I359" s="1487"/>
      <c r="J359" s="1487"/>
      <c r="K359" s="1487"/>
      <c r="L359" s="1487"/>
      <c r="M359" s="1487"/>
      <c r="N359" s="1487"/>
      <c r="O359" s="1487"/>
      <c r="P359" s="1487"/>
      <c r="Q359" s="1487" t="s">
        <v>646</v>
      </c>
      <c r="R359" s="1487"/>
      <c r="S359" s="1487"/>
      <c r="T359" s="1487"/>
      <c r="U359" s="1487"/>
      <c r="V359" s="1487"/>
      <c r="W359" s="1487"/>
      <c r="X359" s="1487"/>
      <c r="Y359" s="1487"/>
      <c r="Z359" s="1487"/>
      <c r="AA359" s="1487"/>
      <c r="AB359" s="1487"/>
      <c r="AC359" s="1487"/>
      <c r="AD359" s="1487"/>
      <c r="AE359" s="1487"/>
      <c r="AF359" s="1487" t="s">
        <v>647</v>
      </c>
      <c r="AG359" s="1487"/>
      <c r="AH359" s="1487" t="s">
        <v>648</v>
      </c>
      <c r="AI359" s="1487"/>
    </row>
    <row r="360" spans="1:35" ht="120" customHeight="1" x14ac:dyDescent="0.2">
      <c r="A360" s="1485"/>
      <c r="B360" s="691" t="s">
        <v>649</v>
      </c>
      <c r="C360" s="692" t="s">
        <v>650</v>
      </c>
      <c r="D360" s="692" t="s">
        <v>684</v>
      </c>
      <c r="E360" s="692" t="s">
        <v>652</v>
      </c>
      <c r="F360" s="692" t="s">
        <v>653</v>
      </c>
      <c r="G360" s="692" t="s">
        <v>654</v>
      </c>
      <c r="H360" s="692" t="s">
        <v>655</v>
      </c>
      <c r="I360" s="692" t="s">
        <v>656</v>
      </c>
      <c r="J360" s="692" t="s">
        <v>657</v>
      </c>
      <c r="K360" s="692" t="s">
        <v>658</v>
      </c>
      <c r="L360" s="692" t="s">
        <v>659</v>
      </c>
      <c r="M360" s="692" t="s">
        <v>660</v>
      </c>
      <c r="N360" s="692" t="s">
        <v>661</v>
      </c>
      <c r="O360" s="692" t="s">
        <v>662</v>
      </c>
      <c r="P360" s="692" t="s">
        <v>685</v>
      </c>
      <c r="Q360" s="691" t="s">
        <v>649</v>
      </c>
      <c r="R360" s="692" t="s">
        <v>650</v>
      </c>
      <c r="S360" s="692" t="s">
        <v>651</v>
      </c>
      <c r="T360" s="692" t="s">
        <v>652</v>
      </c>
      <c r="U360" s="692" t="s">
        <v>653</v>
      </c>
      <c r="V360" s="692" t="s">
        <v>654</v>
      </c>
      <c r="W360" s="692" t="s">
        <v>655</v>
      </c>
      <c r="X360" s="692" t="s">
        <v>656</v>
      </c>
      <c r="Y360" s="692" t="s">
        <v>657</v>
      </c>
      <c r="Z360" s="692" t="s">
        <v>658</v>
      </c>
      <c r="AA360" s="692" t="s">
        <v>659</v>
      </c>
      <c r="AB360" s="692" t="s">
        <v>660</v>
      </c>
      <c r="AC360" s="692" t="s">
        <v>661</v>
      </c>
      <c r="AD360" s="692" t="s">
        <v>662</v>
      </c>
      <c r="AE360" s="692" t="s">
        <v>686</v>
      </c>
      <c r="AF360" s="692" t="s">
        <v>664</v>
      </c>
      <c r="AG360" s="691" t="s">
        <v>665</v>
      </c>
      <c r="AH360" s="691" t="s">
        <v>649</v>
      </c>
      <c r="AI360" s="692" t="s">
        <v>687</v>
      </c>
    </row>
    <row r="361" spans="1:35" ht="12.75" customHeight="1" x14ac:dyDescent="0.2">
      <c r="A361" s="1486"/>
      <c r="B361" s="555" t="s">
        <v>667</v>
      </c>
      <c r="C361" s="733" t="s">
        <v>668</v>
      </c>
      <c r="D361" s="733" t="s">
        <v>669</v>
      </c>
      <c r="E361" s="733" t="s">
        <v>670</v>
      </c>
      <c r="F361" s="734" t="s">
        <v>671</v>
      </c>
      <c r="G361" s="734" t="s">
        <v>672</v>
      </c>
      <c r="H361" s="734" t="s">
        <v>673</v>
      </c>
      <c r="I361" s="734" t="s">
        <v>674</v>
      </c>
      <c r="J361" s="734" t="s">
        <v>675</v>
      </c>
      <c r="K361" s="734" t="s">
        <v>676</v>
      </c>
      <c r="L361" s="734" t="s">
        <v>677</v>
      </c>
      <c r="M361" s="734" t="s">
        <v>678</v>
      </c>
      <c r="N361" s="734" t="s">
        <v>679</v>
      </c>
      <c r="O361" s="734" t="s">
        <v>680</v>
      </c>
      <c r="P361" s="734" t="s">
        <v>681</v>
      </c>
      <c r="Q361" s="555" t="s">
        <v>667</v>
      </c>
      <c r="R361" s="733" t="s">
        <v>668</v>
      </c>
      <c r="S361" s="733" t="s">
        <v>669</v>
      </c>
      <c r="T361" s="733" t="s">
        <v>670</v>
      </c>
      <c r="U361" s="734" t="s">
        <v>671</v>
      </c>
      <c r="V361" s="734" t="s">
        <v>672</v>
      </c>
      <c r="W361" s="734" t="s">
        <v>673</v>
      </c>
      <c r="X361" s="734" t="s">
        <v>674</v>
      </c>
      <c r="Y361" s="734" t="s">
        <v>675</v>
      </c>
      <c r="Z361" s="734" t="s">
        <v>676</v>
      </c>
      <c r="AA361" s="734" t="s">
        <v>677</v>
      </c>
      <c r="AB361" s="734" t="s">
        <v>678</v>
      </c>
      <c r="AC361" s="734" t="s">
        <v>679</v>
      </c>
      <c r="AD361" s="734" t="s">
        <v>680</v>
      </c>
      <c r="AE361" s="734" t="s">
        <v>681</v>
      </c>
      <c r="AF361" s="733"/>
      <c r="AG361" s="555"/>
      <c r="AH361" s="555"/>
      <c r="AI361" s="733"/>
    </row>
    <row r="362" spans="1:35" ht="12.75" customHeight="1" x14ac:dyDescent="0.2">
      <c r="A362" s="863"/>
      <c r="B362" s="718"/>
      <c r="C362" s="769"/>
      <c r="D362" s="769"/>
      <c r="E362" s="769"/>
      <c r="F362" s="769"/>
      <c r="G362" s="769"/>
      <c r="H362" s="769"/>
      <c r="I362" s="769"/>
      <c r="J362" s="769"/>
      <c r="K362" s="769"/>
      <c r="L362" s="769"/>
      <c r="M362" s="769"/>
      <c r="N362" s="769"/>
      <c r="O362" s="769"/>
      <c r="P362" s="769"/>
      <c r="Q362" s="714"/>
      <c r="R362" s="769"/>
      <c r="S362" s="769"/>
      <c r="T362" s="769"/>
      <c r="U362" s="769"/>
      <c r="V362" s="769"/>
      <c r="W362" s="769"/>
      <c r="X362" s="769"/>
      <c r="Y362" s="769"/>
      <c r="Z362" s="769"/>
      <c r="AA362" s="769"/>
      <c r="AB362" s="769"/>
      <c r="AC362" s="769"/>
      <c r="AD362" s="769"/>
      <c r="AE362" s="769"/>
      <c r="AF362" s="769"/>
      <c r="AG362" s="718"/>
      <c r="AH362" s="718"/>
      <c r="AI362" s="769"/>
    </row>
    <row r="363" spans="1:35" ht="12.75" customHeight="1" x14ac:dyDescent="0.2">
      <c r="A363" s="864" t="s">
        <v>688</v>
      </c>
      <c r="B363" s="718"/>
      <c r="C363" s="769"/>
      <c r="D363" s="769"/>
      <c r="E363" s="769"/>
      <c r="F363" s="769"/>
      <c r="G363" s="769"/>
      <c r="H363" s="769"/>
      <c r="I363" s="769"/>
      <c r="J363" s="769"/>
      <c r="K363" s="769"/>
      <c r="L363" s="769"/>
      <c r="M363" s="769"/>
      <c r="N363" s="769"/>
      <c r="O363" s="769"/>
      <c r="P363" s="769"/>
      <c r="Q363" s="714"/>
      <c r="R363" s="769"/>
      <c r="S363" s="769"/>
      <c r="T363" s="769"/>
      <c r="U363" s="769"/>
      <c r="V363" s="769"/>
      <c r="W363" s="769"/>
      <c r="X363" s="769"/>
      <c r="Y363" s="769"/>
      <c r="Z363" s="769"/>
      <c r="AA363" s="769"/>
      <c r="AB363" s="769"/>
      <c r="AC363" s="769"/>
      <c r="AD363" s="769"/>
      <c r="AE363" s="769"/>
      <c r="AF363" s="769"/>
      <c r="AG363" s="718"/>
      <c r="AH363" s="718"/>
      <c r="AI363" s="769"/>
    </row>
    <row r="364" spans="1:35" ht="12.75" customHeight="1" x14ac:dyDescent="0.2">
      <c r="A364" s="864" t="s">
        <v>737</v>
      </c>
      <c r="B364" s="716">
        <f>SUM(B365:B372)</f>
        <v>11</v>
      </c>
      <c r="C364" s="772">
        <f>SUM(C365:C372)</f>
        <v>16272.869999999999</v>
      </c>
      <c r="D364" s="772">
        <f>SUM(D365:D372)</f>
        <v>6939</v>
      </c>
      <c r="E364" s="772"/>
      <c r="F364" s="772"/>
      <c r="G364" s="772"/>
      <c r="H364" s="772"/>
      <c r="I364" s="772"/>
      <c r="J364" s="772"/>
      <c r="K364" s="772">
        <f>SUM(K365:K371)</f>
        <v>23211.87</v>
      </c>
      <c r="L364" s="769">
        <f t="shared" ref="L364" si="180">SUM(L365:L371)</f>
        <v>4000</v>
      </c>
      <c r="M364" s="772"/>
      <c r="N364" s="772">
        <f>SUM(N365:N371)</f>
        <v>4000</v>
      </c>
      <c r="O364" s="772">
        <f>SUM(O365:O372)</f>
        <v>282542.44</v>
      </c>
      <c r="P364" s="772">
        <f>SUM(P365:P372)</f>
        <v>760809.56</v>
      </c>
      <c r="Q364" s="773">
        <f>SUM(Q365:Q372)</f>
        <v>11</v>
      </c>
      <c r="R364" s="772">
        <f>SUM(R365:R372)</f>
        <v>16272.869999999999</v>
      </c>
      <c r="S364" s="772">
        <f>SUM(S365:S372)</f>
        <v>6939</v>
      </c>
      <c r="T364" s="772"/>
      <c r="U364" s="772"/>
      <c r="V364" s="772"/>
      <c r="W364" s="772"/>
      <c r="X364" s="772"/>
      <c r="Y364" s="772"/>
      <c r="Z364" s="772">
        <f>SUM(Z365:Z372)</f>
        <v>23211.87</v>
      </c>
      <c r="AA364" s="769">
        <f t="shared" ref="AA364" si="181">SUM(AA365:AA371)</f>
        <v>4000</v>
      </c>
      <c r="AB364" s="772"/>
      <c r="AC364" s="772">
        <f>SUM(AC365:AC371)</f>
        <v>4000</v>
      </c>
      <c r="AD364" s="772">
        <f t="shared" ref="AD364:AH364" si="182">SUM(AD365:AD372)</f>
        <v>282542.44</v>
      </c>
      <c r="AE364" s="772">
        <f>SUM(AE365:AE372)</f>
        <v>760809.56</v>
      </c>
      <c r="AF364" s="772">
        <f t="shared" si="182"/>
        <v>0</v>
      </c>
      <c r="AG364" s="774">
        <f t="shared" si="182"/>
        <v>685319.56</v>
      </c>
      <c r="AH364" s="716">
        <f t="shared" si="182"/>
        <v>11</v>
      </c>
      <c r="AI364" s="772">
        <f>SUM(AI365:AI372)</f>
        <v>760809.56</v>
      </c>
    </row>
    <row r="365" spans="1:35" ht="12.75" customHeight="1" x14ac:dyDescent="0.2">
      <c r="A365" s="864" t="s">
        <v>738</v>
      </c>
      <c r="B365" s="718"/>
      <c r="C365" s="769">
        <v>0</v>
      </c>
      <c r="D365" s="769">
        <v>0</v>
      </c>
      <c r="E365" s="769"/>
      <c r="F365" s="769"/>
      <c r="G365" s="769"/>
      <c r="H365" s="769"/>
      <c r="I365" s="769"/>
      <c r="J365" s="769"/>
      <c r="K365" s="769">
        <f>SUM(C365:J365)</f>
        <v>0</v>
      </c>
      <c r="L365" s="769"/>
      <c r="M365" s="769"/>
      <c r="N365" s="769">
        <f>SUM(L365:M365)</f>
        <v>0</v>
      </c>
      <c r="O365" s="769">
        <f>SUM(K365*12+N365)</f>
        <v>0</v>
      </c>
      <c r="P365" s="769">
        <f>SUM(B365*O365)</f>
        <v>0</v>
      </c>
      <c r="Q365" s="775"/>
      <c r="R365" s="769">
        <v>0</v>
      </c>
      <c r="S365" s="769">
        <v>0</v>
      </c>
      <c r="T365" s="769"/>
      <c r="U365" s="769"/>
      <c r="V365" s="769"/>
      <c r="W365" s="769"/>
      <c r="X365" s="769"/>
      <c r="Y365" s="769"/>
      <c r="Z365" s="769">
        <f>SUM(R365:Y365)</f>
        <v>0</v>
      </c>
      <c r="AA365" s="769"/>
      <c r="AB365" s="769"/>
      <c r="AC365" s="769">
        <f>SUM(AA365:AB365)</f>
        <v>0</v>
      </c>
      <c r="AD365" s="769">
        <f>SUM(Z365*12+AC365)</f>
        <v>0</v>
      </c>
      <c r="AE365" s="769">
        <f>SUM(Q365*AD365)</f>
        <v>0</v>
      </c>
      <c r="AF365" s="769">
        <f>SUM(AB365*12+AE365)</f>
        <v>0</v>
      </c>
      <c r="AG365" s="776">
        <v>0</v>
      </c>
      <c r="AH365" s="718"/>
      <c r="AI365" s="769">
        <v>0</v>
      </c>
    </row>
    <row r="366" spans="1:35" ht="12.75" customHeight="1" x14ac:dyDescent="0.2">
      <c r="A366" s="864" t="s">
        <v>739</v>
      </c>
      <c r="B366" s="718"/>
      <c r="C366" s="769">
        <v>0</v>
      </c>
      <c r="D366" s="769">
        <v>0</v>
      </c>
      <c r="E366" s="769"/>
      <c r="F366" s="769"/>
      <c r="G366" s="769"/>
      <c r="H366" s="769"/>
      <c r="I366" s="769"/>
      <c r="J366" s="769"/>
      <c r="K366" s="769">
        <f>SUM(C366:J366)</f>
        <v>0</v>
      </c>
      <c r="L366" s="769"/>
      <c r="M366" s="769"/>
      <c r="N366" s="769">
        <f t="shared" ref="N366:N371" si="183">SUM(L366:M366)</f>
        <v>0</v>
      </c>
      <c r="O366" s="769">
        <f>SUM(K366*12+N366)</f>
        <v>0</v>
      </c>
      <c r="P366" s="769">
        <f t="shared" ref="P366:P371" si="184">SUM(B366*O366)</f>
        <v>0</v>
      </c>
      <c r="Q366" s="775"/>
      <c r="R366" s="769">
        <v>0</v>
      </c>
      <c r="S366" s="769">
        <v>0</v>
      </c>
      <c r="T366" s="769"/>
      <c r="U366" s="769"/>
      <c r="V366" s="769"/>
      <c r="W366" s="769"/>
      <c r="X366" s="769"/>
      <c r="Y366" s="769"/>
      <c r="Z366" s="769">
        <f>SUM(R366:Y366)</f>
        <v>0</v>
      </c>
      <c r="AA366" s="769"/>
      <c r="AB366" s="769"/>
      <c r="AC366" s="769">
        <f t="shared" ref="AC366:AC368" si="185">SUM(AA366:AB366)</f>
        <v>0</v>
      </c>
      <c r="AD366" s="769">
        <f>SUM(Z366*12+AC366)</f>
        <v>0</v>
      </c>
      <c r="AE366" s="769">
        <f t="shared" ref="AE366:AE368" si="186">SUM(Q366*AD366)</f>
        <v>0</v>
      </c>
      <c r="AF366" s="769">
        <f>SUM(AB366*12+AE366)</f>
        <v>0</v>
      </c>
      <c r="AG366" s="776">
        <v>0</v>
      </c>
      <c r="AH366" s="718"/>
      <c r="AI366" s="769">
        <v>0</v>
      </c>
    </row>
    <row r="367" spans="1:35" ht="12.75" customHeight="1" x14ac:dyDescent="0.2">
      <c r="A367" s="864" t="s">
        <v>740</v>
      </c>
      <c r="B367" s="718">
        <v>1</v>
      </c>
      <c r="C367" s="777">
        <v>5181.24</v>
      </c>
      <c r="D367" s="777">
        <v>2454</v>
      </c>
      <c r="E367" s="769"/>
      <c r="F367" s="769"/>
      <c r="G367" s="769"/>
      <c r="H367" s="769"/>
      <c r="I367" s="769"/>
      <c r="J367" s="769"/>
      <c r="K367" s="769">
        <f>SUM(C367:J367)</f>
        <v>7635.24</v>
      </c>
      <c r="L367" s="769">
        <v>1000</v>
      </c>
      <c r="M367" s="769"/>
      <c r="N367" s="769">
        <f t="shared" si="183"/>
        <v>1000</v>
      </c>
      <c r="O367" s="769">
        <f>SUM(K367*12+N367)</f>
        <v>92622.88</v>
      </c>
      <c r="P367" s="769">
        <f t="shared" si="184"/>
        <v>92622.88</v>
      </c>
      <c r="Q367" s="775">
        <v>1</v>
      </c>
      <c r="R367" s="777">
        <v>5181.24</v>
      </c>
      <c r="S367" s="777">
        <v>2454</v>
      </c>
      <c r="T367" s="769"/>
      <c r="U367" s="769"/>
      <c r="V367" s="769"/>
      <c r="W367" s="769"/>
      <c r="X367" s="769"/>
      <c r="Y367" s="769"/>
      <c r="Z367" s="769">
        <f>SUM(R367:Y367)</f>
        <v>7635.24</v>
      </c>
      <c r="AA367" s="769">
        <v>1000</v>
      </c>
      <c r="AB367" s="769"/>
      <c r="AC367" s="769">
        <f t="shared" si="185"/>
        <v>1000</v>
      </c>
      <c r="AD367" s="769">
        <f>SUM(Z367*12+AC367)</f>
        <v>92622.88</v>
      </c>
      <c r="AE367" s="769">
        <f t="shared" si="186"/>
        <v>92622.88</v>
      </c>
      <c r="AF367" s="769">
        <f>SUM(P367-AE367)</f>
        <v>0</v>
      </c>
      <c r="AG367" s="776">
        <v>92622.88</v>
      </c>
      <c r="AH367" s="718">
        <v>1</v>
      </c>
      <c r="AI367" s="769">
        <v>92622.88</v>
      </c>
    </row>
    <row r="368" spans="1:35" ht="12.75" customHeight="1" x14ac:dyDescent="0.2">
      <c r="A368" s="864" t="s">
        <v>404</v>
      </c>
      <c r="B368" s="718">
        <v>5</v>
      </c>
      <c r="C368" s="777">
        <v>4591.5</v>
      </c>
      <c r="D368" s="777">
        <v>1842</v>
      </c>
      <c r="E368" s="769"/>
      <c r="F368" s="769"/>
      <c r="G368" s="769"/>
      <c r="H368" s="769"/>
      <c r="I368" s="769"/>
      <c r="J368" s="769"/>
      <c r="K368" s="769">
        <f>SUM(C368:J368)</f>
        <v>6433.5</v>
      </c>
      <c r="L368" s="769">
        <v>1000</v>
      </c>
      <c r="M368" s="769"/>
      <c r="N368" s="769">
        <f t="shared" si="183"/>
        <v>1000</v>
      </c>
      <c r="O368" s="769">
        <f>SUM(K368*12+N368)</f>
        <v>78202</v>
      </c>
      <c r="P368" s="769">
        <f t="shared" si="184"/>
        <v>391010</v>
      </c>
      <c r="Q368" s="775">
        <v>5</v>
      </c>
      <c r="R368" s="777">
        <v>4591.5</v>
      </c>
      <c r="S368" s="777">
        <v>1842</v>
      </c>
      <c r="T368" s="769"/>
      <c r="U368" s="769"/>
      <c r="V368" s="769"/>
      <c r="W368" s="769"/>
      <c r="X368" s="769"/>
      <c r="Y368" s="769"/>
      <c r="Z368" s="769">
        <f>SUM(R368:Y368)</f>
        <v>6433.5</v>
      </c>
      <c r="AA368" s="769">
        <v>1000</v>
      </c>
      <c r="AB368" s="769"/>
      <c r="AC368" s="769">
        <f t="shared" si="185"/>
        <v>1000</v>
      </c>
      <c r="AD368" s="769">
        <f>SUM(Z368*12+AC368)</f>
        <v>78202</v>
      </c>
      <c r="AE368" s="769">
        <f t="shared" si="186"/>
        <v>391010</v>
      </c>
      <c r="AF368" s="769">
        <f>SUM(P368-AE368)</f>
        <v>0</v>
      </c>
      <c r="AG368" s="776">
        <v>315520</v>
      </c>
      <c r="AH368" s="718">
        <v>5</v>
      </c>
      <c r="AI368" s="769">
        <v>391010</v>
      </c>
    </row>
    <row r="369" spans="1:35" ht="12.75" customHeight="1" x14ac:dyDescent="0.2">
      <c r="A369" s="864" t="s">
        <v>436</v>
      </c>
      <c r="B369" s="718"/>
      <c r="C369" s="777">
        <v>0</v>
      </c>
      <c r="D369" s="777">
        <v>0</v>
      </c>
      <c r="E369" s="769"/>
      <c r="F369" s="769"/>
      <c r="G369" s="769"/>
      <c r="H369" s="769"/>
      <c r="I369" s="769"/>
      <c r="J369" s="769"/>
      <c r="K369" s="769"/>
      <c r="L369" s="769"/>
      <c r="M369" s="769"/>
      <c r="N369" s="769"/>
      <c r="O369" s="769"/>
      <c r="P369" s="769"/>
      <c r="Q369" s="775"/>
      <c r="R369" s="777">
        <v>0</v>
      </c>
      <c r="S369" s="777">
        <v>0</v>
      </c>
      <c r="T369" s="769"/>
      <c r="U369" s="769"/>
      <c r="V369" s="769"/>
      <c r="W369" s="769"/>
      <c r="X369" s="769"/>
      <c r="Y369" s="769"/>
      <c r="Z369" s="769"/>
      <c r="AA369" s="769"/>
      <c r="AB369" s="769"/>
      <c r="AC369" s="769"/>
      <c r="AD369" s="769"/>
      <c r="AE369" s="769"/>
      <c r="AF369" s="769"/>
      <c r="AG369" s="776"/>
      <c r="AH369" s="718"/>
      <c r="AI369" s="769"/>
    </row>
    <row r="370" spans="1:35" ht="12.75" customHeight="1" x14ac:dyDescent="0.2">
      <c r="A370" s="864" t="s">
        <v>405</v>
      </c>
      <c r="B370" s="718">
        <v>2</v>
      </c>
      <c r="C370" s="778">
        <v>3331</v>
      </c>
      <c r="D370" s="778">
        <v>1417</v>
      </c>
      <c r="E370" s="769"/>
      <c r="F370" s="769"/>
      <c r="G370" s="769"/>
      <c r="H370" s="769"/>
      <c r="I370" s="769"/>
      <c r="J370" s="769"/>
      <c r="K370" s="769">
        <f>SUM(C370:J370)</f>
        <v>4748</v>
      </c>
      <c r="L370" s="769">
        <v>1000</v>
      </c>
      <c r="M370" s="769"/>
      <c r="N370" s="769">
        <f t="shared" si="183"/>
        <v>1000</v>
      </c>
      <c r="O370" s="769">
        <f>SUM(K370*12+N370)</f>
        <v>57976</v>
      </c>
      <c r="P370" s="769">
        <f>SUM(B370*O370)</f>
        <v>115952</v>
      </c>
      <c r="Q370" s="775">
        <v>2</v>
      </c>
      <c r="R370" s="778">
        <v>3331</v>
      </c>
      <c r="S370" s="778">
        <v>1417</v>
      </c>
      <c r="T370" s="769"/>
      <c r="U370" s="769"/>
      <c r="V370" s="769"/>
      <c r="W370" s="769"/>
      <c r="X370" s="769"/>
      <c r="Y370" s="769"/>
      <c r="Z370" s="769">
        <f>SUM(R370:Y370)</f>
        <v>4748</v>
      </c>
      <c r="AA370" s="769">
        <v>1000</v>
      </c>
      <c r="AB370" s="769"/>
      <c r="AC370" s="769">
        <f t="shared" ref="AC370:AC371" si="187">SUM(AA370:AB370)</f>
        <v>1000</v>
      </c>
      <c r="AD370" s="769">
        <f>SUM(Z370*12+AC370)</f>
        <v>57976</v>
      </c>
      <c r="AE370" s="769">
        <f>SUM(Q370*AD370)</f>
        <v>115952</v>
      </c>
      <c r="AF370" s="769">
        <f>SUM(P370-AE370)</f>
        <v>0</v>
      </c>
      <c r="AG370" s="776">
        <v>115952</v>
      </c>
      <c r="AH370" s="718">
        <v>2</v>
      </c>
      <c r="AI370" s="769">
        <v>115952</v>
      </c>
    </row>
    <row r="371" spans="1:35" ht="12.75" customHeight="1" x14ac:dyDescent="0.2">
      <c r="A371" s="864" t="s">
        <v>741</v>
      </c>
      <c r="B371" s="718">
        <v>3</v>
      </c>
      <c r="C371" s="778">
        <v>3169.13</v>
      </c>
      <c r="D371" s="778">
        <v>1226</v>
      </c>
      <c r="E371" s="769"/>
      <c r="F371" s="769"/>
      <c r="G371" s="769"/>
      <c r="H371" s="769"/>
      <c r="I371" s="769"/>
      <c r="J371" s="769"/>
      <c r="K371" s="769">
        <f>SUM(C371:J371)</f>
        <v>4395.13</v>
      </c>
      <c r="L371" s="769">
        <v>1000</v>
      </c>
      <c r="M371" s="769"/>
      <c r="N371" s="769">
        <f t="shared" si="183"/>
        <v>1000</v>
      </c>
      <c r="O371" s="769">
        <f>SUM(K371*12+N371)</f>
        <v>53741.56</v>
      </c>
      <c r="P371" s="769">
        <f t="shared" si="184"/>
        <v>161224.68</v>
      </c>
      <c r="Q371" s="775">
        <v>3</v>
      </c>
      <c r="R371" s="778">
        <v>3169.13</v>
      </c>
      <c r="S371" s="778">
        <v>1226</v>
      </c>
      <c r="T371" s="769"/>
      <c r="U371" s="769"/>
      <c r="V371" s="769"/>
      <c r="W371" s="769"/>
      <c r="X371" s="769"/>
      <c r="Y371" s="769"/>
      <c r="Z371" s="769">
        <f>SUM(R371:Y371)</f>
        <v>4395.13</v>
      </c>
      <c r="AA371" s="769">
        <v>1000</v>
      </c>
      <c r="AB371" s="769"/>
      <c r="AC371" s="769">
        <f t="shared" si="187"/>
        <v>1000</v>
      </c>
      <c r="AD371" s="769">
        <f>SUM(Z371*12+AC371)</f>
        <v>53741.56</v>
      </c>
      <c r="AE371" s="769">
        <f t="shared" ref="AE371" si="188">SUM(Q371*AD371)</f>
        <v>161224.68</v>
      </c>
      <c r="AF371" s="769">
        <f>SUM(P371-AE371)</f>
        <v>0</v>
      </c>
      <c r="AG371" s="776">
        <v>161224.68</v>
      </c>
      <c r="AH371" s="718">
        <v>3</v>
      </c>
      <c r="AI371" s="769">
        <v>161224.68</v>
      </c>
    </row>
    <row r="372" spans="1:35" ht="12.75" customHeight="1" x14ac:dyDescent="0.2">
      <c r="A372" s="864"/>
      <c r="B372" s="718"/>
      <c r="C372" s="769"/>
      <c r="D372" s="769"/>
      <c r="E372" s="769"/>
      <c r="F372" s="769"/>
      <c r="G372" s="769"/>
      <c r="H372" s="769"/>
      <c r="I372" s="769"/>
      <c r="J372" s="769"/>
      <c r="K372" s="769"/>
      <c r="L372" s="769"/>
      <c r="M372" s="769"/>
      <c r="N372" s="769"/>
      <c r="O372" s="769"/>
      <c r="P372" s="769"/>
      <c r="Q372" s="775"/>
      <c r="R372" s="769"/>
      <c r="S372" s="769"/>
      <c r="T372" s="769"/>
      <c r="U372" s="769"/>
      <c r="V372" s="769"/>
      <c r="W372" s="769"/>
      <c r="X372" s="769"/>
      <c r="Y372" s="769"/>
      <c r="Z372" s="769"/>
      <c r="AA372" s="769"/>
      <c r="AB372" s="769"/>
      <c r="AC372" s="769"/>
      <c r="AD372" s="769"/>
      <c r="AE372" s="769"/>
      <c r="AF372" s="769"/>
      <c r="AG372" s="776"/>
      <c r="AH372" s="718"/>
      <c r="AI372" s="769"/>
    </row>
    <row r="373" spans="1:35" ht="12.75" customHeight="1" x14ac:dyDescent="0.2">
      <c r="A373" s="864" t="s">
        <v>385</v>
      </c>
      <c r="B373" s="779">
        <f>SUM(B374:B380)</f>
        <v>22</v>
      </c>
      <c r="C373" s="769">
        <f>SUM(C374:C380)</f>
        <v>5117.59</v>
      </c>
      <c r="D373" s="769">
        <f>SUM(D374:D380)</f>
        <v>2452</v>
      </c>
      <c r="E373" s="769"/>
      <c r="F373" s="769"/>
      <c r="G373" s="769"/>
      <c r="H373" s="769"/>
      <c r="I373" s="769"/>
      <c r="J373" s="769"/>
      <c r="K373" s="769">
        <f>SUM(K374:K380)</f>
        <v>7569.59</v>
      </c>
      <c r="L373" s="769">
        <f>SUM(L374:L380)</f>
        <v>2000</v>
      </c>
      <c r="M373" s="769"/>
      <c r="N373" s="769">
        <f t="shared" ref="N373:N380" si="189">SUM(L373:M373)</f>
        <v>2000</v>
      </c>
      <c r="O373" s="769">
        <f>SUM(K373*12+N373)</f>
        <v>92835.08</v>
      </c>
      <c r="P373" s="769">
        <f>SUM(P374:P380)</f>
        <v>952467.28</v>
      </c>
      <c r="Q373" s="780">
        <f>SUM(Q374:Q380)</f>
        <v>22</v>
      </c>
      <c r="R373" s="769">
        <f>SUM(R374:R380)</f>
        <v>5117.59</v>
      </c>
      <c r="S373" s="769">
        <f>SUM(S374:S380)</f>
        <v>2452</v>
      </c>
      <c r="T373" s="769"/>
      <c r="U373" s="769"/>
      <c r="V373" s="769"/>
      <c r="W373" s="769"/>
      <c r="X373" s="769"/>
      <c r="Y373" s="769"/>
      <c r="Z373" s="769">
        <f>SUM(R373:Y373)</f>
        <v>7569.59</v>
      </c>
      <c r="AA373" s="769">
        <f>SUM(AA374:AA380)</f>
        <v>2000</v>
      </c>
      <c r="AB373" s="769"/>
      <c r="AC373" s="769">
        <f t="shared" ref="AC373:AC374" si="190">SUM(AA373:AB373)</f>
        <v>2000</v>
      </c>
      <c r="AD373" s="769">
        <f>SUM(Z373*12+AC373)</f>
        <v>92835.08</v>
      </c>
      <c r="AE373" s="769">
        <f>SUM(AE374:AE380)</f>
        <v>952467.28</v>
      </c>
      <c r="AF373" s="772">
        <f>SUM(AF374:AF380)</f>
        <v>0</v>
      </c>
      <c r="AG373" s="776">
        <f>SUM(AG374:AG380)</f>
        <v>888960</v>
      </c>
      <c r="AH373" s="779">
        <f>SUM(AH374:AH380)</f>
        <v>22</v>
      </c>
      <c r="AI373" s="769">
        <f>SUM(AI374:AI380)</f>
        <v>952467.28</v>
      </c>
    </row>
    <row r="374" spans="1:35" ht="12.75" customHeight="1" x14ac:dyDescent="0.2">
      <c r="A374" s="715" t="s">
        <v>386</v>
      </c>
      <c r="B374" s="718">
        <v>6</v>
      </c>
      <c r="C374" s="778">
        <v>3131.45</v>
      </c>
      <c r="D374" s="778">
        <v>1226</v>
      </c>
      <c r="E374" s="769"/>
      <c r="F374" s="769"/>
      <c r="G374" s="769"/>
      <c r="H374" s="769"/>
      <c r="I374" s="769"/>
      <c r="J374" s="769"/>
      <c r="K374" s="769">
        <f>SUM(C374:J374)</f>
        <v>4357.45</v>
      </c>
      <c r="L374" s="769">
        <v>1000</v>
      </c>
      <c r="M374" s="769"/>
      <c r="N374" s="769">
        <f t="shared" si="189"/>
        <v>1000</v>
      </c>
      <c r="O374" s="769">
        <f>SUM(K374*12+N374)</f>
        <v>53289.399999999994</v>
      </c>
      <c r="P374" s="769">
        <f t="shared" ref="P374:P380" si="191">SUM(B374*O374)</f>
        <v>319736.39999999997</v>
      </c>
      <c r="Q374" s="714">
        <v>6</v>
      </c>
      <c r="R374" s="778">
        <v>3131.45</v>
      </c>
      <c r="S374" s="778">
        <v>1226</v>
      </c>
      <c r="T374" s="769"/>
      <c r="U374" s="769"/>
      <c r="V374" s="769"/>
      <c r="W374" s="769"/>
      <c r="X374" s="769"/>
      <c r="Y374" s="769"/>
      <c r="Z374" s="769">
        <f>SUM(R374:Y374)</f>
        <v>4357.45</v>
      </c>
      <c r="AA374" s="769">
        <v>1000</v>
      </c>
      <c r="AB374" s="769"/>
      <c r="AC374" s="769">
        <f t="shared" si="190"/>
        <v>1000</v>
      </c>
      <c r="AD374" s="769">
        <f>SUM(Z374*12+AC374)</f>
        <v>53289.399999999994</v>
      </c>
      <c r="AE374" s="769">
        <f t="shared" ref="AE374" si="192">SUM(Q374*AD374)</f>
        <v>319736.39999999997</v>
      </c>
      <c r="AF374" s="769">
        <f>SUM(P374-AE374)</f>
        <v>0</v>
      </c>
      <c r="AG374" s="776">
        <v>426368</v>
      </c>
      <c r="AH374" s="718">
        <v>6</v>
      </c>
      <c r="AI374" s="769">
        <f>SUM(Q374*AD374)</f>
        <v>319736.39999999997</v>
      </c>
    </row>
    <row r="375" spans="1:35" ht="12.75" customHeight="1" x14ac:dyDescent="0.2">
      <c r="A375" s="715" t="s">
        <v>387</v>
      </c>
      <c r="B375" s="718"/>
      <c r="C375" s="778"/>
      <c r="D375" s="778"/>
      <c r="E375" s="769"/>
      <c r="F375" s="769"/>
      <c r="G375" s="769"/>
      <c r="H375" s="769"/>
      <c r="I375" s="769"/>
      <c r="J375" s="769"/>
      <c r="K375" s="769"/>
      <c r="L375" s="769"/>
      <c r="M375" s="769"/>
      <c r="N375" s="769"/>
      <c r="O375" s="769"/>
      <c r="P375" s="769"/>
      <c r="Q375" s="714"/>
      <c r="R375" s="778"/>
      <c r="S375" s="778"/>
      <c r="T375" s="769"/>
      <c r="U375" s="769"/>
      <c r="V375" s="769"/>
      <c r="W375" s="769"/>
      <c r="X375" s="769"/>
      <c r="Y375" s="769"/>
      <c r="Z375" s="769"/>
      <c r="AA375" s="769"/>
      <c r="AB375" s="769"/>
      <c r="AC375" s="769"/>
      <c r="AD375" s="769"/>
      <c r="AE375" s="769"/>
      <c r="AF375" s="769"/>
      <c r="AG375" s="776"/>
      <c r="AH375" s="718"/>
      <c r="AI375" s="769"/>
    </row>
    <row r="376" spans="1:35" ht="12.75" customHeight="1" x14ac:dyDescent="0.2">
      <c r="A376" s="715" t="s">
        <v>388</v>
      </c>
      <c r="B376" s="718"/>
      <c r="C376" s="778"/>
      <c r="D376" s="778"/>
      <c r="E376" s="769"/>
      <c r="F376" s="769"/>
      <c r="G376" s="769"/>
      <c r="H376" s="769"/>
      <c r="I376" s="769"/>
      <c r="J376" s="769"/>
      <c r="K376" s="769"/>
      <c r="L376" s="769"/>
      <c r="M376" s="769"/>
      <c r="N376" s="769"/>
      <c r="O376" s="769"/>
      <c r="P376" s="769"/>
      <c r="Q376" s="714"/>
      <c r="R376" s="778"/>
      <c r="S376" s="778"/>
      <c r="T376" s="769"/>
      <c r="U376" s="769"/>
      <c r="V376" s="769"/>
      <c r="W376" s="769"/>
      <c r="X376" s="769"/>
      <c r="Y376" s="769"/>
      <c r="Z376" s="769"/>
      <c r="AA376" s="769"/>
      <c r="AB376" s="769"/>
      <c r="AC376" s="769"/>
      <c r="AD376" s="769"/>
      <c r="AE376" s="769"/>
      <c r="AF376" s="769"/>
      <c r="AG376" s="776"/>
      <c r="AH376" s="718"/>
      <c r="AI376" s="769"/>
    </row>
    <row r="377" spans="1:35" ht="12.75" customHeight="1" x14ac:dyDescent="0.2">
      <c r="A377" s="715" t="s">
        <v>437</v>
      </c>
      <c r="B377" s="718">
        <v>0</v>
      </c>
      <c r="C377" s="778">
        <v>0</v>
      </c>
      <c r="D377" s="778">
        <v>0</v>
      </c>
      <c r="E377" s="769"/>
      <c r="F377" s="769"/>
      <c r="G377" s="769"/>
      <c r="H377" s="769"/>
      <c r="I377" s="769"/>
      <c r="J377" s="769"/>
      <c r="K377" s="769">
        <f>SUM(C377:J377)</f>
        <v>0</v>
      </c>
      <c r="L377" s="769">
        <v>0</v>
      </c>
      <c r="M377" s="769"/>
      <c r="N377" s="769">
        <f t="shared" si="189"/>
        <v>0</v>
      </c>
      <c r="O377" s="769">
        <f>SUM(K377*12+N377)</f>
        <v>0</v>
      </c>
      <c r="P377" s="769">
        <f t="shared" si="191"/>
        <v>0</v>
      </c>
      <c r="Q377" s="714">
        <v>0</v>
      </c>
      <c r="R377" s="778">
        <v>0</v>
      </c>
      <c r="S377" s="778">
        <v>0</v>
      </c>
      <c r="T377" s="769"/>
      <c r="U377" s="769"/>
      <c r="V377" s="769"/>
      <c r="W377" s="769"/>
      <c r="X377" s="769"/>
      <c r="Y377" s="769"/>
      <c r="Z377" s="769">
        <f>SUM(R377:Y377)</f>
        <v>0</v>
      </c>
      <c r="AA377" s="769">
        <v>0</v>
      </c>
      <c r="AB377" s="769"/>
      <c r="AC377" s="769">
        <f t="shared" ref="AC377:AC395" si="193">SUM(AA377:AB377)</f>
        <v>0</v>
      </c>
      <c r="AD377" s="769">
        <f>SUM(Z377*12+AC377)</f>
        <v>0</v>
      </c>
      <c r="AE377" s="769">
        <f t="shared" ref="AE377:AE386" si="194">SUM(Q377*AD377)</f>
        <v>0</v>
      </c>
      <c r="AF377" s="769">
        <f t="shared" ref="AF377:AF380" si="195">SUM(P377-AE377)</f>
        <v>0</v>
      </c>
      <c r="AG377" s="776">
        <v>0</v>
      </c>
      <c r="AH377" s="718">
        <v>0</v>
      </c>
      <c r="AI377" s="769">
        <v>0</v>
      </c>
    </row>
    <row r="378" spans="1:35" ht="12.75" customHeight="1" x14ac:dyDescent="0.2">
      <c r="A378" s="715" t="s">
        <v>408</v>
      </c>
      <c r="B378" s="718">
        <v>16</v>
      </c>
      <c r="C378" s="778">
        <v>1986.14</v>
      </c>
      <c r="D378" s="778">
        <v>1226</v>
      </c>
      <c r="E378" s="769"/>
      <c r="F378" s="769"/>
      <c r="G378" s="769"/>
      <c r="H378" s="769"/>
      <c r="I378" s="769"/>
      <c r="J378" s="769"/>
      <c r="K378" s="769">
        <f>SUM(C378:J378)</f>
        <v>3212.1400000000003</v>
      </c>
      <c r="L378" s="769">
        <v>1000</v>
      </c>
      <c r="M378" s="769"/>
      <c r="N378" s="769">
        <f t="shared" si="189"/>
        <v>1000</v>
      </c>
      <c r="O378" s="769">
        <f>SUM(K378*12+N378)</f>
        <v>39545.680000000008</v>
      </c>
      <c r="P378" s="769">
        <f t="shared" si="191"/>
        <v>632730.88000000012</v>
      </c>
      <c r="Q378" s="714">
        <v>16</v>
      </c>
      <c r="R378" s="778">
        <v>1986.14</v>
      </c>
      <c r="S378" s="778">
        <v>1226</v>
      </c>
      <c r="T378" s="769"/>
      <c r="U378" s="769"/>
      <c r="V378" s="769"/>
      <c r="W378" s="769"/>
      <c r="X378" s="769"/>
      <c r="Y378" s="769"/>
      <c r="Z378" s="769">
        <f>SUM(R378:Y378)</f>
        <v>3212.1400000000003</v>
      </c>
      <c r="AA378" s="769">
        <v>1000</v>
      </c>
      <c r="AB378" s="769"/>
      <c r="AC378" s="769">
        <f t="shared" si="193"/>
        <v>1000</v>
      </c>
      <c r="AD378" s="769">
        <f>SUM(Z378*12+AC378)</f>
        <v>39545.680000000008</v>
      </c>
      <c r="AE378" s="769">
        <f t="shared" si="194"/>
        <v>632730.88000000012</v>
      </c>
      <c r="AF378" s="769">
        <f t="shared" si="195"/>
        <v>0</v>
      </c>
      <c r="AG378" s="776">
        <v>462592</v>
      </c>
      <c r="AH378" s="718">
        <v>16</v>
      </c>
      <c r="AI378" s="769">
        <f>SUM(Q378*AD378)</f>
        <v>632730.88000000012</v>
      </c>
    </row>
    <row r="379" spans="1:35" ht="12.75" customHeight="1" x14ac:dyDescent="0.2">
      <c r="A379" s="863"/>
      <c r="B379" s="718">
        <v>0</v>
      </c>
      <c r="C379" s="769">
        <v>0</v>
      </c>
      <c r="D379" s="769"/>
      <c r="E379" s="769"/>
      <c r="F379" s="769"/>
      <c r="G379" s="769"/>
      <c r="H379" s="769"/>
      <c r="I379" s="769"/>
      <c r="J379" s="769"/>
      <c r="K379" s="769">
        <f>SUM(C379:J379)</f>
        <v>0</v>
      </c>
      <c r="L379" s="769">
        <v>0</v>
      </c>
      <c r="M379" s="769"/>
      <c r="N379" s="769">
        <f t="shared" si="189"/>
        <v>0</v>
      </c>
      <c r="O379" s="769">
        <f>SUM(K379*12+N379)</f>
        <v>0</v>
      </c>
      <c r="P379" s="769">
        <f t="shared" si="191"/>
        <v>0</v>
      </c>
      <c r="Q379" s="714">
        <v>0</v>
      </c>
      <c r="R379" s="769">
        <v>0</v>
      </c>
      <c r="S379" s="769"/>
      <c r="T379" s="769"/>
      <c r="U379" s="769"/>
      <c r="V379" s="769"/>
      <c r="W379" s="769"/>
      <c r="X379" s="769"/>
      <c r="Y379" s="769"/>
      <c r="Z379" s="769">
        <f>SUM(R379:Y379)</f>
        <v>0</v>
      </c>
      <c r="AA379" s="769">
        <v>0</v>
      </c>
      <c r="AB379" s="769"/>
      <c r="AC379" s="769">
        <f t="shared" si="193"/>
        <v>0</v>
      </c>
      <c r="AD379" s="769">
        <f>SUM(Z379*12+AC379)</f>
        <v>0</v>
      </c>
      <c r="AE379" s="769">
        <f t="shared" si="194"/>
        <v>0</v>
      </c>
      <c r="AF379" s="769">
        <f t="shared" si="195"/>
        <v>0</v>
      </c>
      <c r="AG379" s="776">
        <v>0</v>
      </c>
      <c r="AH379" s="718">
        <v>0</v>
      </c>
      <c r="AI379" s="769">
        <v>0</v>
      </c>
    </row>
    <row r="380" spans="1:35" ht="12.75" customHeight="1" x14ac:dyDescent="0.2">
      <c r="A380" s="863" t="s">
        <v>700</v>
      </c>
      <c r="B380" s="718">
        <v>0</v>
      </c>
      <c r="C380" s="769">
        <v>0</v>
      </c>
      <c r="D380" s="769"/>
      <c r="E380" s="769"/>
      <c r="F380" s="769"/>
      <c r="G380" s="769"/>
      <c r="H380" s="769"/>
      <c r="I380" s="769"/>
      <c r="J380" s="769"/>
      <c r="K380" s="769">
        <f t="shared" ref="K380" si="196">SUM(C380:J380)</f>
        <v>0</v>
      </c>
      <c r="L380" s="769"/>
      <c r="M380" s="769"/>
      <c r="N380" s="769">
        <f t="shared" si="189"/>
        <v>0</v>
      </c>
      <c r="O380" s="769">
        <f t="shared" ref="O380:O395" si="197">SUM(K380*12+N380)</f>
        <v>0</v>
      </c>
      <c r="P380" s="769">
        <f t="shared" si="191"/>
        <v>0</v>
      </c>
      <c r="Q380" s="714">
        <v>0</v>
      </c>
      <c r="R380" s="769">
        <v>0</v>
      </c>
      <c r="S380" s="769"/>
      <c r="T380" s="769"/>
      <c r="U380" s="769"/>
      <c r="V380" s="769"/>
      <c r="W380" s="769"/>
      <c r="X380" s="769"/>
      <c r="Y380" s="769"/>
      <c r="Z380" s="769">
        <f t="shared" ref="Z380:Z395" si="198">SUM(R380:Y380)</f>
        <v>0</v>
      </c>
      <c r="AA380" s="769"/>
      <c r="AB380" s="769"/>
      <c r="AC380" s="769">
        <f t="shared" si="193"/>
        <v>0</v>
      </c>
      <c r="AD380" s="769">
        <f t="shared" ref="AD380:AD395" si="199">SUM(Z380*12+AC380)</f>
        <v>0</v>
      </c>
      <c r="AE380" s="769">
        <f t="shared" si="194"/>
        <v>0</v>
      </c>
      <c r="AF380" s="769">
        <f t="shared" si="195"/>
        <v>0</v>
      </c>
      <c r="AG380" s="776">
        <v>0</v>
      </c>
      <c r="AH380" s="718">
        <v>0</v>
      </c>
      <c r="AI380" s="769">
        <v>0</v>
      </c>
    </row>
    <row r="381" spans="1:35" ht="12.75" customHeight="1" x14ac:dyDescent="0.2">
      <c r="A381" s="864" t="s">
        <v>389</v>
      </c>
      <c r="B381" s="779">
        <f>SUM(B382:B388)</f>
        <v>47</v>
      </c>
      <c r="C381" s="769">
        <f>SUM(C382:C388)</f>
        <v>5060.6099999999997</v>
      </c>
      <c r="D381" s="769">
        <f>SUM(D382:D388)</f>
        <v>5350</v>
      </c>
      <c r="E381" s="769" t="s">
        <v>337</v>
      </c>
      <c r="F381" s="769"/>
      <c r="G381" s="769"/>
      <c r="H381" s="769"/>
      <c r="I381" s="769"/>
      <c r="J381" s="769"/>
      <c r="K381" s="769">
        <f t="shared" ref="K381:K389" si="200">SUM(C381:J381)</f>
        <v>10410.61</v>
      </c>
      <c r="L381" s="769">
        <f>SUM(L382:L388)</f>
        <v>5000</v>
      </c>
      <c r="M381" s="769"/>
      <c r="N381" s="769">
        <f t="shared" ref="N381:N389" si="201">SUM(L381:M381)</f>
        <v>5000</v>
      </c>
      <c r="O381" s="769">
        <f t="shared" si="197"/>
        <v>129927.32</v>
      </c>
      <c r="P381" s="769">
        <f>SUM(P382:P388)</f>
        <v>1354424.48</v>
      </c>
      <c r="Q381" s="780">
        <f>SUM(Q382:Q388)</f>
        <v>47</v>
      </c>
      <c r="R381" s="769">
        <f>SUM(R382:R388)</f>
        <v>5060.6099999999997</v>
      </c>
      <c r="S381" s="769">
        <f>SUM(S382:S388)</f>
        <v>5350</v>
      </c>
      <c r="T381" s="769" t="s">
        <v>337</v>
      </c>
      <c r="U381" s="769"/>
      <c r="V381" s="769"/>
      <c r="W381" s="769"/>
      <c r="X381" s="769"/>
      <c r="Y381" s="769"/>
      <c r="Z381" s="769">
        <f t="shared" si="198"/>
        <v>10410.61</v>
      </c>
      <c r="AA381" s="769">
        <f>SUM(AA382:AA388)</f>
        <v>5000</v>
      </c>
      <c r="AB381" s="769"/>
      <c r="AC381" s="769">
        <f t="shared" si="193"/>
        <v>5000</v>
      </c>
      <c r="AD381" s="769">
        <f t="shared" si="199"/>
        <v>129927.32</v>
      </c>
      <c r="AE381" s="769">
        <f>SUM(AE382:AE388)</f>
        <v>1354424.48</v>
      </c>
      <c r="AF381" s="772">
        <f>SUM(AF382:AF388)</f>
        <v>0</v>
      </c>
      <c r="AG381" s="776">
        <f>SUM(AG382:AG388)</f>
        <v>726831.46400000004</v>
      </c>
      <c r="AH381" s="779">
        <f>SUM(AH382:AH388)</f>
        <v>47</v>
      </c>
      <c r="AI381" s="769">
        <f>SUM(AI382:AI388)</f>
        <v>1354424.48</v>
      </c>
    </row>
    <row r="382" spans="1:35" ht="12.75" customHeight="1" x14ac:dyDescent="0.2">
      <c r="A382" s="715" t="s">
        <v>390</v>
      </c>
      <c r="B382" s="718">
        <v>21</v>
      </c>
      <c r="C382" s="778">
        <v>1636.92</v>
      </c>
      <c r="D382" s="778">
        <v>1070</v>
      </c>
      <c r="E382" s="769"/>
      <c r="F382" s="769"/>
      <c r="G382" s="769"/>
      <c r="H382" s="769"/>
      <c r="I382" s="769"/>
      <c r="J382" s="769"/>
      <c r="K382" s="769">
        <f t="shared" si="200"/>
        <v>2706.92</v>
      </c>
      <c r="L382" s="769">
        <v>1000</v>
      </c>
      <c r="M382" s="769"/>
      <c r="N382" s="769">
        <f t="shared" si="201"/>
        <v>1000</v>
      </c>
      <c r="O382" s="769">
        <f t="shared" si="197"/>
        <v>33483.040000000001</v>
      </c>
      <c r="P382" s="769">
        <f t="shared" ref="P382:P388" si="202">SUM(B382*O382)</f>
        <v>703143.84</v>
      </c>
      <c r="Q382" s="714">
        <v>21</v>
      </c>
      <c r="R382" s="778">
        <v>1636.92</v>
      </c>
      <c r="S382" s="778">
        <v>1070</v>
      </c>
      <c r="T382" s="769"/>
      <c r="U382" s="769"/>
      <c r="V382" s="769"/>
      <c r="W382" s="769"/>
      <c r="X382" s="769"/>
      <c r="Y382" s="769"/>
      <c r="Z382" s="769">
        <f t="shared" si="198"/>
        <v>2706.92</v>
      </c>
      <c r="AA382" s="769">
        <v>1000</v>
      </c>
      <c r="AB382" s="769"/>
      <c r="AC382" s="769">
        <f t="shared" si="193"/>
        <v>1000</v>
      </c>
      <c r="AD382" s="769">
        <f t="shared" si="199"/>
        <v>33483.040000000001</v>
      </c>
      <c r="AE382" s="769">
        <f t="shared" si="194"/>
        <v>703143.84</v>
      </c>
      <c r="AF382" s="769">
        <f t="shared" ref="AF382:AF388" si="203">SUM(P382-AE382)</f>
        <v>0</v>
      </c>
      <c r="AG382" s="776">
        <v>645456</v>
      </c>
      <c r="AH382" s="718">
        <v>21</v>
      </c>
      <c r="AI382" s="769">
        <f>SUM(Q382*AD382)</f>
        <v>703143.84</v>
      </c>
    </row>
    <row r="383" spans="1:35" ht="12.75" customHeight="1" x14ac:dyDescent="0.2">
      <c r="A383" s="715" t="s">
        <v>391</v>
      </c>
      <c r="B383" s="718">
        <v>1</v>
      </c>
      <c r="C383" s="778">
        <v>855.77</v>
      </c>
      <c r="D383" s="778">
        <v>1070</v>
      </c>
      <c r="E383" s="769"/>
      <c r="F383" s="769"/>
      <c r="G383" s="769"/>
      <c r="H383" s="769"/>
      <c r="I383" s="769"/>
      <c r="J383" s="769"/>
      <c r="K383" s="769">
        <f t="shared" si="200"/>
        <v>1925.77</v>
      </c>
      <c r="L383" s="769">
        <v>1000</v>
      </c>
      <c r="M383" s="769"/>
      <c r="N383" s="769">
        <f t="shared" si="201"/>
        <v>1000</v>
      </c>
      <c r="O383" s="769">
        <f t="shared" si="197"/>
        <v>24109.239999999998</v>
      </c>
      <c r="P383" s="769">
        <f t="shared" si="202"/>
        <v>24109.239999999998</v>
      </c>
      <c r="Q383" s="714">
        <v>1</v>
      </c>
      <c r="R383" s="778">
        <v>855.77</v>
      </c>
      <c r="S383" s="778">
        <v>1070</v>
      </c>
      <c r="T383" s="769"/>
      <c r="U383" s="769"/>
      <c r="V383" s="769"/>
      <c r="W383" s="769"/>
      <c r="X383" s="769"/>
      <c r="Y383" s="769"/>
      <c r="Z383" s="769">
        <f t="shared" si="198"/>
        <v>1925.77</v>
      </c>
      <c r="AA383" s="769">
        <v>1000</v>
      </c>
      <c r="AB383" s="769"/>
      <c r="AC383" s="769">
        <f t="shared" si="193"/>
        <v>1000</v>
      </c>
      <c r="AD383" s="769">
        <f t="shared" si="199"/>
        <v>24109.239999999998</v>
      </c>
      <c r="AE383" s="769">
        <f t="shared" si="194"/>
        <v>24109.239999999998</v>
      </c>
      <c r="AF383" s="769">
        <f t="shared" si="203"/>
        <v>0</v>
      </c>
      <c r="AG383" s="776">
        <v>21971.56</v>
      </c>
      <c r="AH383" s="718">
        <v>1</v>
      </c>
      <c r="AI383" s="769">
        <f>SUM(Q383*AD383)</f>
        <v>24109.239999999998</v>
      </c>
    </row>
    <row r="384" spans="1:35" ht="12.75" customHeight="1" x14ac:dyDescent="0.2">
      <c r="A384" s="715" t="s">
        <v>392</v>
      </c>
      <c r="B384" s="718">
        <v>2</v>
      </c>
      <c r="C384" s="778">
        <v>836.8</v>
      </c>
      <c r="D384" s="778">
        <v>1070</v>
      </c>
      <c r="E384" s="769"/>
      <c r="F384" s="769"/>
      <c r="G384" s="769"/>
      <c r="H384" s="769"/>
      <c r="I384" s="769"/>
      <c r="J384" s="769"/>
      <c r="K384" s="769">
        <f t="shared" si="200"/>
        <v>1906.8</v>
      </c>
      <c r="L384" s="769">
        <v>1000</v>
      </c>
      <c r="M384" s="769"/>
      <c r="N384" s="769">
        <f t="shared" si="201"/>
        <v>1000</v>
      </c>
      <c r="O384" s="769">
        <f t="shared" si="197"/>
        <v>23881.599999999999</v>
      </c>
      <c r="P384" s="769">
        <f t="shared" si="202"/>
        <v>47763.199999999997</v>
      </c>
      <c r="Q384" s="714">
        <v>2</v>
      </c>
      <c r="R384" s="778">
        <v>836.8</v>
      </c>
      <c r="S384" s="778">
        <v>1070</v>
      </c>
      <c r="T384" s="769"/>
      <c r="U384" s="769"/>
      <c r="V384" s="769"/>
      <c r="W384" s="769"/>
      <c r="X384" s="769"/>
      <c r="Y384" s="769"/>
      <c r="Z384" s="769">
        <f t="shared" si="198"/>
        <v>1906.8</v>
      </c>
      <c r="AA384" s="769">
        <v>1000</v>
      </c>
      <c r="AB384" s="769"/>
      <c r="AC384" s="769">
        <f t="shared" si="193"/>
        <v>1000</v>
      </c>
      <c r="AD384" s="769">
        <f t="shared" si="199"/>
        <v>23881.599999999999</v>
      </c>
      <c r="AE384" s="769">
        <f t="shared" si="194"/>
        <v>47763.199999999997</v>
      </c>
      <c r="AF384" s="769">
        <f t="shared" si="203"/>
        <v>0</v>
      </c>
      <c r="AG384" s="776">
        <v>39608</v>
      </c>
      <c r="AH384" s="718">
        <v>2</v>
      </c>
      <c r="AI384" s="769">
        <f>SUM(Q384*AD384)</f>
        <v>47763.199999999997</v>
      </c>
    </row>
    <row r="385" spans="1:35" ht="12.75" customHeight="1" x14ac:dyDescent="0.2">
      <c r="A385" s="715" t="s">
        <v>439</v>
      </c>
      <c r="B385" s="718">
        <v>0</v>
      </c>
      <c r="C385" s="778">
        <v>0</v>
      </c>
      <c r="D385" s="778">
        <v>0</v>
      </c>
      <c r="E385" s="769"/>
      <c r="F385" s="769"/>
      <c r="G385" s="769"/>
      <c r="H385" s="769"/>
      <c r="I385" s="769"/>
      <c r="J385" s="769"/>
      <c r="K385" s="769">
        <f t="shared" si="200"/>
        <v>0</v>
      </c>
      <c r="L385" s="769">
        <v>0</v>
      </c>
      <c r="M385" s="769"/>
      <c r="N385" s="769">
        <f t="shared" si="201"/>
        <v>0</v>
      </c>
      <c r="O385" s="769">
        <f t="shared" si="197"/>
        <v>0</v>
      </c>
      <c r="P385" s="769">
        <f t="shared" si="202"/>
        <v>0</v>
      </c>
      <c r="Q385" s="714">
        <v>0</v>
      </c>
      <c r="R385" s="778">
        <v>0</v>
      </c>
      <c r="S385" s="778">
        <v>0</v>
      </c>
      <c r="T385" s="769"/>
      <c r="U385" s="769"/>
      <c r="V385" s="769"/>
      <c r="W385" s="769"/>
      <c r="X385" s="769"/>
      <c r="Y385" s="769"/>
      <c r="Z385" s="769">
        <f t="shared" si="198"/>
        <v>0</v>
      </c>
      <c r="AA385" s="769">
        <v>0</v>
      </c>
      <c r="AB385" s="769"/>
      <c r="AC385" s="769">
        <f t="shared" si="193"/>
        <v>0</v>
      </c>
      <c r="AD385" s="769">
        <f t="shared" si="199"/>
        <v>0</v>
      </c>
      <c r="AE385" s="769">
        <f t="shared" si="194"/>
        <v>0</v>
      </c>
      <c r="AF385" s="769">
        <f t="shared" si="203"/>
        <v>0</v>
      </c>
      <c r="AG385" s="776">
        <v>0</v>
      </c>
      <c r="AH385" s="718">
        <v>0</v>
      </c>
      <c r="AI385" s="769">
        <v>0</v>
      </c>
    </row>
    <row r="386" spans="1:35" ht="12.75" customHeight="1" x14ac:dyDescent="0.2">
      <c r="A386" s="715" t="s">
        <v>409</v>
      </c>
      <c r="B386" s="718">
        <v>22</v>
      </c>
      <c r="C386" s="778">
        <v>953.63</v>
      </c>
      <c r="D386" s="778">
        <v>1070</v>
      </c>
      <c r="E386" s="769"/>
      <c r="F386" s="769"/>
      <c r="G386" s="769"/>
      <c r="H386" s="769"/>
      <c r="I386" s="769"/>
      <c r="J386" s="769"/>
      <c r="K386" s="769">
        <f t="shared" si="200"/>
        <v>2023.63</v>
      </c>
      <c r="L386" s="769">
        <v>1000</v>
      </c>
      <c r="M386" s="769"/>
      <c r="N386" s="769">
        <f t="shared" si="201"/>
        <v>1000</v>
      </c>
      <c r="O386" s="769">
        <f t="shared" si="197"/>
        <v>25283.56</v>
      </c>
      <c r="P386" s="769">
        <f t="shared" si="202"/>
        <v>556238.32000000007</v>
      </c>
      <c r="Q386" s="714">
        <v>22</v>
      </c>
      <c r="R386" s="778">
        <v>953.63</v>
      </c>
      <c r="S386" s="778">
        <v>1070</v>
      </c>
      <c r="T386" s="769"/>
      <c r="U386" s="769"/>
      <c r="V386" s="769"/>
      <c r="W386" s="769"/>
      <c r="X386" s="769"/>
      <c r="Y386" s="769"/>
      <c r="Z386" s="769">
        <f t="shared" si="198"/>
        <v>2023.63</v>
      </c>
      <c r="AA386" s="769">
        <v>1000</v>
      </c>
      <c r="AB386" s="769"/>
      <c r="AC386" s="769">
        <f t="shared" si="193"/>
        <v>1000</v>
      </c>
      <c r="AD386" s="769">
        <f t="shared" si="199"/>
        <v>25283.56</v>
      </c>
      <c r="AE386" s="769">
        <f t="shared" si="194"/>
        <v>556238.32000000007</v>
      </c>
      <c r="AF386" s="769">
        <f t="shared" si="203"/>
        <v>0</v>
      </c>
      <c r="AG386" s="776">
        <v>461.82400000000001</v>
      </c>
      <c r="AH386" s="718">
        <v>22</v>
      </c>
      <c r="AI386" s="769">
        <f>SUM(Q386*AD386)</f>
        <v>556238.32000000007</v>
      </c>
    </row>
    <row r="387" spans="1:35" ht="12.75" customHeight="1" x14ac:dyDescent="0.2">
      <c r="A387" s="715" t="s">
        <v>440</v>
      </c>
      <c r="B387" s="718">
        <v>1</v>
      </c>
      <c r="C387" s="778">
        <v>777.49</v>
      </c>
      <c r="D387" s="778">
        <v>1070</v>
      </c>
      <c r="E387" s="769"/>
      <c r="F387" s="769"/>
      <c r="G387" s="769"/>
      <c r="H387" s="769"/>
      <c r="I387" s="769"/>
      <c r="J387" s="769"/>
      <c r="K387" s="769">
        <f t="shared" si="200"/>
        <v>1847.49</v>
      </c>
      <c r="L387" s="769">
        <v>1000</v>
      </c>
      <c r="M387" s="769"/>
      <c r="N387" s="769">
        <f t="shared" si="201"/>
        <v>1000</v>
      </c>
      <c r="O387" s="769">
        <f t="shared" si="197"/>
        <v>23169.88</v>
      </c>
      <c r="P387" s="769">
        <f>SUM(B387*O387)</f>
        <v>23169.88</v>
      </c>
      <c r="Q387" s="714">
        <v>1</v>
      </c>
      <c r="R387" s="778">
        <v>777.49</v>
      </c>
      <c r="S387" s="778">
        <v>1070</v>
      </c>
      <c r="T387" s="769"/>
      <c r="U387" s="769"/>
      <c r="V387" s="769"/>
      <c r="W387" s="769"/>
      <c r="X387" s="769"/>
      <c r="Y387" s="769"/>
      <c r="Z387" s="769">
        <f t="shared" si="198"/>
        <v>1847.49</v>
      </c>
      <c r="AA387" s="769">
        <v>1000</v>
      </c>
      <c r="AB387" s="769"/>
      <c r="AC387" s="769">
        <f t="shared" si="193"/>
        <v>1000</v>
      </c>
      <c r="AD387" s="769">
        <f t="shared" si="199"/>
        <v>23169.88</v>
      </c>
      <c r="AE387" s="769">
        <f>SUM(Q387*AD387)</f>
        <v>23169.88</v>
      </c>
      <c r="AF387" s="769">
        <f t="shared" si="203"/>
        <v>0</v>
      </c>
      <c r="AG387" s="776">
        <v>19334.080000000002</v>
      </c>
      <c r="AH387" s="718">
        <v>1</v>
      </c>
      <c r="AI387" s="769">
        <f>SUM(Q387*AD387)</f>
        <v>23169.88</v>
      </c>
    </row>
    <row r="388" spans="1:35" ht="12.75" customHeight="1" x14ac:dyDescent="0.2">
      <c r="A388" s="715"/>
      <c r="B388" s="718">
        <v>0</v>
      </c>
      <c r="C388" s="769">
        <v>0</v>
      </c>
      <c r="D388" s="769">
        <v>0</v>
      </c>
      <c r="E388" s="769"/>
      <c r="F388" s="769"/>
      <c r="G388" s="769"/>
      <c r="H388" s="769"/>
      <c r="I388" s="769"/>
      <c r="J388" s="769"/>
      <c r="K388" s="769">
        <f t="shared" si="200"/>
        <v>0</v>
      </c>
      <c r="L388" s="769">
        <v>0</v>
      </c>
      <c r="M388" s="769"/>
      <c r="N388" s="769">
        <f t="shared" si="201"/>
        <v>0</v>
      </c>
      <c r="O388" s="769">
        <f t="shared" si="197"/>
        <v>0</v>
      </c>
      <c r="P388" s="769">
        <f t="shared" si="202"/>
        <v>0</v>
      </c>
      <c r="Q388" s="714">
        <v>0</v>
      </c>
      <c r="R388" s="769">
        <v>0</v>
      </c>
      <c r="S388" s="769">
        <v>0</v>
      </c>
      <c r="T388" s="769"/>
      <c r="U388" s="769"/>
      <c r="V388" s="769"/>
      <c r="W388" s="769"/>
      <c r="X388" s="769"/>
      <c r="Y388" s="769"/>
      <c r="Z388" s="769">
        <f t="shared" si="198"/>
        <v>0</v>
      </c>
      <c r="AA388" s="769">
        <v>0</v>
      </c>
      <c r="AB388" s="769"/>
      <c r="AC388" s="769">
        <f t="shared" si="193"/>
        <v>0</v>
      </c>
      <c r="AD388" s="769">
        <f t="shared" si="199"/>
        <v>0</v>
      </c>
      <c r="AE388" s="769">
        <f t="shared" ref="AE388" si="204">SUM(Q388*AD388)</f>
        <v>0</v>
      </c>
      <c r="AF388" s="769">
        <f t="shared" si="203"/>
        <v>0</v>
      </c>
      <c r="AG388" s="776">
        <v>0</v>
      </c>
      <c r="AH388" s="718">
        <v>0</v>
      </c>
      <c r="AI388" s="769">
        <v>0</v>
      </c>
    </row>
    <row r="389" spans="1:35" ht="12.75" customHeight="1" x14ac:dyDescent="0.2">
      <c r="A389" s="864" t="s">
        <v>393</v>
      </c>
      <c r="B389" s="718">
        <f>SUM(B390:B394)</f>
        <v>29</v>
      </c>
      <c r="C389" s="769">
        <f>SUM(C390:C395)</f>
        <v>4255.75</v>
      </c>
      <c r="D389" s="769">
        <f>SUM(D390:D394)</f>
        <v>4280</v>
      </c>
      <c r="E389" s="769"/>
      <c r="F389" s="769"/>
      <c r="G389" s="769"/>
      <c r="H389" s="769"/>
      <c r="I389" s="769"/>
      <c r="J389" s="769"/>
      <c r="K389" s="769">
        <f t="shared" si="200"/>
        <v>8535.75</v>
      </c>
      <c r="L389" s="769">
        <f>SUM(L390:L395)</f>
        <v>4000</v>
      </c>
      <c r="M389" s="769"/>
      <c r="N389" s="769">
        <f t="shared" si="201"/>
        <v>4000</v>
      </c>
      <c r="O389" s="781">
        <f t="shared" si="197"/>
        <v>106429</v>
      </c>
      <c r="P389" s="769">
        <f>SUM(P390:P395)</f>
        <v>704269.4</v>
      </c>
      <c r="Q389" s="775">
        <f>SUM(Q390:Q394)</f>
        <v>29</v>
      </c>
      <c r="R389" s="769">
        <f>SUM(R390:R395)</f>
        <v>4255.75</v>
      </c>
      <c r="S389" s="769">
        <f>SUM(S390:S394)</f>
        <v>4280</v>
      </c>
      <c r="T389" s="769"/>
      <c r="U389" s="769"/>
      <c r="V389" s="769"/>
      <c r="W389" s="769"/>
      <c r="X389" s="769"/>
      <c r="Y389" s="769"/>
      <c r="Z389" s="769">
        <f t="shared" si="198"/>
        <v>8535.75</v>
      </c>
      <c r="AA389" s="769">
        <f>SUM(AA390:AA395)</f>
        <v>4000</v>
      </c>
      <c r="AB389" s="769"/>
      <c r="AC389" s="769">
        <f t="shared" si="193"/>
        <v>4000</v>
      </c>
      <c r="AD389" s="781">
        <f t="shared" si="199"/>
        <v>106429</v>
      </c>
      <c r="AE389" s="769">
        <f>SUM(AE390:AE395)</f>
        <v>704269.4</v>
      </c>
      <c r="AF389" s="772">
        <f>SUM(AF390:AF395)</f>
        <v>0</v>
      </c>
      <c r="AG389" s="782">
        <f>SUM(AG390:AG395)</f>
        <v>638477.19999999995</v>
      </c>
      <c r="AH389" s="718">
        <v>29</v>
      </c>
      <c r="AI389" s="769">
        <f>SUM(AI390:AI395)</f>
        <v>704269.4</v>
      </c>
    </row>
    <row r="390" spans="1:35" ht="12.75" customHeight="1" x14ac:dyDescent="0.2">
      <c r="A390" s="715" t="s">
        <v>394</v>
      </c>
      <c r="B390" s="718">
        <v>0</v>
      </c>
      <c r="C390" s="778">
        <v>0</v>
      </c>
      <c r="D390" s="778">
        <v>0</v>
      </c>
      <c r="E390" s="769"/>
      <c r="F390" s="769"/>
      <c r="G390" s="769"/>
      <c r="H390" s="769"/>
      <c r="I390" s="769"/>
      <c r="J390" s="769"/>
      <c r="K390" s="769">
        <f t="shared" ref="K390:K395" si="205">SUM(C390:J390)</f>
        <v>0</v>
      </c>
      <c r="L390" s="769">
        <v>0</v>
      </c>
      <c r="M390" s="769"/>
      <c r="N390" s="769">
        <f t="shared" ref="N390:N395" si="206">SUM(L390:M390)</f>
        <v>0</v>
      </c>
      <c r="O390" s="769">
        <f t="shared" si="197"/>
        <v>0</v>
      </c>
      <c r="P390" s="769">
        <f t="shared" ref="P390:P395" si="207">SUM(B390*O390)</f>
        <v>0</v>
      </c>
      <c r="Q390" s="714">
        <v>0</v>
      </c>
      <c r="R390" s="778">
        <v>0</v>
      </c>
      <c r="S390" s="778">
        <v>0</v>
      </c>
      <c r="T390" s="769"/>
      <c r="U390" s="769"/>
      <c r="V390" s="769"/>
      <c r="W390" s="769"/>
      <c r="X390" s="769"/>
      <c r="Y390" s="769"/>
      <c r="Z390" s="769">
        <f t="shared" si="198"/>
        <v>0</v>
      </c>
      <c r="AA390" s="769">
        <v>0</v>
      </c>
      <c r="AB390" s="769"/>
      <c r="AC390" s="769">
        <f t="shared" si="193"/>
        <v>0</v>
      </c>
      <c r="AD390" s="769">
        <f t="shared" si="199"/>
        <v>0</v>
      </c>
      <c r="AE390" s="769">
        <f t="shared" ref="AE390:AE395" si="208">SUM(Q390*AD390)</f>
        <v>0</v>
      </c>
      <c r="AF390" s="769">
        <f t="shared" ref="AF390:AF395" si="209">SUM(P390-AE390)</f>
        <v>0</v>
      </c>
      <c r="AG390" s="776"/>
      <c r="AH390" s="718">
        <v>0</v>
      </c>
      <c r="AI390" s="769">
        <v>0</v>
      </c>
    </row>
    <row r="391" spans="1:35" ht="12.75" customHeight="1" x14ac:dyDescent="0.2">
      <c r="A391" s="715" t="s">
        <v>441</v>
      </c>
      <c r="B391" s="718">
        <v>2</v>
      </c>
      <c r="C391" s="777">
        <v>753.5</v>
      </c>
      <c r="D391" s="777">
        <v>1070</v>
      </c>
      <c r="E391" s="769"/>
      <c r="F391" s="769"/>
      <c r="G391" s="769"/>
      <c r="H391" s="769"/>
      <c r="I391" s="769"/>
      <c r="J391" s="769"/>
      <c r="K391" s="769">
        <f t="shared" si="205"/>
        <v>1823.5</v>
      </c>
      <c r="L391" s="769">
        <v>1000</v>
      </c>
      <c r="M391" s="769"/>
      <c r="N391" s="769">
        <f t="shared" si="206"/>
        <v>1000</v>
      </c>
      <c r="O391" s="769">
        <f t="shared" si="197"/>
        <v>22882</v>
      </c>
      <c r="P391" s="769">
        <f t="shared" si="207"/>
        <v>45764</v>
      </c>
      <c r="Q391" s="714">
        <v>2</v>
      </c>
      <c r="R391" s="777">
        <v>753.5</v>
      </c>
      <c r="S391" s="777">
        <v>1070</v>
      </c>
      <c r="T391" s="769"/>
      <c r="U391" s="769"/>
      <c r="V391" s="769"/>
      <c r="W391" s="769"/>
      <c r="X391" s="769"/>
      <c r="Y391" s="769"/>
      <c r="Z391" s="769">
        <f t="shared" si="198"/>
        <v>1823.5</v>
      </c>
      <c r="AA391" s="769">
        <v>1000</v>
      </c>
      <c r="AB391" s="769"/>
      <c r="AC391" s="769">
        <f t="shared" si="193"/>
        <v>1000</v>
      </c>
      <c r="AD391" s="769">
        <f t="shared" si="199"/>
        <v>22882</v>
      </c>
      <c r="AE391" s="769">
        <f t="shared" si="208"/>
        <v>45764</v>
      </c>
      <c r="AF391" s="769">
        <f t="shared" si="209"/>
        <v>0</v>
      </c>
      <c r="AG391" s="776">
        <v>56072</v>
      </c>
      <c r="AH391" s="718">
        <v>2</v>
      </c>
      <c r="AI391" s="769">
        <f>SUM(Q391*AD391)</f>
        <v>45764</v>
      </c>
    </row>
    <row r="392" spans="1:35" ht="12.75" customHeight="1" x14ac:dyDescent="0.2">
      <c r="A392" s="715" t="s">
        <v>442</v>
      </c>
      <c r="B392" s="718">
        <v>1</v>
      </c>
      <c r="C392" s="777">
        <v>789.19</v>
      </c>
      <c r="D392" s="777">
        <v>1070</v>
      </c>
      <c r="E392" s="769"/>
      <c r="F392" s="769"/>
      <c r="G392" s="769"/>
      <c r="H392" s="769"/>
      <c r="I392" s="769"/>
      <c r="J392" s="769"/>
      <c r="K392" s="769">
        <f t="shared" si="205"/>
        <v>1859.19</v>
      </c>
      <c r="L392" s="769">
        <v>1000</v>
      </c>
      <c r="M392" s="769"/>
      <c r="N392" s="769">
        <f t="shared" si="206"/>
        <v>1000</v>
      </c>
      <c r="O392" s="769">
        <f t="shared" si="197"/>
        <v>23310.28</v>
      </c>
      <c r="P392" s="769">
        <f t="shared" si="207"/>
        <v>23310.28</v>
      </c>
      <c r="Q392" s="714">
        <v>1</v>
      </c>
      <c r="R392" s="777">
        <v>789.19</v>
      </c>
      <c r="S392" s="777">
        <v>1070</v>
      </c>
      <c r="T392" s="769"/>
      <c r="U392" s="769"/>
      <c r="V392" s="769"/>
      <c r="W392" s="769"/>
      <c r="X392" s="769"/>
      <c r="Y392" s="769"/>
      <c r="Z392" s="769">
        <f t="shared" si="198"/>
        <v>1859.19</v>
      </c>
      <c r="AA392" s="769">
        <v>1000</v>
      </c>
      <c r="AB392" s="769"/>
      <c r="AC392" s="769">
        <f t="shared" si="193"/>
        <v>1000</v>
      </c>
      <c r="AD392" s="769">
        <f t="shared" si="199"/>
        <v>23310.28</v>
      </c>
      <c r="AE392" s="769">
        <f t="shared" si="208"/>
        <v>23310.28</v>
      </c>
      <c r="AF392" s="769">
        <f t="shared" si="209"/>
        <v>0</v>
      </c>
      <c r="AG392" s="776">
        <v>19391.080000000002</v>
      </c>
      <c r="AH392" s="718">
        <v>1</v>
      </c>
      <c r="AI392" s="769">
        <f>SUM(Q392*AD392)</f>
        <v>23310.28</v>
      </c>
    </row>
    <row r="393" spans="1:35" ht="12.75" customHeight="1" x14ac:dyDescent="0.2">
      <c r="A393" s="715" t="s">
        <v>443</v>
      </c>
      <c r="B393" s="718">
        <v>1</v>
      </c>
      <c r="C393" s="777">
        <v>1870.01</v>
      </c>
      <c r="D393" s="777">
        <v>1070</v>
      </c>
      <c r="E393" s="769"/>
      <c r="F393" s="769"/>
      <c r="G393" s="769"/>
      <c r="H393" s="769"/>
      <c r="I393" s="769"/>
      <c r="J393" s="769"/>
      <c r="K393" s="769">
        <f t="shared" si="205"/>
        <v>2940.01</v>
      </c>
      <c r="L393" s="769">
        <v>1000</v>
      </c>
      <c r="M393" s="769"/>
      <c r="N393" s="769">
        <f t="shared" si="206"/>
        <v>1000</v>
      </c>
      <c r="O393" s="769">
        <f t="shared" si="197"/>
        <v>36280.120000000003</v>
      </c>
      <c r="P393" s="769">
        <f t="shared" si="207"/>
        <v>36280.120000000003</v>
      </c>
      <c r="Q393" s="714">
        <v>1</v>
      </c>
      <c r="R393" s="777">
        <v>1870.01</v>
      </c>
      <c r="S393" s="777">
        <v>1070</v>
      </c>
      <c r="T393" s="769"/>
      <c r="U393" s="769"/>
      <c r="V393" s="769"/>
      <c r="W393" s="769"/>
      <c r="X393" s="769"/>
      <c r="Y393" s="769"/>
      <c r="Z393" s="769">
        <f t="shared" si="198"/>
        <v>2940.01</v>
      </c>
      <c r="AA393" s="769">
        <v>1000</v>
      </c>
      <c r="AB393" s="769"/>
      <c r="AC393" s="769">
        <f t="shared" si="193"/>
        <v>1000</v>
      </c>
      <c r="AD393" s="769">
        <f t="shared" si="199"/>
        <v>36280.120000000003</v>
      </c>
      <c r="AE393" s="769">
        <f t="shared" si="208"/>
        <v>36280.120000000003</v>
      </c>
      <c r="AF393" s="769">
        <f t="shared" si="209"/>
        <v>0</v>
      </c>
      <c r="AG393" s="776">
        <v>34138.120000000003</v>
      </c>
      <c r="AH393" s="718">
        <v>1</v>
      </c>
      <c r="AI393" s="769">
        <f>SUM(Q393*AD393)</f>
        <v>36280.120000000003</v>
      </c>
    </row>
    <row r="394" spans="1:35" ht="12.75" customHeight="1" x14ac:dyDescent="0.2">
      <c r="A394" s="715" t="s">
        <v>410</v>
      </c>
      <c r="B394" s="718">
        <v>25</v>
      </c>
      <c r="C394" s="777">
        <v>843.05</v>
      </c>
      <c r="D394" s="777">
        <v>1070</v>
      </c>
      <c r="E394" s="769"/>
      <c r="F394" s="769"/>
      <c r="G394" s="769"/>
      <c r="H394" s="769"/>
      <c r="I394" s="769"/>
      <c r="J394" s="769"/>
      <c r="K394" s="769">
        <f t="shared" si="205"/>
        <v>1913.05</v>
      </c>
      <c r="L394" s="769">
        <v>1000</v>
      </c>
      <c r="M394" s="769"/>
      <c r="N394" s="769">
        <f t="shared" si="206"/>
        <v>1000</v>
      </c>
      <c r="O394" s="769">
        <f t="shared" si="197"/>
        <v>23956.6</v>
      </c>
      <c r="P394" s="769">
        <f t="shared" si="207"/>
        <v>598915</v>
      </c>
      <c r="Q394" s="714">
        <v>25</v>
      </c>
      <c r="R394" s="777">
        <v>843.05</v>
      </c>
      <c r="S394" s="777">
        <v>1070</v>
      </c>
      <c r="T394" s="769"/>
      <c r="U394" s="769"/>
      <c r="V394" s="769"/>
      <c r="W394" s="769"/>
      <c r="X394" s="769"/>
      <c r="Y394" s="769"/>
      <c r="Z394" s="769">
        <f t="shared" si="198"/>
        <v>1913.05</v>
      </c>
      <c r="AA394" s="769">
        <v>1000</v>
      </c>
      <c r="AB394" s="769"/>
      <c r="AC394" s="769">
        <f t="shared" si="193"/>
        <v>1000</v>
      </c>
      <c r="AD394" s="769">
        <f t="shared" si="199"/>
        <v>23956.6</v>
      </c>
      <c r="AE394" s="769">
        <f t="shared" si="208"/>
        <v>598915</v>
      </c>
      <c r="AF394" s="769">
        <f t="shared" si="209"/>
        <v>0</v>
      </c>
      <c r="AG394" s="776">
        <v>528876</v>
      </c>
      <c r="AH394" s="718">
        <v>25</v>
      </c>
      <c r="AI394" s="769">
        <f>SUM(Q394*AD394)</f>
        <v>598915</v>
      </c>
    </row>
    <row r="395" spans="1:35" ht="12.75" customHeight="1" x14ac:dyDescent="0.2">
      <c r="A395" s="715"/>
      <c r="B395" s="718"/>
      <c r="C395" s="769"/>
      <c r="D395" s="769"/>
      <c r="E395" s="769"/>
      <c r="F395" s="769"/>
      <c r="G395" s="769"/>
      <c r="H395" s="769"/>
      <c r="I395" s="769"/>
      <c r="J395" s="769"/>
      <c r="K395" s="769">
        <f t="shared" si="205"/>
        <v>0</v>
      </c>
      <c r="L395" s="769"/>
      <c r="M395" s="769"/>
      <c r="N395" s="769">
        <f t="shared" si="206"/>
        <v>0</v>
      </c>
      <c r="O395" s="769">
        <f t="shared" si="197"/>
        <v>0</v>
      </c>
      <c r="P395" s="769">
        <f t="shared" si="207"/>
        <v>0</v>
      </c>
      <c r="Q395" s="714"/>
      <c r="R395" s="769"/>
      <c r="S395" s="769"/>
      <c r="T395" s="769"/>
      <c r="U395" s="769"/>
      <c r="V395" s="769"/>
      <c r="W395" s="769"/>
      <c r="X395" s="769"/>
      <c r="Y395" s="769"/>
      <c r="Z395" s="769">
        <f t="shared" si="198"/>
        <v>0</v>
      </c>
      <c r="AA395" s="769"/>
      <c r="AB395" s="769"/>
      <c r="AC395" s="769">
        <f t="shared" si="193"/>
        <v>0</v>
      </c>
      <c r="AD395" s="769">
        <f t="shared" si="199"/>
        <v>0</v>
      </c>
      <c r="AE395" s="769">
        <f t="shared" si="208"/>
        <v>0</v>
      </c>
      <c r="AF395" s="769">
        <f t="shared" si="209"/>
        <v>0</v>
      </c>
      <c r="AG395" s="776">
        <v>0</v>
      </c>
      <c r="AH395" s="718"/>
      <c r="AI395" s="769">
        <v>0</v>
      </c>
    </row>
    <row r="396" spans="1:35" ht="21" customHeight="1" x14ac:dyDescent="0.2">
      <c r="A396" s="861" t="s">
        <v>742</v>
      </c>
      <c r="B396" s="779">
        <f>SUM(B389+B381+B373+B364)</f>
        <v>109</v>
      </c>
      <c r="C396" s="769">
        <f>SUM(C364+C373+C381+C389)</f>
        <v>30706.82</v>
      </c>
      <c r="D396" s="769">
        <f>SUM(D364+D373+D381+D389)</f>
        <v>19021</v>
      </c>
      <c r="E396" s="769"/>
      <c r="F396" s="769"/>
      <c r="G396" s="769"/>
      <c r="H396" s="769"/>
      <c r="I396" s="769"/>
      <c r="J396" s="769"/>
      <c r="K396" s="769">
        <f>SUM(K364+K373+K381+K389)</f>
        <v>49727.82</v>
      </c>
      <c r="L396" s="769">
        <f>SUM(L364+L373+L381+L389)</f>
        <v>15000</v>
      </c>
      <c r="M396" s="769"/>
      <c r="N396" s="769">
        <f>SUM(N364+N373+N381+N389)</f>
        <v>15000</v>
      </c>
      <c r="O396" s="769">
        <f>SUM(O364+O373+O381+O389)</f>
        <v>611733.84000000008</v>
      </c>
      <c r="P396" s="769">
        <f>SUM(P364+P373+P381+P389)</f>
        <v>3771970.72</v>
      </c>
      <c r="Q396" s="780">
        <f>SUM(Q389+Q381+Q373+Q364)</f>
        <v>109</v>
      </c>
      <c r="R396" s="769">
        <f>SUM(R364+R373+R381+R389)</f>
        <v>30706.82</v>
      </c>
      <c r="S396" s="769">
        <f>SUM(S364+S373+S381+S389)</f>
        <v>19021</v>
      </c>
      <c r="T396" s="769"/>
      <c r="U396" s="769"/>
      <c r="V396" s="769"/>
      <c r="W396" s="769"/>
      <c r="X396" s="769"/>
      <c r="Y396" s="769"/>
      <c r="Z396" s="769">
        <f>SUM(Z364+Z373+Z381+Z389)</f>
        <v>49727.82</v>
      </c>
      <c r="AA396" s="769">
        <f>SUM(AA364+AA373+AA381+AA389)</f>
        <v>15000</v>
      </c>
      <c r="AB396" s="769"/>
      <c r="AC396" s="769">
        <f>SUM(AC364+AC373+AC381+AC389)</f>
        <v>15000</v>
      </c>
      <c r="AD396" s="769">
        <f>SUM(AD364+AD373+AD381+AD389)</f>
        <v>611733.84000000008</v>
      </c>
      <c r="AE396" s="769">
        <f>SUM(AE364+AE373+AE381+AE389)</f>
        <v>3771970.72</v>
      </c>
      <c r="AF396" s="769">
        <f>SUM(AF364+AF373+AF381+AF389)</f>
        <v>0</v>
      </c>
      <c r="AG396" s="776">
        <f>SUM(AG364+AG373+AG381+AG389)</f>
        <v>2939588.2240000004</v>
      </c>
      <c r="AH396" s="779">
        <f>SUM(AH389+AH381+AH373+AH364)</f>
        <v>109</v>
      </c>
      <c r="AI396" s="769">
        <f>SUM(AE364+AE373+AE381+AE389)</f>
        <v>3771970.72</v>
      </c>
    </row>
    <row r="397" spans="1:35" ht="12.75" customHeight="1" x14ac:dyDescent="0.2">
      <c r="A397" s="863"/>
      <c r="B397" s="718"/>
      <c r="C397" s="769"/>
      <c r="D397" s="769"/>
      <c r="E397" s="769"/>
      <c r="F397" s="769"/>
      <c r="G397" s="769"/>
      <c r="H397" s="769"/>
      <c r="I397" s="769"/>
      <c r="J397" s="769"/>
      <c r="K397" s="769"/>
      <c r="L397" s="769"/>
      <c r="M397" s="769"/>
      <c r="N397" s="769"/>
      <c r="O397" s="769"/>
      <c r="P397" s="769"/>
      <c r="Q397" s="775"/>
      <c r="R397" s="769"/>
      <c r="S397" s="769"/>
      <c r="T397" s="769"/>
      <c r="U397" s="769"/>
      <c r="V397" s="769"/>
      <c r="W397" s="769"/>
      <c r="X397" s="769"/>
      <c r="Y397" s="769"/>
      <c r="Z397" s="769"/>
      <c r="AA397" s="769"/>
      <c r="AB397" s="769"/>
      <c r="AC397" s="769"/>
      <c r="AD397" s="769"/>
      <c r="AE397" s="769"/>
      <c r="AF397" s="769"/>
      <c r="AG397" s="776"/>
      <c r="AH397" s="718"/>
      <c r="AI397" s="769"/>
    </row>
    <row r="398" spans="1:35" ht="21.75" customHeight="1" x14ac:dyDescent="0.2">
      <c r="A398" s="861" t="s">
        <v>743</v>
      </c>
      <c r="B398" s="718">
        <f t="shared" ref="B398:P398" si="210">SUM(B399:B416)</f>
        <v>16</v>
      </c>
      <c r="C398" s="769">
        <f t="shared" si="210"/>
        <v>23759.439999999999</v>
      </c>
      <c r="D398" s="769">
        <f t="shared" si="210"/>
        <v>0</v>
      </c>
      <c r="E398" s="769">
        <f t="shared" si="210"/>
        <v>0</v>
      </c>
      <c r="F398" s="769">
        <f t="shared" si="210"/>
        <v>0</v>
      </c>
      <c r="G398" s="769">
        <f t="shared" si="210"/>
        <v>0</v>
      </c>
      <c r="H398" s="769">
        <f t="shared" si="210"/>
        <v>0</v>
      </c>
      <c r="I398" s="769">
        <f t="shared" si="210"/>
        <v>0</v>
      </c>
      <c r="J398" s="769">
        <f t="shared" si="210"/>
        <v>0</v>
      </c>
      <c r="K398" s="769">
        <f t="shared" si="210"/>
        <v>23759.439999999999</v>
      </c>
      <c r="L398" s="769">
        <f t="shared" si="210"/>
        <v>4000</v>
      </c>
      <c r="M398" s="769">
        <f t="shared" si="210"/>
        <v>0</v>
      </c>
      <c r="N398" s="769">
        <f t="shared" si="210"/>
        <v>4000</v>
      </c>
      <c r="O398" s="769">
        <f t="shared" si="210"/>
        <v>289113.28000000003</v>
      </c>
      <c r="P398" s="769">
        <f t="shared" si="210"/>
        <v>1126106.56</v>
      </c>
      <c r="Q398" s="714">
        <f t="shared" ref="Q398:AF398" si="211">SUM(Q399:Q416)</f>
        <v>16</v>
      </c>
      <c r="R398" s="769">
        <f t="shared" si="211"/>
        <v>23759.439999999999</v>
      </c>
      <c r="S398" s="769">
        <f t="shared" si="211"/>
        <v>0</v>
      </c>
      <c r="T398" s="769">
        <f t="shared" si="211"/>
        <v>0</v>
      </c>
      <c r="U398" s="769">
        <f t="shared" si="211"/>
        <v>0</v>
      </c>
      <c r="V398" s="769">
        <f t="shared" si="211"/>
        <v>0</v>
      </c>
      <c r="W398" s="769">
        <f t="shared" si="211"/>
        <v>0</v>
      </c>
      <c r="X398" s="769">
        <f t="shared" si="211"/>
        <v>0</v>
      </c>
      <c r="Y398" s="769">
        <f t="shared" si="211"/>
        <v>0</v>
      </c>
      <c r="Z398" s="769">
        <f t="shared" si="211"/>
        <v>23759.439999999999</v>
      </c>
      <c r="AA398" s="769">
        <f t="shared" si="211"/>
        <v>4000</v>
      </c>
      <c r="AB398" s="769">
        <f t="shared" si="211"/>
        <v>0</v>
      </c>
      <c r="AC398" s="769">
        <f t="shared" si="211"/>
        <v>4000</v>
      </c>
      <c r="AD398" s="769">
        <f t="shared" si="211"/>
        <v>289113.28000000003</v>
      </c>
      <c r="AE398" s="769">
        <f t="shared" si="211"/>
        <v>1126106.56</v>
      </c>
      <c r="AF398" s="769">
        <f t="shared" si="211"/>
        <v>0</v>
      </c>
      <c r="AG398" s="776">
        <f>SUM(AG399:AG414)</f>
        <v>1234839.9200000002</v>
      </c>
      <c r="AH398" s="718">
        <v>16</v>
      </c>
      <c r="AI398" s="769">
        <f>SUM(AE399:AE416)</f>
        <v>1126106.56</v>
      </c>
    </row>
    <row r="399" spans="1:35" ht="12.75" customHeight="1" x14ac:dyDescent="0.2">
      <c r="A399" s="863" t="s">
        <v>744</v>
      </c>
      <c r="B399" s="718"/>
      <c r="C399" s="769"/>
      <c r="D399" s="769"/>
      <c r="E399" s="769"/>
      <c r="F399" s="769"/>
      <c r="G399" s="769"/>
      <c r="H399" s="769"/>
      <c r="I399" s="769"/>
      <c r="J399" s="769"/>
      <c r="K399" s="769"/>
      <c r="L399" s="769"/>
      <c r="M399" s="769"/>
      <c r="N399" s="769"/>
      <c r="O399" s="769"/>
      <c r="P399" s="769"/>
      <c r="Q399" s="714"/>
      <c r="R399" s="769"/>
      <c r="S399" s="769"/>
      <c r="T399" s="769"/>
      <c r="U399" s="769"/>
      <c r="V399" s="769"/>
      <c r="W399" s="769"/>
      <c r="X399" s="769"/>
      <c r="Y399" s="769"/>
      <c r="Z399" s="769"/>
      <c r="AA399" s="769"/>
      <c r="AB399" s="769"/>
      <c r="AC399" s="769"/>
      <c r="AD399" s="769"/>
      <c r="AE399" s="769"/>
      <c r="AF399" s="769"/>
      <c r="AG399" s="782"/>
      <c r="AH399" s="718"/>
      <c r="AI399" s="769"/>
    </row>
    <row r="400" spans="1:35" ht="12.75" customHeight="1" x14ac:dyDescent="0.2">
      <c r="A400" s="863" t="s">
        <v>745</v>
      </c>
      <c r="B400" s="718"/>
      <c r="C400" s="769"/>
      <c r="D400" s="769"/>
      <c r="E400" s="769"/>
      <c r="F400" s="769"/>
      <c r="G400" s="769"/>
      <c r="H400" s="769"/>
      <c r="I400" s="769"/>
      <c r="J400" s="769"/>
      <c r="K400" s="769">
        <f>SUM(C400:J400)</f>
        <v>0</v>
      </c>
      <c r="L400" s="769"/>
      <c r="M400" s="769"/>
      <c r="N400" s="769">
        <f t="shared" ref="N400:N412" si="212">SUM(L400:M400)</f>
        <v>0</v>
      </c>
      <c r="O400" s="769">
        <f>SUM(K400*12+N400)</f>
        <v>0</v>
      </c>
      <c r="P400" s="769">
        <f t="shared" ref="P400:P412" si="213">SUM(B400*O400)</f>
        <v>0</v>
      </c>
      <c r="Q400" s="714"/>
      <c r="R400" s="769"/>
      <c r="S400" s="769"/>
      <c r="T400" s="769"/>
      <c r="U400" s="769"/>
      <c r="V400" s="769"/>
      <c r="W400" s="769"/>
      <c r="X400" s="769"/>
      <c r="Y400" s="769"/>
      <c r="Z400" s="769">
        <f>SUM(R400:Y400)</f>
        <v>0</v>
      </c>
      <c r="AA400" s="769"/>
      <c r="AB400" s="769"/>
      <c r="AC400" s="769">
        <f t="shared" ref="AC400:AC401" si="214">SUM(AA400:AB400)</f>
        <v>0</v>
      </c>
      <c r="AD400" s="769">
        <f>SUM(Z400*12+AC400)</f>
        <v>0</v>
      </c>
      <c r="AE400" s="769">
        <f t="shared" ref="AE400:AE401" si="215">SUM(Q400*AD400)</f>
        <v>0</v>
      </c>
      <c r="AF400" s="769">
        <f>SUM(P400-AE400)</f>
        <v>0</v>
      </c>
      <c r="AG400" s="782">
        <v>0</v>
      </c>
      <c r="AH400" s="718"/>
      <c r="AI400" s="769">
        <v>0</v>
      </c>
    </row>
    <row r="401" spans="1:35" ht="12.75" customHeight="1" x14ac:dyDescent="0.2">
      <c r="A401" s="863" t="s">
        <v>746</v>
      </c>
      <c r="B401" s="718"/>
      <c r="C401" s="769"/>
      <c r="D401" s="769"/>
      <c r="E401" s="769"/>
      <c r="F401" s="769"/>
      <c r="G401" s="769"/>
      <c r="H401" s="769"/>
      <c r="I401" s="769"/>
      <c r="J401" s="769"/>
      <c r="K401" s="769">
        <f>SUM(C401:J401)</f>
        <v>0</v>
      </c>
      <c r="L401" s="769"/>
      <c r="M401" s="769"/>
      <c r="N401" s="769">
        <f t="shared" si="212"/>
        <v>0</v>
      </c>
      <c r="O401" s="769">
        <f>SUM(K401*12+N401)</f>
        <v>0</v>
      </c>
      <c r="P401" s="769">
        <f t="shared" si="213"/>
        <v>0</v>
      </c>
      <c r="Q401" s="714"/>
      <c r="R401" s="769"/>
      <c r="S401" s="769"/>
      <c r="T401" s="769"/>
      <c r="U401" s="769"/>
      <c r="V401" s="769"/>
      <c r="W401" s="769"/>
      <c r="X401" s="769"/>
      <c r="Y401" s="769"/>
      <c r="Z401" s="769">
        <f>SUM(R401:Y401)</f>
        <v>0</v>
      </c>
      <c r="AA401" s="769"/>
      <c r="AB401" s="769"/>
      <c r="AC401" s="769">
        <f t="shared" si="214"/>
        <v>0</v>
      </c>
      <c r="AD401" s="769">
        <f>SUM(Z401*12+AC401)</f>
        <v>0</v>
      </c>
      <c r="AE401" s="769">
        <f t="shared" si="215"/>
        <v>0</v>
      </c>
      <c r="AF401" s="769">
        <f>SUM(P401-AE401)</f>
        <v>0</v>
      </c>
      <c r="AG401" s="782">
        <v>0</v>
      </c>
      <c r="AH401" s="718"/>
      <c r="AI401" s="769">
        <v>0</v>
      </c>
    </row>
    <row r="402" spans="1:35" ht="12.75" customHeight="1" x14ac:dyDescent="0.2">
      <c r="A402" s="863" t="s">
        <v>747</v>
      </c>
      <c r="B402" s="718"/>
      <c r="C402" s="769"/>
      <c r="D402" s="769"/>
      <c r="E402" s="769"/>
      <c r="F402" s="769"/>
      <c r="G402" s="769"/>
      <c r="H402" s="769"/>
      <c r="I402" s="769"/>
      <c r="J402" s="769"/>
      <c r="K402" s="769"/>
      <c r="L402" s="769"/>
      <c r="M402" s="769"/>
      <c r="N402" s="769"/>
      <c r="O402" s="769"/>
      <c r="P402" s="769"/>
      <c r="Q402" s="714"/>
      <c r="R402" s="769"/>
      <c r="S402" s="769"/>
      <c r="T402" s="769"/>
      <c r="U402" s="769"/>
      <c r="V402" s="769"/>
      <c r="W402" s="769"/>
      <c r="X402" s="769"/>
      <c r="Y402" s="769"/>
      <c r="Z402" s="769"/>
      <c r="AA402" s="769"/>
      <c r="AB402" s="769"/>
      <c r="AC402" s="769"/>
      <c r="AD402" s="769"/>
      <c r="AE402" s="769"/>
      <c r="AF402" s="769"/>
      <c r="AG402" s="782"/>
      <c r="AH402" s="718"/>
      <c r="AI402" s="769"/>
    </row>
    <row r="403" spans="1:35" ht="12.75" customHeight="1" x14ac:dyDescent="0.2">
      <c r="A403" s="863" t="s">
        <v>748</v>
      </c>
      <c r="B403" s="718"/>
      <c r="C403" s="769"/>
      <c r="D403" s="769"/>
      <c r="E403" s="769"/>
      <c r="F403" s="769"/>
      <c r="G403" s="769"/>
      <c r="H403" s="769"/>
      <c r="I403" s="769"/>
      <c r="J403" s="769"/>
      <c r="K403" s="769">
        <f>SUM(C403:J403)</f>
        <v>0</v>
      </c>
      <c r="L403" s="769">
        <v>0</v>
      </c>
      <c r="M403" s="769"/>
      <c r="N403" s="769">
        <f t="shared" si="212"/>
        <v>0</v>
      </c>
      <c r="O403" s="769">
        <f>SUM(K403*12+N403)</f>
        <v>0</v>
      </c>
      <c r="P403" s="769">
        <f t="shared" si="213"/>
        <v>0</v>
      </c>
      <c r="Q403" s="714"/>
      <c r="R403" s="769"/>
      <c r="S403" s="769"/>
      <c r="T403" s="769"/>
      <c r="U403" s="769"/>
      <c r="V403" s="769"/>
      <c r="W403" s="769"/>
      <c r="X403" s="769"/>
      <c r="Y403" s="769"/>
      <c r="Z403" s="769">
        <f>SUM(R403:Y403)</f>
        <v>0</v>
      </c>
      <c r="AA403" s="769">
        <v>0</v>
      </c>
      <c r="AB403" s="769"/>
      <c r="AC403" s="769">
        <f t="shared" ref="AC403" si="216">SUM(AA403:AB403)</f>
        <v>0</v>
      </c>
      <c r="AD403" s="769">
        <f>SUM(Z403*12+AC403)</f>
        <v>0</v>
      </c>
      <c r="AE403" s="769">
        <f t="shared" ref="AE403" si="217">SUM(Q403*AD403)</f>
        <v>0</v>
      </c>
      <c r="AF403" s="769">
        <f>SUM(P403-AE403)</f>
        <v>0</v>
      </c>
      <c r="AG403" s="782">
        <v>0</v>
      </c>
      <c r="AH403" s="718"/>
      <c r="AI403" s="769">
        <v>0</v>
      </c>
    </row>
    <row r="404" spans="1:35" ht="12.75" customHeight="1" x14ac:dyDescent="0.2">
      <c r="A404" s="863" t="s">
        <v>749</v>
      </c>
      <c r="B404" s="718"/>
      <c r="C404" s="769"/>
      <c r="D404" s="769"/>
      <c r="E404" s="769"/>
      <c r="F404" s="769"/>
      <c r="G404" s="769"/>
      <c r="H404" s="769"/>
      <c r="I404" s="769"/>
      <c r="J404" s="769"/>
      <c r="K404" s="769"/>
      <c r="L404" s="769"/>
      <c r="M404" s="769"/>
      <c r="N404" s="769"/>
      <c r="O404" s="769"/>
      <c r="P404" s="769"/>
      <c r="Q404" s="714"/>
      <c r="R404" s="769"/>
      <c r="S404" s="769"/>
      <c r="T404" s="769"/>
      <c r="U404" s="769"/>
      <c r="V404" s="769"/>
      <c r="W404" s="769"/>
      <c r="X404" s="769"/>
      <c r="Y404" s="769"/>
      <c r="Z404" s="769"/>
      <c r="AA404" s="769"/>
      <c r="AB404" s="769"/>
      <c r="AC404" s="769"/>
      <c r="AD404" s="769"/>
      <c r="AE404" s="769"/>
      <c r="AF404" s="769"/>
      <c r="AG404" s="782"/>
      <c r="AH404" s="718"/>
      <c r="AI404" s="769"/>
    </row>
    <row r="405" spans="1:35" ht="12.75" customHeight="1" x14ac:dyDescent="0.2">
      <c r="A405" s="863" t="s">
        <v>750</v>
      </c>
      <c r="B405" s="718">
        <v>1</v>
      </c>
      <c r="C405" s="769">
        <v>7100.7</v>
      </c>
      <c r="D405" s="769"/>
      <c r="E405" s="769"/>
      <c r="F405" s="769"/>
      <c r="G405" s="769"/>
      <c r="H405" s="769"/>
      <c r="I405" s="769"/>
      <c r="J405" s="769"/>
      <c r="K405" s="769">
        <f>SUM(C405:J405)</f>
        <v>7100.7</v>
      </c>
      <c r="L405" s="769">
        <v>1000</v>
      </c>
      <c r="M405" s="769"/>
      <c r="N405" s="769">
        <f>SUM(L405:M405)</f>
        <v>1000</v>
      </c>
      <c r="O405" s="769">
        <f>SUM(K405*12+N405)</f>
        <v>86208.4</v>
      </c>
      <c r="P405" s="769">
        <f>SUM(B405*O405)</f>
        <v>86208.4</v>
      </c>
      <c r="Q405" s="714">
        <v>1</v>
      </c>
      <c r="R405" s="769">
        <v>7100.7</v>
      </c>
      <c r="S405" s="769"/>
      <c r="T405" s="769"/>
      <c r="U405" s="769"/>
      <c r="V405" s="769"/>
      <c r="W405" s="769"/>
      <c r="X405" s="769"/>
      <c r="Y405" s="769"/>
      <c r="Z405" s="769">
        <f>SUM(R405:Y405)</f>
        <v>7100.7</v>
      </c>
      <c r="AA405" s="769">
        <v>1000</v>
      </c>
      <c r="AB405" s="769"/>
      <c r="AC405" s="769">
        <f>SUM(AA405:AB405)</f>
        <v>1000</v>
      </c>
      <c r="AD405" s="769">
        <f>SUM(Z405*12+AC405)</f>
        <v>86208.4</v>
      </c>
      <c r="AE405" s="769">
        <f>SUM(Q405*AD405)</f>
        <v>86208.4</v>
      </c>
      <c r="AF405" s="769">
        <f>SUM(P405-AE405)</f>
        <v>0</v>
      </c>
      <c r="AG405" s="782">
        <v>86208.4</v>
      </c>
      <c r="AH405" s="718">
        <v>1</v>
      </c>
      <c r="AI405" s="769">
        <f>SUM(Q405*AD405)</f>
        <v>86208.4</v>
      </c>
    </row>
    <row r="406" spans="1:35" ht="12.75" customHeight="1" x14ac:dyDescent="0.2">
      <c r="A406" s="863" t="s">
        <v>751</v>
      </c>
      <c r="B406" s="718"/>
      <c r="C406" s="769"/>
      <c r="D406" s="769"/>
      <c r="E406" s="769"/>
      <c r="F406" s="769"/>
      <c r="G406" s="769"/>
      <c r="H406" s="769"/>
      <c r="I406" s="769"/>
      <c r="J406" s="769"/>
      <c r="K406" s="769">
        <f>SUM(C406:J406)</f>
        <v>0</v>
      </c>
      <c r="L406" s="769"/>
      <c r="M406" s="769"/>
      <c r="N406" s="769">
        <f t="shared" si="212"/>
        <v>0</v>
      </c>
      <c r="O406" s="769">
        <f>SUM(K406*12+N406)</f>
        <v>0</v>
      </c>
      <c r="P406" s="769">
        <f t="shared" si="213"/>
        <v>0</v>
      </c>
      <c r="Q406" s="714"/>
      <c r="R406" s="769"/>
      <c r="S406" s="769"/>
      <c r="T406" s="769"/>
      <c r="U406" s="769"/>
      <c r="V406" s="769"/>
      <c r="W406" s="769"/>
      <c r="X406" s="769"/>
      <c r="Y406" s="769"/>
      <c r="Z406" s="769">
        <f>SUM(R406:Y406)</f>
        <v>0</v>
      </c>
      <c r="AA406" s="769"/>
      <c r="AB406" s="769"/>
      <c r="AC406" s="769">
        <f t="shared" ref="AC406" si="218">SUM(AA406:AB406)</f>
        <v>0</v>
      </c>
      <c r="AD406" s="769">
        <f>SUM(Z406*12+AC406)</f>
        <v>0</v>
      </c>
      <c r="AE406" s="769">
        <f t="shared" ref="AE406" si="219">SUM(Q406*AD406)</f>
        <v>0</v>
      </c>
      <c r="AF406" s="769">
        <f>SUM(P406-AE406)</f>
        <v>0</v>
      </c>
      <c r="AG406" s="782">
        <v>0</v>
      </c>
      <c r="AH406" s="718"/>
      <c r="AI406" s="769">
        <v>0</v>
      </c>
    </row>
    <row r="407" spans="1:35" ht="12.75" customHeight="1" x14ac:dyDescent="0.2">
      <c r="A407" s="863" t="s">
        <v>752</v>
      </c>
      <c r="B407" s="718"/>
      <c r="C407" s="769"/>
      <c r="D407" s="769"/>
      <c r="E407" s="769"/>
      <c r="F407" s="769"/>
      <c r="G407" s="769"/>
      <c r="H407" s="769"/>
      <c r="I407" s="769"/>
      <c r="J407" s="769"/>
      <c r="K407" s="769"/>
      <c r="L407" s="769"/>
      <c r="M407" s="769"/>
      <c r="N407" s="769"/>
      <c r="O407" s="769"/>
      <c r="P407" s="769"/>
      <c r="Q407" s="714"/>
      <c r="R407" s="769"/>
      <c r="S407" s="769"/>
      <c r="T407" s="769"/>
      <c r="U407" s="769"/>
      <c r="V407" s="769"/>
      <c r="W407" s="769"/>
      <c r="X407" s="769"/>
      <c r="Y407" s="769"/>
      <c r="Z407" s="769"/>
      <c r="AA407" s="769"/>
      <c r="AB407" s="769"/>
      <c r="AC407" s="769"/>
      <c r="AD407" s="769"/>
      <c r="AE407" s="769"/>
      <c r="AF407" s="769"/>
      <c r="AG407" s="782"/>
      <c r="AH407" s="718"/>
      <c r="AI407" s="769"/>
    </row>
    <row r="408" spans="1:35" ht="12.75" customHeight="1" x14ac:dyDescent="0.2">
      <c r="A408" s="863" t="s">
        <v>753</v>
      </c>
      <c r="B408" s="718">
        <v>7</v>
      </c>
      <c r="C408" s="769">
        <v>6257.74</v>
      </c>
      <c r="D408" s="769"/>
      <c r="E408" s="769"/>
      <c r="F408" s="769"/>
      <c r="G408" s="769"/>
      <c r="H408" s="769"/>
      <c r="I408" s="769"/>
      <c r="J408" s="769"/>
      <c r="K408" s="769">
        <f>SUM(C408:J408)</f>
        <v>6257.74</v>
      </c>
      <c r="L408" s="769">
        <v>1000</v>
      </c>
      <c r="M408" s="769"/>
      <c r="N408" s="769">
        <v>1000</v>
      </c>
      <c r="O408" s="769">
        <f>SUM(K408*12+N408)</f>
        <v>76092.88</v>
      </c>
      <c r="P408" s="769">
        <f>SUM(B408*O408)</f>
        <v>532650.16</v>
      </c>
      <c r="Q408" s="714">
        <v>7</v>
      </c>
      <c r="R408" s="769">
        <v>6257.74</v>
      </c>
      <c r="S408" s="769"/>
      <c r="T408" s="769"/>
      <c r="U408" s="769"/>
      <c r="V408" s="769"/>
      <c r="W408" s="769"/>
      <c r="X408" s="769"/>
      <c r="Y408" s="769"/>
      <c r="Z408" s="769">
        <f>SUM(R408:Y408)</f>
        <v>6257.74</v>
      </c>
      <c r="AA408" s="769">
        <v>1000</v>
      </c>
      <c r="AB408" s="769"/>
      <c r="AC408" s="769">
        <v>1000</v>
      </c>
      <c r="AD408" s="769">
        <f>SUM(Z408*12+AC408)</f>
        <v>76092.88</v>
      </c>
      <c r="AE408" s="769">
        <f>SUM(Q408*AD408)</f>
        <v>532650.16</v>
      </c>
      <c r="AF408" s="769">
        <f>SUM(P408-AE408)</f>
        <v>0</v>
      </c>
      <c r="AG408" s="782">
        <v>608743.04</v>
      </c>
      <c r="AH408" s="718">
        <v>7</v>
      </c>
      <c r="AI408" s="769">
        <f>SUM(Q408*AD408)</f>
        <v>532650.16</v>
      </c>
    </row>
    <row r="409" spans="1:35" ht="12.75" customHeight="1" x14ac:dyDescent="0.2">
      <c r="A409" s="863" t="s">
        <v>754</v>
      </c>
      <c r="B409" s="718"/>
      <c r="C409" s="769"/>
      <c r="D409" s="769"/>
      <c r="E409" s="769"/>
      <c r="F409" s="769"/>
      <c r="G409" s="769"/>
      <c r="H409" s="769"/>
      <c r="I409" s="769"/>
      <c r="J409" s="769"/>
      <c r="K409" s="769"/>
      <c r="L409" s="769"/>
      <c r="M409" s="769"/>
      <c r="N409" s="769"/>
      <c r="O409" s="769"/>
      <c r="P409" s="769"/>
      <c r="Q409" s="714"/>
      <c r="R409" s="769"/>
      <c r="S409" s="769"/>
      <c r="T409" s="769"/>
      <c r="U409" s="769"/>
      <c r="V409" s="769"/>
      <c r="W409" s="769"/>
      <c r="X409" s="769"/>
      <c r="Y409" s="769"/>
      <c r="Z409" s="769"/>
      <c r="AA409" s="769"/>
      <c r="AB409" s="769"/>
      <c r="AC409" s="769"/>
      <c r="AD409" s="769"/>
      <c r="AE409" s="769"/>
      <c r="AF409" s="769"/>
      <c r="AG409" s="782"/>
      <c r="AH409" s="718"/>
      <c r="AI409" s="769"/>
    </row>
    <row r="410" spans="1:35" ht="12.75" customHeight="1" x14ac:dyDescent="0.2">
      <c r="A410" s="863" t="s">
        <v>755</v>
      </c>
      <c r="B410" s="718">
        <v>0</v>
      </c>
      <c r="C410" s="769">
        <v>0</v>
      </c>
      <c r="D410" s="769"/>
      <c r="E410" s="769"/>
      <c r="F410" s="769"/>
      <c r="G410" s="769"/>
      <c r="H410" s="769"/>
      <c r="I410" s="769"/>
      <c r="J410" s="769"/>
      <c r="K410" s="769">
        <f>SUM(C410:J410)</f>
        <v>0</v>
      </c>
      <c r="L410" s="769">
        <v>0</v>
      </c>
      <c r="M410" s="769"/>
      <c r="N410" s="769">
        <f t="shared" si="212"/>
        <v>0</v>
      </c>
      <c r="O410" s="769">
        <f>SUM(K410*12+N410)</f>
        <v>0</v>
      </c>
      <c r="P410" s="769">
        <f t="shared" si="213"/>
        <v>0</v>
      </c>
      <c r="Q410" s="714">
        <v>0</v>
      </c>
      <c r="R410" s="769">
        <v>0</v>
      </c>
      <c r="S410" s="769"/>
      <c r="T410" s="769"/>
      <c r="U410" s="769"/>
      <c r="V410" s="769"/>
      <c r="W410" s="769"/>
      <c r="X410" s="769"/>
      <c r="Y410" s="769"/>
      <c r="Z410" s="769">
        <f>SUM(R410:Y410)</f>
        <v>0</v>
      </c>
      <c r="AA410" s="769">
        <v>0</v>
      </c>
      <c r="AB410" s="769"/>
      <c r="AC410" s="769">
        <f t="shared" ref="AC410" si="220">SUM(AA410:AB410)</f>
        <v>0</v>
      </c>
      <c r="AD410" s="769">
        <f>SUM(Z410*12+AC410)</f>
        <v>0</v>
      </c>
      <c r="AE410" s="769">
        <f t="shared" ref="AE410" si="221">SUM(Q410*AD410)</f>
        <v>0</v>
      </c>
      <c r="AF410" s="769">
        <f>SUM(P410-AE410)</f>
        <v>0</v>
      </c>
      <c r="AG410" s="782">
        <v>0</v>
      </c>
      <c r="AH410" s="718">
        <v>0</v>
      </c>
      <c r="AI410" s="769">
        <v>0</v>
      </c>
    </row>
    <row r="411" spans="1:35" ht="12.75" customHeight="1" x14ac:dyDescent="0.2">
      <c r="A411" s="863" t="s">
        <v>756</v>
      </c>
      <c r="B411" s="718">
        <v>4</v>
      </c>
      <c r="C411" s="769">
        <v>5360.52</v>
      </c>
      <c r="D411" s="769"/>
      <c r="E411" s="769"/>
      <c r="F411" s="769"/>
      <c r="G411" s="769"/>
      <c r="H411" s="769"/>
      <c r="I411" s="769"/>
      <c r="J411" s="769"/>
      <c r="K411" s="769">
        <f>SUM(C411:J411)</f>
        <v>5360.52</v>
      </c>
      <c r="L411" s="769">
        <v>1000</v>
      </c>
      <c r="M411" s="769"/>
      <c r="N411" s="769">
        <f>SUM(L411:M411)</f>
        <v>1000</v>
      </c>
      <c r="O411" s="769">
        <f>SUM(K411*12+N411)</f>
        <v>65326.240000000005</v>
      </c>
      <c r="P411" s="769">
        <f>SUM(B411*O411)</f>
        <v>261304.96000000002</v>
      </c>
      <c r="Q411" s="714">
        <v>4</v>
      </c>
      <c r="R411" s="769">
        <v>5360.52</v>
      </c>
      <c r="S411" s="769"/>
      <c r="T411" s="769"/>
      <c r="U411" s="769"/>
      <c r="V411" s="769"/>
      <c r="W411" s="769"/>
      <c r="X411" s="769"/>
      <c r="Y411" s="769"/>
      <c r="Z411" s="769">
        <f>SUM(R411:Y411)</f>
        <v>5360.52</v>
      </c>
      <c r="AA411" s="769">
        <v>1000</v>
      </c>
      <c r="AB411" s="769"/>
      <c r="AC411" s="769">
        <f>SUM(AA411:AB411)</f>
        <v>1000</v>
      </c>
      <c r="AD411" s="769">
        <f>SUM(Z411*12+AC411)</f>
        <v>65326.240000000005</v>
      </c>
      <c r="AE411" s="769">
        <f>SUM(Q411*AD411)</f>
        <v>261304.96000000002</v>
      </c>
      <c r="AF411" s="769">
        <f>SUM(P411-AE411)</f>
        <v>0</v>
      </c>
      <c r="AG411" s="782">
        <v>344631.2</v>
      </c>
      <c r="AH411" s="718">
        <v>4</v>
      </c>
      <c r="AI411" s="769">
        <f>SUM(Q411*AD411)</f>
        <v>261304.96000000002</v>
      </c>
    </row>
    <row r="412" spans="1:35" ht="12.75" customHeight="1" x14ac:dyDescent="0.2">
      <c r="A412" s="863" t="s">
        <v>757</v>
      </c>
      <c r="B412" s="718">
        <v>0</v>
      </c>
      <c r="C412" s="769">
        <v>0</v>
      </c>
      <c r="D412" s="769"/>
      <c r="E412" s="769"/>
      <c r="F412" s="769"/>
      <c r="G412" s="769"/>
      <c r="H412" s="769"/>
      <c r="I412" s="769"/>
      <c r="J412" s="769"/>
      <c r="K412" s="769">
        <f>SUM(C412:J412)</f>
        <v>0</v>
      </c>
      <c r="L412" s="769">
        <v>0</v>
      </c>
      <c r="M412" s="769"/>
      <c r="N412" s="769">
        <f t="shared" si="212"/>
        <v>0</v>
      </c>
      <c r="O412" s="769">
        <f>SUM(K412*12+N412)</f>
        <v>0</v>
      </c>
      <c r="P412" s="769">
        <f t="shared" si="213"/>
        <v>0</v>
      </c>
      <c r="Q412" s="714">
        <v>0</v>
      </c>
      <c r="R412" s="769">
        <v>0</v>
      </c>
      <c r="S412" s="769"/>
      <c r="T412" s="769"/>
      <c r="U412" s="769"/>
      <c r="V412" s="769"/>
      <c r="W412" s="769"/>
      <c r="X412" s="769"/>
      <c r="Y412" s="769"/>
      <c r="Z412" s="769">
        <f>SUM(R412:Y412)</f>
        <v>0</v>
      </c>
      <c r="AA412" s="769">
        <v>0</v>
      </c>
      <c r="AB412" s="769"/>
      <c r="AC412" s="769">
        <f t="shared" ref="AC412" si="222">SUM(AA412:AB412)</f>
        <v>0</v>
      </c>
      <c r="AD412" s="769">
        <f>SUM(Z412*12+AC412)</f>
        <v>0</v>
      </c>
      <c r="AE412" s="769">
        <f t="shared" ref="AE412" si="223">SUM(Q412*AD412)</f>
        <v>0</v>
      </c>
      <c r="AF412" s="769">
        <f>SUM(P412-AE412)</f>
        <v>0</v>
      </c>
      <c r="AG412" s="782">
        <v>0</v>
      </c>
      <c r="AH412" s="718">
        <v>0</v>
      </c>
      <c r="AI412" s="769">
        <v>0</v>
      </c>
    </row>
    <row r="413" spans="1:35" ht="12.75" customHeight="1" x14ac:dyDescent="0.2">
      <c r="A413" s="863" t="s">
        <v>758</v>
      </c>
      <c r="B413" s="718"/>
      <c r="C413" s="769"/>
      <c r="D413" s="769"/>
      <c r="E413" s="769"/>
      <c r="F413" s="769"/>
      <c r="G413" s="769"/>
      <c r="H413" s="769"/>
      <c r="I413" s="769"/>
      <c r="J413" s="769"/>
      <c r="K413" s="769"/>
      <c r="L413" s="769"/>
      <c r="M413" s="769"/>
      <c r="N413" s="769"/>
      <c r="O413" s="769"/>
      <c r="P413" s="769"/>
      <c r="Q413" s="714"/>
      <c r="R413" s="769"/>
      <c r="S413" s="769"/>
      <c r="T413" s="769"/>
      <c r="U413" s="769"/>
      <c r="V413" s="769"/>
      <c r="W413" s="769"/>
      <c r="X413" s="769"/>
      <c r="Y413" s="769"/>
      <c r="Z413" s="769"/>
      <c r="AA413" s="769"/>
      <c r="AB413" s="769"/>
      <c r="AC413" s="769"/>
      <c r="AD413" s="769"/>
      <c r="AE413" s="769"/>
      <c r="AF413" s="769"/>
      <c r="AG413" s="782"/>
      <c r="AH413" s="718"/>
      <c r="AI413" s="769"/>
    </row>
    <row r="414" spans="1:35" ht="12.75" customHeight="1" x14ac:dyDescent="0.2">
      <c r="A414" s="863" t="s">
        <v>759</v>
      </c>
      <c r="B414" s="718">
        <v>4</v>
      </c>
      <c r="C414" s="769">
        <v>5040.4799999999996</v>
      </c>
      <c r="D414" s="769"/>
      <c r="E414" s="769"/>
      <c r="F414" s="769"/>
      <c r="G414" s="769"/>
      <c r="H414" s="769"/>
      <c r="I414" s="769"/>
      <c r="J414" s="769"/>
      <c r="K414" s="769">
        <f>SUM(C414:J414)</f>
        <v>5040.4799999999996</v>
      </c>
      <c r="L414" s="769">
        <v>1000</v>
      </c>
      <c r="M414" s="769"/>
      <c r="N414" s="769">
        <f>SUM(L414:M414)</f>
        <v>1000</v>
      </c>
      <c r="O414" s="769">
        <f>SUM(K414*12+N414)</f>
        <v>61485.759999999995</v>
      </c>
      <c r="P414" s="769">
        <f>SUM(B414*O414)</f>
        <v>245943.03999999998</v>
      </c>
      <c r="Q414" s="714">
        <v>4</v>
      </c>
      <c r="R414" s="769">
        <v>5040.4799999999996</v>
      </c>
      <c r="S414" s="769"/>
      <c r="T414" s="769"/>
      <c r="U414" s="769"/>
      <c r="V414" s="769"/>
      <c r="W414" s="769"/>
      <c r="X414" s="769"/>
      <c r="Y414" s="769"/>
      <c r="Z414" s="769">
        <f>SUM(R414:Y414)</f>
        <v>5040.4799999999996</v>
      </c>
      <c r="AA414" s="769">
        <v>1000</v>
      </c>
      <c r="AB414" s="769"/>
      <c r="AC414" s="769">
        <f>SUM(AA414:AB414)</f>
        <v>1000</v>
      </c>
      <c r="AD414" s="769">
        <f>SUM(Z414*12+AC414)</f>
        <v>61485.759999999995</v>
      </c>
      <c r="AE414" s="769">
        <f>SUM(Q414*AD414)</f>
        <v>245943.03999999998</v>
      </c>
      <c r="AF414" s="769">
        <f>SUM(P414-AE414)</f>
        <v>0</v>
      </c>
      <c r="AG414" s="782">
        <v>195257.28</v>
      </c>
      <c r="AH414" s="718">
        <v>4</v>
      </c>
      <c r="AI414" s="769">
        <f>SUM(Q414*AD414)</f>
        <v>245943.03999999998</v>
      </c>
    </row>
    <row r="415" spans="1:35" ht="12.75" customHeight="1" x14ac:dyDescent="0.2">
      <c r="A415" s="863" t="s">
        <v>760</v>
      </c>
      <c r="B415" s="718">
        <v>0</v>
      </c>
      <c r="C415" s="769">
        <v>0</v>
      </c>
      <c r="D415" s="769"/>
      <c r="E415" s="769"/>
      <c r="F415" s="769"/>
      <c r="G415" s="769"/>
      <c r="H415" s="769"/>
      <c r="I415" s="769"/>
      <c r="J415" s="769"/>
      <c r="K415" s="769">
        <f>SUM(C415:J415)</f>
        <v>0</v>
      </c>
      <c r="L415" s="769"/>
      <c r="M415" s="769"/>
      <c r="N415" s="769"/>
      <c r="O415" s="769"/>
      <c r="P415" s="769"/>
      <c r="Q415" s="714"/>
      <c r="R415" s="769"/>
      <c r="S415" s="769"/>
      <c r="T415" s="769"/>
      <c r="U415" s="769"/>
      <c r="V415" s="769"/>
      <c r="W415" s="769"/>
      <c r="X415" s="769"/>
      <c r="Y415" s="769"/>
      <c r="Z415" s="769"/>
      <c r="AA415" s="769"/>
      <c r="AB415" s="769"/>
      <c r="AC415" s="769"/>
      <c r="AD415" s="769"/>
      <c r="AE415" s="769"/>
      <c r="AF415" s="769"/>
      <c r="AG415" s="782"/>
      <c r="AH415" s="718"/>
      <c r="AI415" s="769"/>
    </row>
    <row r="416" spans="1:35" ht="12.75" customHeight="1" x14ac:dyDescent="0.2">
      <c r="A416" s="863" t="s">
        <v>761</v>
      </c>
      <c r="B416" s="718"/>
      <c r="C416" s="769"/>
      <c r="D416" s="769"/>
      <c r="E416" s="769"/>
      <c r="F416" s="769"/>
      <c r="G416" s="769"/>
      <c r="H416" s="769"/>
      <c r="I416" s="769"/>
      <c r="J416" s="769"/>
      <c r="K416" s="769"/>
      <c r="L416" s="769"/>
      <c r="M416" s="769"/>
      <c r="N416" s="769"/>
      <c r="O416" s="769"/>
      <c r="P416" s="769"/>
      <c r="Q416" s="714"/>
      <c r="R416" s="769"/>
      <c r="S416" s="769"/>
      <c r="T416" s="769"/>
      <c r="U416" s="769"/>
      <c r="V416" s="769"/>
      <c r="W416" s="769"/>
      <c r="X416" s="769"/>
      <c r="Y416" s="769"/>
      <c r="Z416" s="769"/>
      <c r="AA416" s="769"/>
      <c r="AB416" s="769"/>
      <c r="AC416" s="769"/>
      <c r="AD416" s="769"/>
      <c r="AE416" s="769"/>
      <c r="AF416" s="769"/>
      <c r="AG416" s="782"/>
      <c r="AH416" s="718"/>
      <c r="AI416" s="769"/>
    </row>
    <row r="417" spans="1:35" ht="12.75" customHeight="1" x14ac:dyDescent="0.2">
      <c r="A417" s="715"/>
      <c r="B417" s="718"/>
      <c r="C417" s="769"/>
      <c r="D417" s="769"/>
      <c r="E417" s="769"/>
      <c r="F417" s="769"/>
      <c r="G417" s="769"/>
      <c r="H417" s="769"/>
      <c r="I417" s="769"/>
      <c r="J417" s="769"/>
      <c r="K417" s="769"/>
      <c r="L417" s="769"/>
      <c r="M417" s="769"/>
      <c r="N417" s="769"/>
      <c r="O417" s="769"/>
      <c r="P417" s="769"/>
      <c r="Q417" s="714"/>
      <c r="R417" s="769"/>
      <c r="S417" s="769"/>
      <c r="T417" s="769"/>
      <c r="U417" s="769"/>
      <c r="V417" s="769"/>
      <c r="W417" s="769"/>
      <c r="X417" s="769"/>
      <c r="Y417" s="769"/>
      <c r="Z417" s="769"/>
      <c r="AA417" s="769"/>
      <c r="AB417" s="769"/>
      <c r="AC417" s="769"/>
      <c r="AD417" s="769"/>
      <c r="AE417" s="769"/>
      <c r="AF417" s="769"/>
      <c r="AG417" s="782"/>
      <c r="AH417" s="718"/>
      <c r="AI417" s="769"/>
    </row>
    <row r="418" spans="1:35" ht="12.75" customHeight="1" x14ac:dyDescent="0.2">
      <c r="A418" s="861" t="s">
        <v>762</v>
      </c>
      <c r="B418" s="718">
        <f t="shared" ref="B418:AH418" si="224">SUM(B419+B423+B427+B431)</f>
        <v>221</v>
      </c>
      <c r="C418" s="769">
        <f t="shared" si="224"/>
        <v>13717.73</v>
      </c>
      <c r="D418" s="769">
        <f t="shared" si="224"/>
        <v>0</v>
      </c>
      <c r="E418" s="769">
        <f t="shared" si="224"/>
        <v>0</v>
      </c>
      <c r="F418" s="769">
        <f t="shared" si="224"/>
        <v>0</v>
      </c>
      <c r="G418" s="769">
        <f t="shared" si="224"/>
        <v>0</v>
      </c>
      <c r="H418" s="769">
        <f t="shared" si="224"/>
        <v>0</v>
      </c>
      <c r="I418" s="769">
        <f t="shared" si="224"/>
        <v>0</v>
      </c>
      <c r="J418" s="769">
        <f t="shared" si="224"/>
        <v>0</v>
      </c>
      <c r="K418" s="769">
        <f t="shared" si="224"/>
        <v>13717.73</v>
      </c>
      <c r="L418" s="769">
        <f t="shared" si="224"/>
        <v>4200</v>
      </c>
      <c r="M418" s="769">
        <f t="shared" si="224"/>
        <v>0</v>
      </c>
      <c r="N418" s="769">
        <f t="shared" si="224"/>
        <v>4200</v>
      </c>
      <c r="O418" s="769">
        <f t="shared" si="224"/>
        <v>168812.76</v>
      </c>
      <c r="P418" s="769">
        <f t="shared" si="224"/>
        <v>7617711.2800000003</v>
      </c>
      <c r="Q418" s="714">
        <f t="shared" si="224"/>
        <v>221</v>
      </c>
      <c r="R418" s="769">
        <f t="shared" si="224"/>
        <v>13717.73</v>
      </c>
      <c r="S418" s="769">
        <f t="shared" si="224"/>
        <v>0</v>
      </c>
      <c r="T418" s="769">
        <f t="shared" si="224"/>
        <v>0</v>
      </c>
      <c r="U418" s="769">
        <f t="shared" si="224"/>
        <v>0</v>
      </c>
      <c r="V418" s="769">
        <f t="shared" si="224"/>
        <v>0</v>
      </c>
      <c r="W418" s="769">
        <f t="shared" si="224"/>
        <v>0</v>
      </c>
      <c r="X418" s="769">
        <f t="shared" si="224"/>
        <v>0</v>
      </c>
      <c r="Y418" s="769">
        <f t="shared" si="224"/>
        <v>0</v>
      </c>
      <c r="Z418" s="769">
        <f t="shared" si="224"/>
        <v>13717.73</v>
      </c>
      <c r="AA418" s="769">
        <f t="shared" si="224"/>
        <v>4200</v>
      </c>
      <c r="AB418" s="769">
        <f t="shared" si="224"/>
        <v>0</v>
      </c>
      <c r="AC418" s="769">
        <f t="shared" si="224"/>
        <v>4200</v>
      </c>
      <c r="AD418" s="769">
        <f t="shared" si="224"/>
        <v>168812.76</v>
      </c>
      <c r="AE418" s="769">
        <f t="shared" si="224"/>
        <v>7617711.2800000003</v>
      </c>
      <c r="AF418" s="769">
        <f>SUM(AF419:AF422)</f>
        <v>0</v>
      </c>
      <c r="AG418" s="776">
        <f>SUM(AG419+AG423+AG427+AG431)</f>
        <v>8196868.6400000006</v>
      </c>
      <c r="AH418" s="718">
        <f t="shared" si="224"/>
        <v>221</v>
      </c>
      <c r="AI418" s="769">
        <f>SUM(AE419+AE423+AE427+AE431)</f>
        <v>7617711.2800000003</v>
      </c>
    </row>
    <row r="419" spans="1:35" ht="12.75" customHeight="1" x14ac:dyDescent="0.2">
      <c r="A419" s="865" t="s">
        <v>763</v>
      </c>
      <c r="B419" s="782">
        <f>SUM(B420)</f>
        <v>22</v>
      </c>
      <c r="C419" s="769">
        <f t="shared" ref="C419:AE419" si="225">SUM(C420)</f>
        <v>3409.21</v>
      </c>
      <c r="D419" s="769">
        <v>0</v>
      </c>
      <c r="E419" s="769">
        <v>0</v>
      </c>
      <c r="F419" s="769">
        <v>0</v>
      </c>
      <c r="G419" s="769">
        <v>0</v>
      </c>
      <c r="H419" s="769">
        <v>0</v>
      </c>
      <c r="I419" s="769">
        <v>0</v>
      </c>
      <c r="J419" s="769">
        <v>0</v>
      </c>
      <c r="K419" s="769">
        <f t="shared" si="225"/>
        <v>3409.21</v>
      </c>
      <c r="L419" s="769">
        <f t="shared" si="225"/>
        <v>1000</v>
      </c>
      <c r="M419" s="769"/>
      <c r="N419" s="769">
        <f t="shared" si="225"/>
        <v>1000</v>
      </c>
      <c r="O419" s="769">
        <f t="shared" si="225"/>
        <v>41910.520000000004</v>
      </c>
      <c r="P419" s="769">
        <f t="shared" si="225"/>
        <v>922031.44000000006</v>
      </c>
      <c r="Q419" s="783">
        <f>SUM(Q420)</f>
        <v>22</v>
      </c>
      <c r="R419" s="769">
        <f t="shared" si="225"/>
        <v>3409.21</v>
      </c>
      <c r="S419" s="769">
        <f t="shared" si="225"/>
        <v>0</v>
      </c>
      <c r="T419" s="769">
        <f t="shared" si="225"/>
        <v>0</v>
      </c>
      <c r="U419" s="769">
        <f t="shared" si="225"/>
        <v>0</v>
      </c>
      <c r="V419" s="769">
        <f t="shared" si="225"/>
        <v>0</v>
      </c>
      <c r="W419" s="769">
        <f t="shared" si="225"/>
        <v>0</v>
      </c>
      <c r="X419" s="769">
        <f t="shared" si="225"/>
        <v>0</v>
      </c>
      <c r="Y419" s="769">
        <f t="shared" si="225"/>
        <v>0</v>
      </c>
      <c r="Z419" s="769">
        <f t="shared" si="225"/>
        <v>3409.21</v>
      </c>
      <c r="AA419" s="769">
        <f t="shared" si="225"/>
        <v>1000</v>
      </c>
      <c r="AB419" s="769">
        <f t="shared" si="225"/>
        <v>0</v>
      </c>
      <c r="AC419" s="769">
        <f t="shared" si="225"/>
        <v>1000</v>
      </c>
      <c r="AD419" s="769">
        <f t="shared" si="225"/>
        <v>41910.520000000004</v>
      </c>
      <c r="AE419" s="769">
        <f t="shared" si="225"/>
        <v>922031.44000000006</v>
      </c>
      <c r="AF419" s="769">
        <f>SUM(P419-AE419)</f>
        <v>0</v>
      </c>
      <c r="AG419" s="782">
        <v>922031.44</v>
      </c>
      <c r="AH419" s="782">
        <f>SUM(AH420)</f>
        <v>22</v>
      </c>
      <c r="AI419" s="769">
        <v>922031.44</v>
      </c>
    </row>
    <row r="420" spans="1:35" ht="12.75" customHeight="1" x14ac:dyDescent="0.2">
      <c r="A420" s="863" t="s">
        <v>764</v>
      </c>
      <c r="B420" s="782">
        <v>22</v>
      </c>
      <c r="C420" s="769">
        <v>3409.21</v>
      </c>
      <c r="D420" s="769"/>
      <c r="E420" s="769"/>
      <c r="F420" s="769"/>
      <c r="G420" s="769"/>
      <c r="H420" s="769"/>
      <c r="I420" s="769"/>
      <c r="J420" s="769"/>
      <c r="K420" s="769">
        <f>SUM(C420:J420)</f>
        <v>3409.21</v>
      </c>
      <c r="L420" s="769">
        <v>1000</v>
      </c>
      <c r="M420" s="769"/>
      <c r="N420" s="769">
        <f>SUM(L420:M420)</f>
        <v>1000</v>
      </c>
      <c r="O420" s="769">
        <f>SUM(K420*12+N420)</f>
        <v>41910.520000000004</v>
      </c>
      <c r="P420" s="769">
        <f>SUM(B420*O420)</f>
        <v>922031.44000000006</v>
      </c>
      <c r="Q420" s="783">
        <v>22</v>
      </c>
      <c r="R420" s="769">
        <v>3409.21</v>
      </c>
      <c r="S420" s="769"/>
      <c r="T420" s="769"/>
      <c r="U420" s="769"/>
      <c r="V420" s="769"/>
      <c r="W420" s="769"/>
      <c r="X420" s="769"/>
      <c r="Y420" s="769"/>
      <c r="Z420" s="769">
        <f>SUM(R420:Y420)</f>
        <v>3409.21</v>
      </c>
      <c r="AA420" s="769">
        <v>1000</v>
      </c>
      <c r="AB420" s="769"/>
      <c r="AC420" s="769">
        <f>SUM(AA420:AB420)</f>
        <v>1000</v>
      </c>
      <c r="AD420" s="769">
        <f>SUM(Z420*12+AC420)</f>
        <v>41910.520000000004</v>
      </c>
      <c r="AE420" s="769">
        <f>SUM(Q420*AD420)</f>
        <v>922031.44000000006</v>
      </c>
      <c r="AF420" s="769">
        <f>SUM(P420-AE420)</f>
        <v>0</v>
      </c>
      <c r="AG420" s="782">
        <v>922031.44</v>
      </c>
      <c r="AH420" s="782">
        <v>22</v>
      </c>
      <c r="AI420" s="769">
        <v>922031.44</v>
      </c>
    </row>
    <row r="421" spans="1:35" ht="12.75" customHeight="1" x14ac:dyDescent="0.2">
      <c r="A421" s="863" t="s">
        <v>765</v>
      </c>
      <c r="B421" s="782"/>
      <c r="C421" s="769"/>
      <c r="D421" s="769"/>
      <c r="E421" s="769"/>
      <c r="F421" s="769"/>
      <c r="G421" s="769"/>
      <c r="H421" s="769"/>
      <c r="I421" s="769"/>
      <c r="J421" s="769"/>
      <c r="K421" s="769"/>
      <c r="L421" s="769"/>
      <c r="M421" s="769"/>
      <c r="N421" s="769"/>
      <c r="O421" s="769"/>
      <c r="P421" s="769"/>
      <c r="Q421" s="783"/>
      <c r="R421" s="769"/>
      <c r="S421" s="769"/>
      <c r="T421" s="769"/>
      <c r="U421" s="769"/>
      <c r="V421" s="769"/>
      <c r="W421" s="769"/>
      <c r="X421" s="769"/>
      <c r="Y421" s="769"/>
      <c r="Z421" s="769"/>
      <c r="AA421" s="769"/>
      <c r="AB421" s="769"/>
      <c r="AC421" s="769"/>
      <c r="AD421" s="769"/>
      <c r="AE421" s="769"/>
      <c r="AF421" s="769"/>
      <c r="AG421" s="782"/>
      <c r="AH421" s="782"/>
      <c r="AI421" s="769"/>
    </row>
    <row r="422" spans="1:35" ht="12.75" customHeight="1" x14ac:dyDescent="0.2">
      <c r="A422" s="863" t="s">
        <v>766</v>
      </c>
      <c r="B422" s="782"/>
      <c r="C422" s="769"/>
      <c r="D422" s="769"/>
      <c r="E422" s="769"/>
      <c r="F422" s="769"/>
      <c r="G422" s="769"/>
      <c r="H422" s="769"/>
      <c r="I422" s="769"/>
      <c r="J422" s="769"/>
      <c r="K422" s="769"/>
      <c r="L422" s="769"/>
      <c r="M422" s="769"/>
      <c r="N422" s="769"/>
      <c r="O422" s="769"/>
      <c r="P422" s="769"/>
      <c r="Q422" s="783"/>
      <c r="R422" s="769"/>
      <c r="S422" s="769"/>
      <c r="T422" s="769"/>
      <c r="U422" s="769"/>
      <c r="V422" s="769"/>
      <c r="W422" s="769"/>
      <c r="X422" s="769"/>
      <c r="Y422" s="769"/>
      <c r="Z422" s="769"/>
      <c r="AA422" s="769"/>
      <c r="AB422" s="769"/>
      <c r="AC422" s="769"/>
      <c r="AD422" s="769"/>
      <c r="AE422" s="769"/>
      <c r="AF422" s="769"/>
      <c r="AG422" s="782"/>
      <c r="AH422" s="782"/>
      <c r="AI422" s="769"/>
    </row>
    <row r="423" spans="1:35" ht="12.75" customHeight="1" x14ac:dyDescent="0.2">
      <c r="A423" s="865" t="s">
        <v>767</v>
      </c>
      <c r="B423" s="782">
        <f>SUM(B424)</f>
        <v>3</v>
      </c>
      <c r="C423" s="769">
        <f t="shared" ref="C423:AE423" si="226">SUM(C424)</f>
        <v>2985.4</v>
      </c>
      <c r="D423" s="769">
        <f t="shared" si="226"/>
        <v>0</v>
      </c>
      <c r="E423" s="769">
        <f t="shared" si="226"/>
        <v>0</v>
      </c>
      <c r="F423" s="769">
        <f t="shared" si="226"/>
        <v>0</v>
      </c>
      <c r="G423" s="769">
        <f t="shared" si="226"/>
        <v>0</v>
      </c>
      <c r="H423" s="769">
        <f t="shared" si="226"/>
        <v>0</v>
      </c>
      <c r="I423" s="769">
        <f t="shared" si="226"/>
        <v>0</v>
      </c>
      <c r="J423" s="769">
        <f t="shared" si="226"/>
        <v>0</v>
      </c>
      <c r="K423" s="769">
        <f t="shared" si="226"/>
        <v>2985.4</v>
      </c>
      <c r="L423" s="769">
        <f t="shared" si="226"/>
        <v>1000</v>
      </c>
      <c r="M423" s="769">
        <f t="shared" si="226"/>
        <v>0</v>
      </c>
      <c r="N423" s="769">
        <f t="shared" si="226"/>
        <v>1000</v>
      </c>
      <c r="O423" s="769">
        <f t="shared" si="226"/>
        <v>36824.800000000003</v>
      </c>
      <c r="P423" s="769">
        <f t="shared" si="226"/>
        <v>110474.40000000001</v>
      </c>
      <c r="Q423" s="783">
        <f>SUM(Q424)</f>
        <v>3</v>
      </c>
      <c r="R423" s="769">
        <f t="shared" si="226"/>
        <v>2985.4</v>
      </c>
      <c r="S423" s="769">
        <f t="shared" si="226"/>
        <v>0</v>
      </c>
      <c r="T423" s="769">
        <f t="shared" si="226"/>
        <v>0</v>
      </c>
      <c r="U423" s="769">
        <f t="shared" si="226"/>
        <v>0</v>
      </c>
      <c r="V423" s="769">
        <f t="shared" si="226"/>
        <v>0</v>
      </c>
      <c r="W423" s="769">
        <f t="shared" si="226"/>
        <v>0</v>
      </c>
      <c r="X423" s="769">
        <f t="shared" si="226"/>
        <v>0</v>
      </c>
      <c r="Y423" s="769">
        <f t="shared" si="226"/>
        <v>0</v>
      </c>
      <c r="Z423" s="769">
        <f t="shared" si="226"/>
        <v>2985.4</v>
      </c>
      <c r="AA423" s="769">
        <f t="shared" si="226"/>
        <v>1000</v>
      </c>
      <c r="AB423" s="769">
        <f t="shared" si="226"/>
        <v>0</v>
      </c>
      <c r="AC423" s="769">
        <f t="shared" si="226"/>
        <v>1000</v>
      </c>
      <c r="AD423" s="769">
        <f t="shared" si="226"/>
        <v>36824.800000000003</v>
      </c>
      <c r="AE423" s="769">
        <f t="shared" si="226"/>
        <v>110474.40000000001</v>
      </c>
      <c r="AF423" s="769">
        <f t="shared" ref="AF423:AF424" si="227">SUM(P423-AE423)</f>
        <v>0</v>
      </c>
      <c r="AG423" s="782">
        <v>110474.4</v>
      </c>
      <c r="AH423" s="782">
        <f>SUM(AH424)</f>
        <v>3</v>
      </c>
      <c r="AI423" s="769">
        <f>SUM(AI424:AI426)</f>
        <v>110474.4</v>
      </c>
    </row>
    <row r="424" spans="1:35" x14ac:dyDescent="0.2">
      <c r="A424" s="863" t="s">
        <v>768</v>
      </c>
      <c r="B424" s="782">
        <v>3</v>
      </c>
      <c r="C424" s="769">
        <v>2985.4</v>
      </c>
      <c r="D424" s="769"/>
      <c r="E424" s="769"/>
      <c r="F424" s="769"/>
      <c r="G424" s="769"/>
      <c r="H424" s="769"/>
      <c r="I424" s="769"/>
      <c r="J424" s="769"/>
      <c r="K424" s="769">
        <f>SUM(C424:J424)</f>
        <v>2985.4</v>
      </c>
      <c r="L424" s="769">
        <v>1000</v>
      </c>
      <c r="M424" s="769"/>
      <c r="N424" s="769">
        <f>SUM(L424:M424)</f>
        <v>1000</v>
      </c>
      <c r="O424" s="769">
        <f>SUM(K424*12+N424)</f>
        <v>36824.800000000003</v>
      </c>
      <c r="P424" s="769">
        <f>SUM(B424*O424)</f>
        <v>110474.40000000001</v>
      </c>
      <c r="Q424" s="783">
        <v>3</v>
      </c>
      <c r="R424" s="769">
        <v>2985.4</v>
      </c>
      <c r="S424" s="769"/>
      <c r="T424" s="769"/>
      <c r="U424" s="769"/>
      <c r="V424" s="769"/>
      <c r="W424" s="769"/>
      <c r="X424" s="769"/>
      <c r="Y424" s="769"/>
      <c r="Z424" s="769">
        <f>SUM(R424:Y424)</f>
        <v>2985.4</v>
      </c>
      <c r="AA424" s="769">
        <v>1000</v>
      </c>
      <c r="AB424" s="769"/>
      <c r="AC424" s="769">
        <f>SUM(AA424:AB424)</f>
        <v>1000</v>
      </c>
      <c r="AD424" s="769">
        <f>SUM(Z424*12+AC424)</f>
        <v>36824.800000000003</v>
      </c>
      <c r="AE424" s="769">
        <f>SUM(Q424*AD424)</f>
        <v>110474.40000000001</v>
      </c>
      <c r="AF424" s="769">
        <f t="shared" si="227"/>
        <v>0</v>
      </c>
      <c r="AG424" s="782">
        <v>110474.4</v>
      </c>
      <c r="AH424" s="782">
        <v>3</v>
      </c>
      <c r="AI424" s="769">
        <v>110474.4</v>
      </c>
    </row>
    <row r="425" spans="1:35" x14ac:dyDescent="0.2">
      <c r="A425" s="863" t="s">
        <v>765</v>
      </c>
      <c r="B425" s="782"/>
      <c r="C425" s="769"/>
      <c r="D425" s="769"/>
      <c r="E425" s="769"/>
      <c r="F425" s="769"/>
      <c r="G425" s="769"/>
      <c r="H425" s="769"/>
      <c r="I425" s="769"/>
      <c r="J425" s="769"/>
      <c r="K425" s="769"/>
      <c r="L425" s="769"/>
      <c r="M425" s="769"/>
      <c r="N425" s="769"/>
      <c r="O425" s="769"/>
      <c r="P425" s="769"/>
      <c r="Q425" s="783"/>
      <c r="R425" s="769"/>
      <c r="S425" s="769"/>
      <c r="T425" s="769"/>
      <c r="U425" s="769"/>
      <c r="V425" s="769"/>
      <c r="W425" s="769"/>
      <c r="X425" s="769"/>
      <c r="Y425" s="769"/>
      <c r="Z425" s="769"/>
      <c r="AA425" s="769"/>
      <c r="AB425" s="769"/>
      <c r="AC425" s="769"/>
      <c r="AD425" s="769"/>
      <c r="AE425" s="769"/>
      <c r="AF425" s="769"/>
      <c r="AG425" s="782"/>
      <c r="AH425" s="782"/>
      <c r="AI425" s="769"/>
    </row>
    <row r="426" spans="1:35" x14ac:dyDescent="0.2">
      <c r="A426" s="863" t="s">
        <v>766</v>
      </c>
      <c r="B426" s="782"/>
      <c r="C426" s="769"/>
      <c r="D426" s="769"/>
      <c r="E426" s="769"/>
      <c r="F426" s="769"/>
      <c r="G426" s="769"/>
      <c r="H426" s="769"/>
      <c r="I426" s="769"/>
      <c r="J426" s="769"/>
      <c r="K426" s="769"/>
      <c r="L426" s="769"/>
      <c r="M426" s="769"/>
      <c r="N426" s="769"/>
      <c r="O426" s="769"/>
      <c r="P426" s="769"/>
      <c r="Q426" s="783"/>
      <c r="R426" s="769"/>
      <c r="S426" s="769"/>
      <c r="T426" s="769"/>
      <c r="U426" s="769"/>
      <c r="V426" s="769"/>
      <c r="W426" s="769"/>
      <c r="X426" s="769"/>
      <c r="Y426" s="769"/>
      <c r="Z426" s="769"/>
      <c r="AA426" s="769"/>
      <c r="AB426" s="769"/>
      <c r="AC426" s="769"/>
      <c r="AD426" s="769"/>
      <c r="AE426" s="769"/>
      <c r="AF426" s="769"/>
      <c r="AG426" s="782"/>
      <c r="AH426" s="782"/>
      <c r="AI426" s="769"/>
    </row>
    <row r="427" spans="1:35" x14ac:dyDescent="0.2">
      <c r="A427" s="865" t="s">
        <v>769</v>
      </c>
      <c r="B427" s="782">
        <f>SUM(B428)</f>
        <v>39</v>
      </c>
      <c r="C427" s="769">
        <f t="shared" ref="C427:AE427" si="228">SUM(C428)</f>
        <v>3980.56</v>
      </c>
      <c r="D427" s="769">
        <f t="shared" si="228"/>
        <v>0</v>
      </c>
      <c r="E427" s="769">
        <f t="shared" si="228"/>
        <v>0</v>
      </c>
      <c r="F427" s="769">
        <f t="shared" si="228"/>
        <v>0</v>
      </c>
      <c r="G427" s="769">
        <f t="shared" si="228"/>
        <v>0</v>
      </c>
      <c r="H427" s="769">
        <f t="shared" si="228"/>
        <v>0</v>
      </c>
      <c r="I427" s="769">
        <f t="shared" si="228"/>
        <v>0</v>
      </c>
      <c r="J427" s="769">
        <f t="shared" si="228"/>
        <v>0</v>
      </c>
      <c r="K427" s="769">
        <f t="shared" si="228"/>
        <v>3980.56</v>
      </c>
      <c r="L427" s="769">
        <f t="shared" si="228"/>
        <v>1000</v>
      </c>
      <c r="M427" s="769">
        <f t="shared" si="228"/>
        <v>0</v>
      </c>
      <c r="N427" s="769">
        <f t="shared" si="228"/>
        <v>1000</v>
      </c>
      <c r="O427" s="769">
        <f t="shared" si="228"/>
        <v>48766.720000000001</v>
      </c>
      <c r="P427" s="769">
        <f t="shared" si="228"/>
        <v>1901902.08</v>
      </c>
      <c r="Q427" s="783">
        <f>SUM(Q428)</f>
        <v>39</v>
      </c>
      <c r="R427" s="769">
        <f t="shared" si="228"/>
        <v>3980.56</v>
      </c>
      <c r="S427" s="769">
        <f t="shared" si="228"/>
        <v>0</v>
      </c>
      <c r="T427" s="769">
        <f t="shared" si="228"/>
        <v>0</v>
      </c>
      <c r="U427" s="769">
        <f t="shared" si="228"/>
        <v>0</v>
      </c>
      <c r="V427" s="769">
        <f t="shared" si="228"/>
        <v>0</v>
      </c>
      <c r="W427" s="769">
        <f t="shared" si="228"/>
        <v>0</v>
      </c>
      <c r="X427" s="769">
        <f t="shared" si="228"/>
        <v>0</v>
      </c>
      <c r="Y427" s="769">
        <f t="shared" si="228"/>
        <v>0</v>
      </c>
      <c r="Z427" s="769">
        <f t="shared" si="228"/>
        <v>3980.56</v>
      </c>
      <c r="AA427" s="769">
        <f t="shared" si="228"/>
        <v>1000</v>
      </c>
      <c r="AB427" s="769">
        <f t="shared" si="228"/>
        <v>0</v>
      </c>
      <c r="AC427" s="769">
        <f t="shared" si="228"/>
        <v>1000</v>
      </c>
      <c r="AD427" s="769">
        <f t="shared" si="228"/>
        <v>48766.720000000001</v>
      </c>
      <c r="AE427" s="769">
        <f t="shared" si="228"/>
        <v>1901902.08</v>
      </c>
      <c r="AF427" s="769">
        <f t="shared" ref="AF427:AF428" si="229">SUM(P427-AE427)</f>
        <v>0</v>
      </c>
      <c r="AG427" s="782">
        <v>1959788.8</v>
      </c>
      <c r="AH427" s="782">
        <f>SUM(AH428)</f>
        <v>39</v>
      </c>
      <c r="AI427" s="769">
        <f>SUM(AI428:AI430)</f>
        <v>1901902.08</v>
      </c>
    </row>
    <row r="428" spans="1:35" x14ac:dyDescent="0.2">
      <c r="A428" s="863" t="s">
        <v>768</v>
      </c>
      <c r="B428" s="782">
        <v>39</v>
      </c>
      <c r="C428" s="769">
        <v>3980.56</v>
      </c>
      <c r="D428" s="769"/>
      <c r="E428" s="769"/>
      <c r="F428" s="769"/>
      <c r="G428" s="769"/>
      <c r="H428" s="769"/>
      <c r="I428" s="769"/>
      <c r="J428" s="769"/>
      <c r="K428" s="769">
        <f>SUM(C428:J428)</f>
        <v>3980.56</v>
      </c>
      <c r="L428" s="769">
        <v>1000</v>
      </c>
      <c r="M428" s="769"/>
      <c r="N428" s="769">
        <f>SUM(L428:M428)</f>
        <v>1000</v>
      </c>
      <c r="O428" s="769">
        <f>SUM(K428*12+N428)</f>
        <v>48766.720000000001</v>
      </c>
      <c r="P428" s="769">
        <f>SUM(B428*O428)</f>
        <v>1901902.08</v>
      </c>
      <c r="Q428" s="783">
        <v>39</v>
      </c>
      <c r="R428" s="769">
        <v>3980.56</v>
      </c>
      <c r="S428" s="769"/>
      <c r="T428" s="769"/>
      <c r="U428" s="769"/>
      <c r="V428" s="769"/>
      <c r="W428" s="769"/>
      <c r="X428" s="769"/>
      <c r="Y428" s="769"/>
      <c r="Z428" s="769">
        <f>SUM(R428:Y428)</f>
        <v>3980.56</v>
      </c>
      <c r="AA428" s="769">
        <v>1000</v>
      </c>
      <c r="AB428" s="769"/>
      <c r="AC428" s="769">
        <f>SUM(AA428:AB428)</f>
        <v>1000</v>
      </c>
      <c r="AD428" s="769">
        <f>SUM(Z428*12+AC428)</f>
        <v>48766.720000000001</v>
      </c>
      <c r="AE428" s="769">
        <f>SUM(Q428*AD428)</f>
        <v>1901902.08</v>
      </c>
      <c r="AF428" s="769">
        <f t="shared" si="229"/>
        <v>0</v>
      </c>
      <c r="AG428" s="782">
        <v>1959788.8</v>
      </c>
      <c r="AH428" s="782">
        <v>39</v>
      </c>
      <c r="AI428" s="769">
        <v>1901902.08</v>
      </c>
    </row>
    <row r="429" spans="1:35" x14ac:dyDescent="0.2">
      <c r="A429" s="863" t="s">
        <v>765</v>
      </c>
      <c r="B429" s="782"/>
      <c r="C429" s="769"/>
      <c r="D429" s="769"/>
      <c r="E429" s="769"/>
      <c r="F429" s="769"/>
      <c r="G429" s="769"/>
      <c r="H429" s="769"/>
      <c r="I429" s="769"/>
      <c r="J429" s="769"/>
      <c r="K429" s="769"/>
      <c r="L429" s="769"/>
      <c r="M429" s="769"/>
      <c r="N429" s="769"/>
      <c r="O429" s="769"/>
      <c r="P429" s="769"/>
      <c r="Q429" s="783"/>
      <c r="R429" s="769"/>
      <c r="S429" s="769"/>
      <c r="T429" s="769"/>
      <c r="U429" s="769"/>
      <c r="V429" s="769"/>
      <c r="W429" s="769"/>
      <c r="X429" s="769"/>
      <c r="Y429" s="769"/>
      <c r="Z429" s="769"/>
      <c r="AA429" s="769"/>
      <c r="AB429" s="769"/>
      <c r="AC429" s="769"/>
      <c r="AD429" s="769"/>
      <c r="AE429" s="769"/>
      <c r="AF429" s="769"/>
      <c r="AG429" s="782"/>
      <c r="AH429" s="782"/>
      <c r="AI429" s="769"/>
    </row>
    <row r="430" spans="1:35" x14ac:dyDescent="0.2">
      <c r="A430" s="863" t="s">
        <v>766</v>
      </c>
      <c r="B430" s="782"/>
      <c r="C430" s="769"/>
      <c r="D430" s="769"/>
      <c r="E430" s="769"/>
      <c r="F430" s="769"/>
      <c r="G430" s="769"/>
      <c r="H430" s="769"/>
      <c r="I430" s="769"/>
      <c r="J430" s="769"/>
      <c r="K430" s="769"/>
      <c r="L430" s="769"/>
      <c r="M430" s="769"/>
      <c r="N430" s="769"/>
      <c r="O430" s="769"/>
      <c r="P430" s="769"/>
      <c r="Q430" s="783"/>
      <c r="R430" s="769"/>
      <c r="S430" s="769"/>
      <c r="T430" s="769"/>
      <c r="U430" s="769"/>
      <c r="V430" s="769"/>
      <c r="W430" s="769"/>
      <c r="X430" s="769"/>
      <c r="Y430" s="769"/>
      <c r="Z430" s="769"/>
      <c r="AA430" s="769"/>
      <c r="AB430" s="769"/>
      <c r="AC430" s="769"/>
      <c r="AD430" s="769"/>
      <c r="AE430" s="769"/>
      <c r="AF430" s="769"/>
      <c r="AG430" s="782"/>
      <c r="AH430" s="782"/>
      <c r="AI430" s="769"/>
    </row>
    <row r="431" spans="1:35" x14ac:dyDescent="0.2">
      <c r="A431" s="865" t="s">
        <v>770</v>
      </c>
      <c r="B431" s="782">
        <f>SUM(B432+B433)</f>
        <v>157</v>
      </c>
      <c r="C431" s="769">
        <f>SUM(C432+C433)</f>
        <v>3342.5600000000004</v>
      </c>
      <c r="D431" s="769">
        <f t="shared" ref="D431:AB431" si="230">SUM(D432)</f>
        <v>0</v>
      </c>
      <c r="E431" s="769">
        <f t="shared" si="230"/>
        <v>0</v>
      </c>
      <c r="F431" s="769">
        <f t="shared" si="230"/>
        <v>0</v>
      </c>
      <c r="G431" s="769">
        <f t="shared" si="230"/>
        <v>0</v>
      </c>
      <c r="H431" s="769">
        <f t="shared" si="230"/>
        <v>0</v>
      </c>
      <c r="I431" s="769">
        <f t="shared" si="230"/>
        <v>0</v>
      </c>
      <c r="J431" s="769">
        <f t="shared" si="230"/>
        <v>0</v>
      </c>
      <c r="K431" s="769">
        <f>SUM(K432+K433)</f>
        <v>3342.5600000000004</v>
      </c>
      <c r="L431" s="769">
        <f>SUM(L432+L433)</f>
        <v>1200</v>
      </c>
      <c r="M431" s="769">
        <f t="shared" si="230"/>
        <v>0</v>
      </c>
      <c r="N431" s="769">
        <f>SUM(N432+N433)</f>
        <v>1200</v>
      </c>
      <c r="O431" s="769">
        <f>SUM(O432+O433)</f>
        <v>41310.720000000001</v>
      </c>
      <c r="P431" s="769">
        <f>SUM(P432+P433)</f>
        <v>4683303.3600000003</v>
      </c>
      <c r="Q431" s="783">
        <f>SUM(Q432+Q433)</f>
        <v>157</v>
      </c>
      <c r="R431" s="769">
        <f>SUM(R432+R433)</f>
        <v>3342.5600000000004</v>
      </c>
      <c r="S431" s="769">
        <f t="shared" si="230"/>
        <v>0</v>
      </c>
      <c r="T431" s="769">
        <f t="shared" si="230"/>
        <v>0</v>
      </c>
      <c r="U431" s="769">
        <f t="shared" si="230"/>
        <v>0</v>
      </c>
      <c r="V431" s="769">
        <f t="shared" si="230"/>
        <v>0</v>
      </c>
      <c r="W431" s="769">
        <f t="shared" si="230"/>
        <v>0</v>
      </c>
      <c r="X431" s="769">
        <f t="shared" si="230"/>
        <v>0</v>
      </c>
      <c r="Y431" s="769">
        <f t="shared" si="230"/>
        <v>0</v>
      </c>
      <c r="Z431" s="769">
        <f>SUM(Z432+Z433)</f>
        <v>3342.5600000000004</v>
      </c>
      <c r="AA431" s="769">
        <f>SUM(AA432+AA433)</f>
        <v>1200</v>
      </c>
      <c r="AB431" s="769">
        <f t="shared" si="230"/>
        <v>0</v>
      </c>
      <c r="AC431" s="769">
        <f>SUM(AC432+AC433)</f>
        <v>1200</v>
      </c>
      <c r="AD431" s="769">
        <f>SUM(AD432+AD433)</f>
        <v>41310.720000000001</v>
      </c>
      <c r="AE431" s="769">
        <f>SUM(AE432:AE435)</f>
        <v>4683303.3600000003</v>
      </c>
      <c r="AF431" s="769">
        <f>SUM(AF432:AF435)</f>
        <v>0</v>
      </c>
      <c r="AG431" s="782">
        <v>5204574</v>
      </c>
      <c r="AH431" s="782">
        <f>SUM(AH432:AH433)</f>
        <v>157</v>
      </c>
      <c r="AI431" s="769">
        <f>SUM(AI432:AI435)</f>
        <v>4683303.3600000003</v>
      </c>
    </row>
    <row r="432" spans="1:35" x14ac:dyDescent="0.2">
      <c r="A432" s="866" t="s">
        <v>768</v>
      </c>
      <c r="B432" s="782">
        <v>152</v>
      </c>
      <c r="C432" s="769">
        <v>2487.84</v>
      </c>
      <c r="D432" s="769"/>
      <c r="E432" s="769"/>
      <c r="F432" s="769"/>
      <c r="G432" s="769"/>
      <c r="H432" s="769"/>
      <c r="I432" s="769"/>
      <c r="J432" s="769"/>
      <c r="K432" s="769">
        <f>SUM(C432:J432)</f>
        <v>2487.84</v>
      </c>
      <c r="L432" s="769">
        <v>600</v>
      </c>
      <c r="M432" s="769"/>
      <c r="N432" s="769">
        <f>SUM(L432:M432)</f>
        <v>600</v>
      </c>
      <c r="O432" s="769">
        <f>SUM(K432*12+N432)</f>
        <v>30454.080000000002</v>
      </c>
      <c r="P432" s="769">
        <f>SUM(B432*O432)</f>
        <v>4629020.16</v>
      </c>
      <c r="Q432" s="783">
        <v>152</v>
      </c>
      <c r="R432" s="769">
        <v>2487.84</v>
      </c>
      <c r="S432" s="769"/>
      <c r="T432" s="769"/>
      <c r="U432" s="769"/>
      <c r="V432" s="769"/>
      <c r="W432" s="769"/>
      <c r="X432" s="769"/>
      <c r="Y432" s="769"/>
      <c r="Z432" s="769">
        <f>SUM(R432:Y432)</f>
        <v>2487.84</v>
      </c>
      <c r="AA432" s="769">
        <v>600</v>
      </c>
      <c r="AB432" s="769"/>
      <c r="AC432" s="769">
        <f>SUM(AA432:AB432)</f>
        <v>600</v>
      </c>
      <c r="AD432" s="769">
        <f>SUM(Z432*12+AC432)</f>
        <v>30454.080000000002</v>
      </c>
      <c r="AE432" s="769">
        <f>SUM(Q432*AD432)</f>
        <v>4629020.16</v>
      </c>
      <c r="AF432" s="769">
        <f t="shared" ref="AF432:AF433" si="231">SUM(P432-AE432)</f>
        <v>0</v>
      </c>
      <c r="AG432" s="782">
        <v>5204574</v>
      </c>
      <c r="AH432" s="782">
        <v>152</v>
      </c>
      <c r="AI432" s="769">
        <v>4629020.16</v>
      </c>
    </row>
    <row r="433" spans="1:35" x14ac:dyDescent="0.2">
      <c r="A433" s="866" t="s">
        <v>771</v>
      </c>
      <c r="B433" s="782">
        <v>5</v>
      </c>
      <c r="C433" s="769">
        <v>854.72</v>
      </c>
      <c r="D433" s="769"/>
      <c r="E433" s="769"/>
      <c r="F433" s="769"/>
      <c r="G433" s="769"/>
      <c r="H433" s="769"/>
      <c r="I433" s="769"/>
      <c r="J433" s="769"/>
      <c r="K433" s="769">
        <f>SUM(C433:J433)</f>
        <v>854.72</v>
      </c>
      <c r="L433" s="769">
        <v>600</v>
      </c>
      <c r="M433" s="769"/>
      <c r="N433" s="769">
        <f>SUM(L433:M433)</f>
        <v>600</v>
      </c>
      <c r="O433" s="769">
        <f>SUM(K433*12+N433)</f>
        <v>10856.64</v>
      </c>
      <c r="P433" s="769">
        <f>SUM(B433*O433)</f>
        <v>54283.199999999997</v>
      </c>
      <c r="Q433" s="783">
        <v>5</v>
      </c>
      <c r="R433" s="769">
        <v>854.72</v>
      </c>
      <c r="S433" s="769"/>
      <c r="T433" s="769"/>
      <c r="U433" s="769"/>
      <c r="V433" s="769"/>
      <c r="W433" s="769"/>
      <c r="X433" s="769"/>
      <c r="Y433" s="769"/>
      <c r="Z433" s="769">
        <f>SUM(R433:Y433)</f>
        <v>854.72</v>
      </c>
      <c r="AA433" s="769">
        <v>600</v>
      </c>
      <c r="AB433" s="769"/>
      <c r="AC433" s="769">
        <f>SUM(AA433:AB433)</f>
        <v>600</v>
      </c>
      <c r="AD433" s="769">
        <f>SUM(Z433*12+AC433)</f>
        <v>10856.64</v>
      </c>
      <c r="AE433" s="769">
        <f>SUM(Q433*AD433)</f>
        <v>54283.199999999997</v>
      </c>
      <c r="AF433" s="769">
        <f t="shared" si="231"/>
        <v>0</v>
      </c>
      <c r="AG433" s="782">
        <v>59903.4</v>
      </c>
      <c r="AH433" s="782">
        <v>5</v>
      </c>
      <c r="AI433" s="769">
        <v>54283.199999999997</v>
      </c>
    </row>
    <row r="434" spans="1:35" x14ac:dyDescent="0.2">
      <c r="A434" s="866" t="s">
        <v>772</v>
      </c>
      <c r="B434" s="718"/>
      <c r="C434" s="769"/>
      <c r="D434" s="769"/>
      <c r="E434" s="769"/>
      <c r="F434" s="769"/>
      <c r="G434" s="769"/>
      <c r="H434" s="769"/>
      <c r="I434" s="769"/>
      <c r="J434" s="769"/>
      <c r="K434" s="769"/>
      <c r="L434" s="769"/>
      <c r="M434" s="769"/>
      <c r="N434" s="769"/>
      <c r="O434" s="769"/>
      <c r="P434" s="769"/>
      <c r="Q434" s="714"/>
      <c r="R434" s="769"/>
      <c r="S434" s="769"/>
      <c r="T434" s="769"/>
      <c r="U434" s="769"/>
      <c r="V434" s="769"/>
      <c r="W434" s="769"/>
      <c r="X434" s="769"/>
      <c r="Y434" s="769"/>
      <c r="Z434" s="769"/>
      <c r="AA434" s="769"/>
      <c r="AB434" s="769"/>
      <c r="AC434" s="769"/>
      <c r="AD434" s="769"/>
      <c r="AE434" s="769"/>
      <c r="AF434" s="769"/>
      <c r="AG434" s="718"/>
      <c r="AH434" s="718"/>
      <c r="AI434" s="769"/>
    </row>
    <row r="435" spans="1:35" x14ac:dyDescent="0.2">
      <c r="A435" s="866" t="s">
        <v>773</v>
      </c>
      <c r="B435" s="718"/>
      <c r="C435" s="769"/>
      <c r="D435" s="769"/>
      <c r="E435" s="769"/>
      <c r="F435" s="769"/>
      <c r="G435" s="769"/>
      <c r="H435" s="769"/>
      <c r="I435" s="769"/>
      <c r="J435" s="769"/>
      <c r="K435" s="769"/>
      <c r="L435" s="769"/>
      <c r="M435" s="769"/>
      <c r="N435" s="769"/>
      <c r="O435" s="769"/>
      <c r="P435" s="769"/>
      <c r="Q435" s="714"/>
      <c r="R435" s="769"/>
      <c r="S435" s="769"/>
      <c r="T435" s="769"/>
      <c r="U435" s="769"/>
      <c r="V435" s="769"/>
      <c r="W435" s="769"/>
      <c r="X435" s="769"/>
      <c r="Y435" s="769"/>
      <c r="Z435" s="769"/>
      <c r="AA435" s="769"/>
      <c r="AB435" s="769"/>
      <c r="AC435" s="769"/>
      <c r="AD435" s="769"/>
      <c r="AE435" s="769"/>
      <c r="AF435" s="769"/>
      <c r="AG435" s="718"/>
      <c r="AH435" s="718"/>
      <c r="AI435" s="769"/>
    </row>
    <row r="436" spans="1:35" ht="24" x14ac:dyDescent="0.2">
      <c r="A436" s="867" t="s">
        <v>774</v>
      </c>
      <c r="B436" s="722">
        <f>SUM(B437:B438)</f>
        <v>58</v>
      </c>
      <c r="C436" s="784">
        <f>SUM(C437:C438)</f>
        <v>3705.98</v>
      </c>
      <c r="D436" s="784">
        <f t="shared" ref="D436:J436" si="232">SUM(D437:D438)</f>
        <v>0</v>
      </c>
      <c r="E436" s="784">
        <f t="shared" si="232"/>
        <v>0</v>
      </c>
      <c r="F436" s="784">
        <f t="shared" si="232"/>
        <v>0</v>
      </c>
      <c r="G436" s="784">
        <f t="shared" si="232"/>
        <v>0</v>
      </c>
      <c r="H436" s="784">
        <f t="shared" si="232"/>
        <v>0</v>
      </c>
      <c r="I436" s="784">
        <f t="shared" si="232"/>
        <v>0</v>
      </c>
      <c r="J436" s="784">
        <f t="shared" si="232"/>
        <v>0</v>
      </c>
      <c r="K436" s="784">
        <f>SUM(C436:J436)</f>
        <v>3705.98</v>
      </c>
      <c r="L436" s="784">
        <f>SUM(L437:L438)</f>
        <v>1200</v>
      </c>
      <c r="M436" s="784"/>
      <c r="N436" s="784">
        <f t="shared" ref="N436:AF436" si="233">SUM(N437:N438)</f>
        <v>1200</v>
      </c>
      <c r="O436" s="784">
        <f t="shared" si="233"/>
        <v>45671.759999999995</v>
      </c>
      <c r="P436" s="784">
        <f t="shared" si="233"/>
        <v>1304267.28</v>
      </c>
      <c r="Q436" s="785">
        <f t="shared" si="233"/>
        <v>58</v>
      </c>
      <c r="R436" s="784">
        <f t="shared" si="233"/>
        <v>3705.98</v>
      </c>
      <c r="S436" s="784">
        <f t="shared" si="233"/>
        <v>0</v>
      </c>
      <c r="T436" s="784">
        <f t="shared" si="233"/>
        <v>0</v>
      </c>
      <c r="U436" s="784">
        <f t="shared" si="233"/>
        <v>0</v>
      </c>
      <c r="V436" s="784">
        <f t="shared" si="233"/>
        <v>0</v>
      </c>
      <c r="W436" s="784">
        <f t="shared" si="233"/>
        <v>0</v>
      </c>
      <c r="X436" s="784">
        <f t="shared" si="233"/>
        <v>0</v>
      </c>
      <c r="Y436" s="784">
        <f t="shared" si="233"/>
        <v>0</v>
      </c>
      <c r="Z436" s="784">
        <f t="shared" si="233"/>
        <v>3705.98</v>
      </c>
      <c r="AA436" s="784">
        <f t="shared" si="233"/>
        <v>1200</v>
      </c>
      <c r="AB436" s="784">
        <f t="shared" si="233"/>
        <v>0</v>
      </c>
      <c r="AC436" s="784">
        <f t="shared" si="233"/>
        <v>1200</v>
      </c>
      <c r="AD436" s="784">
        <f t="shared" si="233"/>
        <v>45671.759999999995</v>
      </c>
      <c r="AE436" s="784">
        <f t="shared" si="233"/>
        <v>1304267.28</v>
      </c>
      <c r="AF436" s="784">
        <f t="shared" si="233"/>
        <v>0</v>
      </c>
      <c r="AG436" s="722"/>
      <c r="AH436" s="786">
        <f>SUM(AH437:AH438)</f>
        <v>58</v>
      </c>
      <c r="AI436" s="784">
        <f>SUM(AI437:AI439)</f>
        <v>1304267.28</v>
      </c>
    </row>
    <row r="437" spans="1:35" x14ac:dyDescent="0.2">
      <c r="A437" s="868" t="s">
        <v>775</v>
      </c>
      <c r="B437" s="711">
        <v>37</v>
      </c>
      <c r="C437" s="735">
        <v>1747.71</v>
      </c>
      <c r="D437" s="735">
        <v>0</v>
      </c>
      <c r="E437" s="735">
        <v>0</v>
      </c>
      <c r="F437" s="735">
        <v>0</v>
      </c>
      <c r="G437" s="735">
        <v>0</v>
      </c>
      <c r="H437" s="735">
        <v>0</v>
      </c>
      <c r="I437" s="735">
        <v>0</v>
      </c>
      <c r="J437" s="735">
        <v>0</v>
      </c>
      <c r="K437" s="735">
        <f>SUM(C437:J437)</f>
        <v>1747.71</v>
      </c>
      <c r="L437" s="735">
        <v>600</v>
      </c>
      <c r="M437" s="735"/>
      <c r="N437" s="735">
        <v>600</v>
      </c>
      <c r="O437" s="735">
        <f>SUM(K437*12+L437)</f>
        <v>21572.52</v>
      </c>
      <c r="P437" s="735">
        <f>SUM(B437*O437)</f>
        <v>798183.24</v>
      </c>
      <c r="Q437" s="421">
        <v>37</v>
      </c>
      <c r="R437" s="735">
        <v>1747.71</v>
      </c>
      <c r="S437" s="735">
        <v>0</v>
      </c>
      <c r="T437" s="735">
        <v>0</v>
      </c>
      <c r="U437" s="735">
        <v>0</v>
      </c>
      <c r="V437" s="735">
        <v>0</v>
      </c>
      <c r="W437" s="735">
        <v>0</v>
      </c>
      <c r="X437" s="735">
        <v>0</v>
      </c>
      <c r="Y437" s="735">
        <v>0</v>
      </c>
      <c r="Z437" s="735">
        <v>1747.71</v>
      </c>
      <c r="AA437" s="735">
        <v>600</v>
      </c>
      <c r="AB437" s="735">
        <v>0</v>
      </c>
      <c r="AC437" s="735">
        <v>600</v>
      </c>
      <c r="AD437" s="735">
        <f>SUM(Z437*12+AA437)</f>
        <v>21572.52</v>
      </c>
      <c r="AE437" s="735">
        <f>SUM(B437*AD437)</f>
        <v>798183.24</v>
      </c>
      <c r="AF437" s="735">
        <f t="shared" ref="AF437:AF438" si="234">SUM(P437-AE437)</f>
        <v>0</v>
      </c>
      <c r="AG437" s="711"/>
      <c r="AH437" s="711">
        <v>37</v>
      </c>
      <c r="AI437" s="735">
        <v>798183.24</v>
      </c>
    </row>
    <row r="438" spans="1:35" x14ac:dyDescent="0.2">
      <c r="A438" s="868" t="s">
        <v>445</v>
      </c>
      <c r="B438" s="711">
        <v>21</v>
      </c>
      <c r="C438" s="735">
        <v>1958.27</v>
      </c>
      <c r="D438" s="735">
        <v>0</v>
      </c>
      <c r="E438" s="735">
        <v>0</v>
      </c>
      <c r="F438" s="735">
        <v>0</v>
      </c>
      <c r="G438" s="735">
        <v>0</v>
      </c>
      <c r="H438" s="735">
        <v>0</v>
      </c>
      <c r="I438" s="735">
        <v>0</v>
      </c>
      <c r="J438" s="735">
        <v>0</v>
      </c>
      <c r="K438" s="735">
        <f>SUM(C438:J438)</f>
        <v>1958.27</v>
      </c>
      <c r="L438" s="735">
        <v>600</v>
      </c>
      <c r="M438" s="735"/>
      <c r="N438" s="735">
        <v>600</v>
      </c>
      <c r="O438" s="735">
        <f>SUM(K438*12+L438)</f>
        <v>24099.239999999998</v>
      </c>
      <c r="P438" s="735">
        <f>SUM(B438*O438)</f>
        <v>506084.04</v>
      </c>
      <c r="Q438" s="421">
        <v>21</v>
      </c>
      <c r="R438" s="735">
        <v>1958.27</v>
      </c>
      <c r="S438" s="735">
        <v>0</v>
      </c>
      <c r="T438" s="735">
        <v>0</v>
      </c>
      <c r="U438" s="735">
        <v>0</v>
      </c>
      <c r="V438" s="735">
        <v>0</v>
      </c>
      <c r="W438" s="735">
        <v>0</v>
      </c>
      <c r="X438" s="735">
        <v>0</v>
      </c>
      <c r="Y438" s="735">
        <v>0</v>
      </c>
      <c r="Z438" s="735">
        <v>1958.27</v>
      </c>
      <c r="AA438" s="735">
        <v>600</v>
      </c>
      <c r="AB438" s="735">
        <v>0</v>
      </c>
      <c r="AC438" s="735">
        <v>600</v>
      </c>
      <c r="AD438" s="735">
        <f>SUM(Z438*12+AA438)</f>
        <v>24099.239999999998</v>
      </c>
      <c r="AE438" s="735">
        <f>SUM(B438*AD438)</f>
        <v>506084.04</v>
      </c>
      <c r="AF438" s="735">
        <f t="shared" si="234"/>
        <v>0</v>
      </c>
      <c r="AG438" s="711"/>
      <c r="AH438" s="711">
        <v>21</v>
      </c>
      <c r="AI438" s="735">
        <v>506084.04</v>
      </c>
    </row>
    <row r="439" spans="1:35" x14ac:dyDescent="0.2">
      <c r="A439" s="868"/>
      <c r="B439" s="711"/>
      <c r="C439" s="735"/>
      <c r="D439" s="735"/>
      <c r="E439" s="735"/>
      <c r="F439" s="735"/>
      <c r="G439" s="735"/>
      <c r="H439" s="735"/>
      <c r="I439" s="735"/>
      <c r="J439" s="735"/>
      <c r="K439" s="735"/>
      <c r="L439" s="735"/>
      <c r="M439" s="735"/>
      <c r="N439" s="735"/>
      <c r="O439" s="735"/>
      <c r="P439" s="735"/>
      <c r="Q439" s="714"/>
      <c r="R439" s="735"/>
      <c r="S439" s="735"/>
      <c r="T439" s="735"/>
      <c r="U439" s="735"/>
      <c r="V439" s="735"/>
      <c r="W439" s="735"/>
      <c r="X439" s="735"/>
      <c r="Y439" s="735"/>
      <c r="Z439" s="735"/>
      <c r="AA439" s="735"/>
      <c r="AB439" s="735"/>
      <c r="AC439" s="735"/>
      <c r="AD439" s="735"/>
      <c r="AE439" s="735"/>
      <c r="AF439" s="735"/>
      <c r="AG439" s="711"/>
      <c r="AH439" s="711"/>
      <c r="AI439" s="735"/>
    </row>
    <row r="440" spans="1:35" x14ac:dyDescent="0.2">
      <c r="A440" s="869" t="s">
        <v>169</v>
      </c>
      <c r="B440" s="787">
        <f>B418+B398+B396+B436</f>
        <v>404</v>
      </c>
      <c r="C440" s="742">
        <f>C418+C398+C396+C436</f>
        <v>71889.969999999987</v>
      </c>
      <c r="D440" s="742">
        <f>D418+D398+D396+D436</f>
        <v>19021</v>
      </c>
      <c r="E440" s="742">
        <f t="shared" ref="E440:J440" si="235">E418+E398+E396</f>
        <v>0</v>
      </c>
      <c r="F440" s="742">
        <f t="shared" si="235"/>
        <v>0</v>
      </c>
      <c r="G440" s="742">
        <f t="shared" si="235"/>
        <v>0</v>
      </c>
      <c r="H440" s="742">
        <f t="shared" si="235"/>
        <v>0</v>
      </c>
      <c r="I440" s="742">
        <f t="shared" si="235"/>
        <v>0</v>
      </c>
      <c r="J440" s="742">
        <f t="shared" si="235"/>
        <v>0</v>
      </c>
      <c r="K440" s="742">
        <f>K418+K398+K396+K436</f>
        <v>90910.969999999987</v>
      </c>
      <c r="L440" s="742">
        <f>L418+L398+L396+L436</f>
        <v>24400</v>
      </c>
      <c r="M440" s="742">
        <f t="shared" ref="M440" si="236">M418+M398+M396</f>
        <v>0</v>
      </c>
      <c r="N440" s="742">
        <f t="shared" ref="N440:S440" si="237">N418+N398+N396+N436</f>
        <v>24400</v>
      </c>
      <c r="O440" s="742">
        <f t="shared" si="237"/>
        <v>1115331.6400000001</v>
      </c>
      <c r="P440" s="742">
        <f>SUM(P364+P373+P381+P389+P398+P418+P436)</f>
        <v>13820055.84</v>
      </c>
      <c r="Q440" s="788">
        <f t="shared" si="237"/>
        <v>404</v>
      </c>
      <c r="R440" s="742">
        <f t="shared" si="237"/>
        <v>71889.969999999987</v>
      </c>
      <c r="S440" s="742">
        <f t="shared" si="237"/>
        <v>19021</v>
      </c>
      <c r="T440" s="742">
        <f t="shared" ref="T440:AB440" si="238">T418+T398+T396</f>
        <v>0</v>
      </c>
      <c r="U440" s="742">
        <f t="shared" si="238"/>
        <v>0</v>
      </c>
      <c r="V440" s="742">
        <f t="shared" si="238"/>
        <v>0</v>
      </c>
      <c r="W440" s="742">
        <f t="shared" si="238"/>
        <v>0</v>
      </c>
      <c r="X440" s="742">
        <f t="shared" si="238"/>
        <v>0</v>
      </c>
      <c r="Y440" s="742">
        <f t="shared" si="238"/>
        <v>0</v>
      </c>
      <c r="Z440" s="742">
        <f>Z418+Z398+Z396+Z436</f>
        <v>90910.969999999987</v>
      </c>
      <c r="AA440" s="742">
        <f>AA418+AA398+AA396+AA436</f>
        <v>24400</v>
      </c>
      <c r="AB440" s="742">
        <f t="shared" si="238"/>
        <v>0</v>
      </c>
      <c r="AC440" s="742">
        <f t="shared" ref="AC440:AH440" si="239">AC418+AC398+AC396+AC436</f>
        <v>24400</v>
      </c>
      <c r="AD440" s="742">
        <f t="shared" si="239"/>
        <v>1115331.6400000001</v>
      </c>
      <c r="AE440" s="742">
        <f t="shared" si="239"/>
        <v>13820055.84</v>
      </c>
      <c r="AF440" s="742">
        <f t="shared" si="239"/>
        <v>0</v>
      </c>
      <c r="AG440" s="787">
        <f t="shared" si="239"/>
        <v>12371296.784000002</v>
      </c>
      <c r="AH440" s="787">
        <f t="shared" si="239"/>
        <v>404</v>
      </c>
      <c r="AI440" s="742">
        <f>SUM(AI364+AI373+AI381+AI389+AI398+AI418+AI436)</f>
        <v>13820055.84</v>
      </c>
    </row>
    <row r="441" spans="1:35" x14ac:dyDescent="0.2">
      <c r="B441" s="17"/>
      <c r="C441" s="17"/>
      <c r="D441" s="17"/>
      <c r="E441" s="17"/>
      <c r="F441" s="17"/>
      <c r="G441" s="17"/>
      <c r="H441" s="17"/>
      <c r="I441" s="17"/>
      <c r="J441" s="17"/>
      <c r="K441" s="17"/>
      <c r="L441" s="17"/>
      <c r="M441" s="17"/>
      <c r="N441" s="17"/>
      <c r="O441" s="17"/>
      <c r="P441" s="17"/>
      <c r="R441" s="17"/>
      <c r="S441" s="17"/>
      <c r="T441" s="17"/>
      <c r="U441" s="17"/>
      <c r="V441" s="17"/>
      <c r="W441" s="17"/>
      <c r="X441" s="17"/>
      <c r="Y441" s="17"/>
      <c r="Z441" s="17"/>
      <c r="AA441" s="17"/>
      <c r="AB441" s="17"/>
      <c r="AC441" s="17"/>
      <c r="AD441" s="17"/>
      <c r="AE441" s="17"/>
      <c r="AF441" s="17"/>
      <c r="AG441" s="17"/>
      <c r="AH441" s="17"/>
      <c r="AI441" s="17"/>
    </row>
    <row r="442" spans="1:35" x14ac:dyDescent="0.2">
      <c r="B442" s="17"/>
      <c r="C442" s="17"/>
      <c r="D442" s="17"/>
      <c r="E442" s="17"/>
      <c r="F442" s="17"/>
      <c r="G442" s="17"/>
      <c r="H442" s="17"/>
      <c r="I442" s="17"/>
      <c r="J442" s="17"/>
      <c r="K442" s="17"/>
      <c r="L442" s="17"/>
      <c r="M442" s="17"/>
      <c r="N442" s="17"/>
      <c r="O442" s="17"/>
      <c r="P442" s="17"/>
      <c r="R442" s="17"/>
      <c r="S442" s="17"/>
      <c r="T442" s="17"/>
      <c r="U442" s="17"/>
      <c r="V442" s="17"/>
      <c r="W442" s="17"/>
      <c r="X442" s="17"/>
      <c r="Y442" s="17"/>
      <c r="Z442" s="17"/>
      <c r="AA442" s="17"/>
      <c r="AB442" s="17"/>
      <c r="AC442" s="17"/>
      <c r="AD442" s="17"/>
      <c r="AE442" s="17"/>
      <c r="AF442" s="17"/>
      <c r="AG442" s="17"/>
      <c r="AH442" s="17"/>
      <c r="AI442" s="17"/>
    </row>
    <row r="443" spans="1:35" ht="24" x14ac:dyDescent="0.2">
      <c r="A443" s="706" t="s">
        <v>628</v>
      </c>
      <c r="B443" s="743"/>
      <c r="C443" s="742"/>
      <c r="D443" s="742"/>
      <c r="E443" s="742"/>
      <c r="F443" s="742"/>
      <c r="G443" s="742"/>
      <c r="H443" s="742"/>
      <c r="I443" s="742"/>
      <c r="J443" s="742"/>
      <c r="K443" s="742"/>
      <c r="L443" s="742"/>
      <c r="M443" s="742"/>
      <c r="N443" s="742"/>
      <c r="O443" s="742"/>
      <c r="P443" s="742"/>
      <c r="Q443" s="712"/>
      <c r="R443" s="742"/>
      <c r="S443" s="742"/>
      <c r="T443" s="742"/>
      <c r="U443" s="742"/>
      <c r="V443" s="742"/>
      <c r="W443" s="742"/>
      <c r="X443" s="742"/>
      <c r="Y443" s="742"/>
      <c r="Z443" s="742"/>
      <c r="AA443" s="742"/>
      <c r="AB443" s="742"/>
      <c r="AC443" s="742"/>
      <c r="AD443" s="742"/>
      <c r="AE443" s="742"/>
      <c r="AF443" s="742"/>
      <c r="AG443" s="743"/>
      <c r="AH443" s="743"/>
      <c r="AI443" s="742"/>
    </row>
    <row r="444" spans="1:35" ht="12.75" customHeight="1" x14ac:dyDescent="0.2">
      <c r="A444" s="1488" t="s">
        <v>644</v>
      </c>
      <c r="B444" s="1487" t="s">
        <v>645</v>
      </c>
      <c r="C444" s="1487"/>
      <c r="D444" s="1487"/>
      <c r="E444" s="1487"/>
      <c r="F444" s="1487"/>
      <c r="G444" s="1487"/>
      <c r="H444" s="1487"/>
      <c r="I444" s="1487"/>
      <c r="J444" s="1487"/>
      <c r="K444" s="1487"/>
      <c r="L444" s="1487"/>
      <c r="M444" s="1487"/>
      <c r="N444" s="1487"/>
      <c r="O444" s="1487"/>
      <c r="P444" s="1487"/>
      <c r="Q444" s="1487" t="s">
        <v>646</v>
      </c>
      <c r="R444" s="1487"/>
      <c r="S444" s="1487"/>
      <c r="T444" s="1487"/>
      <c r="U444" s="1487"/>
      <c r="V444" s="1487"/>
      <c r="W444" s="1487"/>
      <c r="X444" s="1487"/>
      <c r="Y444" s="1487"/>
      <c r="Z444" s="1487"/>
      <c r="AA444" s="1487"/>
      <c r="AB444" s="1487"/>
      <c r="AC444" s="1487"/>
      <c r="AD444" s="1487"/>
      <c r="AE444" s="1487"/>
      <c r="AF444" s="1487" t="s">
        <v>647</v>
      </c>
      <c r="AG444" s="1487"/>
      <c r="AH444" s="1487" t="s">
        <v>648</v>
      </c>
      <c r="AI444" s="1487"/>
    </row>
    <row r="445" spans="1:35" ht="120" customHeight="1" x14ac:dyDescent="0.2">
      <c r="A445" s="1488"/>
      <c r="B445" s="691" t="s">
        <v>649</v>
      </c>
      <c r="C445" s="692" t="s">
        <v>650</v>
      </c>
      <c r="D445" s="692" t="s">
        <v>684</v>
      </c>
      <c r="E445" s="692" t="s">
        <v>652</v>
      </c>
      <c r="F445" s="692" t="s">
        <v>653</v>
      </c>
      <c r="G445" s="692" t="s">
        <v>654</v>
      </c>
      <c r="H445" s="692" t="s">
        <v>655</v>
      </c>
      <c r="I445" s="692" t="s">
        <v>656</v>
      </c>
      <c r="J445" s="692" t="s">
        <v>657</v>
      </c>
      <c r="K445" s="692" t="s">
        <v>658</v>
      </c>
      <c r="L445" s="692" t="s">
        <v>659</v>
      </c>
      <c r="M445" s="692" t="s">
        <v>660</v>
      </c>
      <c r="N445" s="692" t="s">
        <v>661</v>
      </c>
      <c r="O445" s="692" t="s">
        <v>662</v>
      </c>
      <c r="P445" s="692" t="s">
        <v>685</v>
      </c>
      <c r="Q445" s="691" t="s">
        <v>649</v>
      </c>
      <c r="R445" s="692" t="s">
        <v>650</v>
      </c>
      <c r="S445" s="692" t="s">
        <v>651</v>
      </c>
      <c r="T445" s="692" t="s">
        <v>652</v>
      </c>
      <c r="U445" s="692" t="s">
        <v>653</v>
      </c>
      <c r="V445" s="692" t="s">
        <v>654</v>
      </c>
      <c r="W445" s="692" t="s">
        <v>655</v>
      </c>
      <c r="X445" s="692" t="s">
        <v>656</v>
      </c>
      <c r="Y445" s="692" t="s">
        <v>657</v>
      </c>
      <c r="Z445" s="692" t="s">
        <v>658</v>
      </c>
      <c r="AA445" s="692" t="s">
        <v>659</v>
      </c>
      <c r="AB445" s="692" t="s">
        <v>660</v>
      </c>
      <c r="AC445" s="692" t="s">
        <v>661</v>
      </c>
      <c r="AD445" s="692" t="s">
        <v>662</v>
      </c>
      <c r="AE445" s="692" t="s">
        <v>686</v>
      </c>
      <c r="AF445" s="692" t="s">
        <v>664</v>
      </c>
      <c r="AG445" s="691" t="s">
        <v>665</v>
      </c>
      <c r="AH445" s="691" t="s">
        <v>649</v>
      </c>
      <c r="AI445" s="692" t="s">
        <v>687</v>
      </c>
    </row>
    <row r="446" spans="1:35" x14ac:dyDescent="0.2">
      <c r="A446" s="1488"/>
      <c r="B446" s="555" t="s">
        <v>667</v>
      </c>
      <c r="C446" s="733" t="s">
        <v>668</v>
      </c>
      <c r="D446" s="733" t="s">
        <v>669</v>
      </c>
      <c r="E446" s="733" t="s">
        <v>670</v>
      </c>
      <c r="F446" s="734" t="s">
        <v>671</v>
      </c>
      <c r="G446" s="734" t="s">
        <v>672</v>
      </c>
      <c r="H446" s="734" t="s">
        <v>673</v>
      </c>
      <c r="I446" s="734" t="s">
        <v>674</v>
      </c>
      <c r="J446" s="734" t="s">
        <v>675</v>
      </c>
      <c r="K446" s="734" t="s">
        <v>676</v>
      </c>
      <c r="L446" s="734" t="s">
        <v>677</v>
      </c>
      <c r="M446" s="734" t="s">
        <v>678</v>
      </c>
      <c r="N446" s="734" t="s">
        <v>679</v>
      </c>
      <c r="O446" s="734" t="s">
        <v>680</v>
      </c>
      <c r="P446" s="734" t="s">
        <v>681</v>
      </c>
      <c r="Q446" s="555" t="s">
        <v>667</v>
      </c>
      <c r="R446" s="733" t="s">
        <v>668</v>
      </c>
      <c r="S446" s="733" t="s">
        <v>669</v>
      </c>
      <c r="T446" s="733" t="s">
        <v>670</v>
      </c>
      <c r="U446" s="734" t="s">
        <v>671</v>
      </c>
      <c r="V446" s="734" t="s">
        <v>672</v>
      </c>
      <c r="W446" s="734" t="s">
        <v>673</v>
      </c>
      <c r="X446" s="734" t="s">
        <v>674</v>
      </c>
      <c r="Y446" s="734" t="s">
        <v>675</v>
      </c>
      <c r="Z446" s="734" t="s">
        <v>676</v>
      </c>
      <c r="AA446" s="734" t="s">
        <v>677</v>
      </c>
      <c r="AB446" s="734" t="s">
        <v>678</v>
      </c>
      <c r="AC446" s="734" t="s">
        <v>679</v>
      </c>
      <c r="AD446" s="734" t="s">
        <v>680</v>
      </c>
      <c r="AE446" s="734" t="s">
        <v>681</v>
      </c>
      <c r="AF446" s="733"/>
      <c r="AG446" s="555"/>
      <c r="AH446" s="555"/>
      <c r="AI446" s="733"/>
    </row>
    <row r="447" spans="1:35" x14ac:dyDescent="0.2">
      <c r="A447" s="857"/>
      <c r="B447" s="720"/>
      <c r="C447" s="754"/>
      <c r="D447" s="754"/>
      <c r="E447" s="754"/>
      <c r="F447" s="754"/>
      <c r="G447" s="754"/>
      <c r="H447" s="754"/>
      <c r="I447" s="754"/>
      <c r="J447" s="754"/>
      <c r="K447" s="754"/>
      <c r="L447" s="754"/>
      <c r="M447" s="754"/>
      <c r="N447" s="754"/>
      <c r="O447" s="754"/>
      <c r="P447" s="754"/>
      <c r="Q447" s="708"/>
      <c r="R447" s="754"/>
      <c r="S447" s="754"/>
      <c r="T447" s="754"/>
      <c r="U447" s="754"/>
      <c r="V447" s="754"/>
      <c r="W447" s="754"/>
      <c r="X447" s="754"/>
      <c r="Y447" s="754"/>
      <c r="Z447" s="754"/>
      <c r="AA447" s="754"/>
      <c r="AB447" s="754"/>
      <c r="AC447" s="754"/>
      <c r="AD447" s="754"/>
      <c r="AE447" s="754"/>
      <c r="AF447" s="754"/>
      <c r="AG447" s="720"/>
      <c r="AH447" s="720"/>
      <c r="AI447" s="754"/>
    </row>
    <row r="448" spans="1:35" x14ac:dyDescent="0.2">
      <c r="A448" s="857" t="s">
        <v>688</v>
      </c>
      <c r="B448" s="720"/>
      <c r="C448" s="754"/>
      <c r="D448" s="754"/>
      <c r="E448" s="754"/>
      <c r="F448" s="754"/>
      <c r="G448" s="754"/>
      <c r="H448" s="754"/>
      <c r="I448" s="754"/>
      <c r="J448" s="754"/>
      <c r="K448" s="754"/>
      <c r="L448" s="754"/>
      <c r="M448" s="754"/>
      <c r="N448" s="754"/>
      <c r="O448" s="754"/>
      <c r="P448" s="754"/>
      <c r="Q448" s="708"/>
      <c r="R448" s="754"/>
      <c r="S448" s="754"/>
      <c r="T448" s="754"/>
      <c r="U448" s="754"/>
      <c r="V448" s="754"/>
      <c r="W448" s="754"/>
      <c r="X448" s="754"/>
      <c r="Y448" s="754"/>
      <c r="Z448" s="754"/>
      <c r="AA448" s="754"/>
      <c r="AB448" s="754"/>
      <c r="AC448" s="754"/>
      <c r="AD448" s="754"/>
      <c r="AE448" s="754"/>
      <c r="AF448" s="754"/>
      <c r="AG448" s="720"/>
      <c r="AH448" s="720"/>
      <c r="AI448" s="754"/>
    </row>
    <row r="449" spans="1:35" x14ac:dyDescent="0.2">
      <c r="A449" s="871" t="s">
        <v>378</v>
      </c>
      <c r="B449" s="720"/>
      <c r="C449" s="754"/>
      <c r="D449" s="754"/>
      <c r="E449" s="754"/>
      <c r="F449" s="754"/>
      <c r="G449" s="754"/>
      <c r="H449" s="754"/>
      <c r="I449" s="754"/>
      <c r="J449" s="754"/>
      <c r="K449" s="754"/>
      <c r="L449" s="754"/>
      <c r="M449" s="754"/>
      <c r="N449" s="754"/>
      <c r="O449" s="754"/>
      <c r="P449" s="754"/>
      <c r="Q449" s="708"/>
      <c r="R449" s="754"/>
      <c r="S449" s="754"/>
      <c r="T449" s="754"/>
      <c r="U449" s="754"/>
      <c r="V449" s="754"/>
      <c r="W449" s="754"/>
      <c r="X449" s="754"/>
      <c r="Y449" s="754"/>
      <c r="Z449" s="754"/>
      <c r="AA449" s="754"/>
      <c r="AB449" s="754"/>
      <c r="AC449" s="754"/>
      <c r="AD449" s="754"/>
      <c r="AE449" s="754"/>
      <c r="AF449" s="754"/>
      <c r="AG449" s="720"/>
      <c r="AH449" s="720"/>
      <c r="AI449" s="754"/>
    </row>
    <row r="450" spans="1:35" x14ac:dyDescent="0.2">
      <c r="A450" s="857" t="s">
        <v>381</v>
      </c>
      <c r="B450" s="720">
        <v>1</v>
      </c>
      <c r="C450" s="754">
        <v>6934</v>
      </c>
      <c r="D450" s="754"/>
      <c r="E450" s="754"/>
      <c r="F450" s="754">
        <v>4454</v>
      </c>
      <c r="G450" s="754">
        <v>352</v>
      </c>
      <c r="H450" s="754"/>
      <c r="I450" s="754"/>
      <c r="J450" s="754"/>
      <c r="K450" s="754">
        <f>SUM(C450:J450)</f>
        <v>11740</v>
      </c>
      <c r="L450" s="754">
        <v>1000</v>
      </c>
      <c r="M450" s="754"/>
      <c r="N450" s="754">
        <f>+L450+M450</f>
        <v>1000</v>
      </c>
      <c r="O450" s="754">
        <f>+K450*12+N450</f>
        <v>141880</v>
      </c>
      <c r="P450" s="754">
        <f>+B450*O450</f>
        <v>141880</v>
      </c>
      <c r="Q450" s="708">
        <v>1</v>
      </c>
      <c r="R450" s="754">
        <v>6934</v>
      </c>
      <c r="S450" s="754"/>
      <c r="T450" s="754"/>
      <c r="U450" s="754">
        <v>4454</v>
      </c>
      <c r="V450" s="754">
        <v>352</v>
      </c>
      <c r="W450" s="754"/>
      <c r="X450" s="754"/>
      <c r="Y450" s="754"/>
      <c r="Z450" s="754">
        <f>SUM(R450:Y450)</f>
        <v>11740</v>
      </c>
      <c r="AA450" s="754">
        <v>1000</v>
      </c>
      <c r="AB450" s="754"/>
      <c r="AC450" s="754">
        <f>+AA450+AB450</f>
        <v>1000</v>
      </c>
      <c r="AD450" s="754">
        <f>+Z450*12+AC450</f>
        <v>141880</v>
      </c>
      <c r="AE450" s="754">
        <f>+Q450*AD450</f>
        <v>141880</v>
      </c>
      <c r="AF450" s="754"/>
      <c r="AG450" s="720"/>
      <c r="AH450" s="720"/>
      <c r="AI450" s="754"/>
    </row>
    <row r="451" spans="1:35" x14ac:dyDescent="0.2">
      <c r="A451" s="857" t="s">
        <v>382</v>
      </c>
      <c r="B451" s="720">
        <v>7</v>
      </c>
      <c r="C451" s="754">
        <v>1618.37</v>
      </c>
      <c r="D451" s="754"/>
      <c r="E451" s="754"/>
      <c r="F451" s="754">
        <v>2092</v>
      </c>
      <c r="G451" s="754">
        <v>108.09</v>
      </c>
      <c r="H451" s="754"/>
      <c r="I451" s="754"/>
      <c r="J451" s="754"/>
      <c r="K451" s="754">
        <f t="shared" ref="K451:K452" si="240">SUM(C451:J451)</f>
        <v>3818.46</v>
      </c>
      <c r="L451" s="754">
        <v>1000</v>
      </c>
      <c r="M451" s="754"/>
      <c r="N451" s="754">
        <f t="shared" ref="N451:N453" si="241">+L451+M451</f>
        <v>1000</v>
      </c>
      <c r="O451" s="754">
        <f t="shared" ref="O451:O453" si="242">+K451*12+N451</f>
        <v>46821.520000000004</v>
      </c>
      <c r="P451" s="754">
        <f t="shared" ref="P451:P453" si="243">+B451*O451</f>
        <v>327750.64</v>
      </c>
      <c r="Q451" s="708">
        <v>7</v>
      </c>
      <c r="R451" s="754">
        <v>1618.37</v>
      </c>
      <c r="S451" s="754"/>
      <c r="T451" s="754"/>
      <c r="U451" s="754">
        <v>2092</v>
      </c>
      <c r="V451" s="754">
        <v>108.09</v>
      </c>
      <c r="W451" s="754"/>
      <c r="X451" s="754"/>
      <c r="Y451" s="754"/>
      <c r="Z451" s="754">
        <f t="shared" ref="Z451:Z452" si="244">SUM(R451:Y451)</f>
        <v>3818.46</v>
      </c>
      <c r="AA451" s="754">
        <v>1000</v>
      </c>
      <c r="AB451" s="754"/>
      <c r="AC451" s="754">
        <f t="shared" ref="AC451:AC453" si="245">+AA451+AB451</f>
        <v>1000</v>
      </c>
      <c r="AD451" s="754">
        <f t="shared" ref="AD451:AD453" si="246">+Z451*12+AC451</f>
        <v>46821.520000000004</v>
      </c>
      <c r="AE451" s="754">
        <f t="shared" ref="AE451:AE453" si="247">+Q451*AD451</f>
        <v>327750.64</v>
      </c>
      <c r="AF451" s="754"/>
      <c r="AG451" s="720"/>
      <c r="AH451" s="720"/>
      <c r="AI451" s="754"/>
    </row>
    <row r="452" spans="1:35" x14ac:dyDescent="0.2">
      <c r="A452" s="857" t="s">
        <v>383</v>
      </c>
      <c r="B452" s="720">
        <v>11</v>
      </c>
      <c r="C452" s="754">
        <v>1444.97</v>
      </c>
      <c r="D452" s="754"/>
      <c r="E452" s="754"/>
      <c r="F452" s="754">
        <v>1658</v>
      </c>
      <c r="G452" s="754">
        <v>108.09</v>
      </c>
      <c r="H452" s="754"/>
      <c r="I452" s="754"/>
      <c r="J452" s="754"/>
      <c r="K452" s="754">
        <f t="shared" si="240"/>
        <v>3211.0600000000004</v>
      </c>
      <c r="L452" s="754">
        <v>1000</v>
      </c>
      <c r="M452" s="754"/>
      <c r="N452" s="754">
        <f t="shared" si="241"/>
        <v>1000</v>
      </c>
      <c r="O452" s="754">
        <f t="shared" si="242"/>
        <v>39532.720000000001</v>
      </c>
      <c r="P452" s="754">
        <f t="shared" si="243"/>
        <v>434859.92000000004</v>
      </c>
      <c r="Q452" s="708">
        <v>11</v>
      </c>
      <c r="R452" s="754">
        <v>1444.97</v>
      </c>
      <c r="S452" s="754"/>
      <c r="T452" s="754"/>
      <c r="U452" s="754">
        <v>1658</v>
      </c>
      <c r="V452" s="754">
        <v>108.09</v>
      </c>
      <c r="W452" s="754"/>
      <c r="X452" s="754"/>
      <c r="Y452" s="754"/>
      <c r="Z452" s="754">
        <f t="shared" si="244"/>
        <v>3211.0600000000004</v>
      </c>
      <c r="AA452" s="754">
        <v>1000</v>
      </c>
      <c r="AB452" s="754"/>
      <c r="AC452" s="754">
        <f t="shared" si="245"/>
        <v>1000</v>
      </c>
      <c r="AD452" s="754">
        <f t="shared" si="246"/>
        <v>39532.720000000001</v>
      </c>
      <c r="AE452" s="754">
        <f t="shared" si="247"/>
        <v>434859.92000000004</v>
      </c>
      <c r="AF452" s="754"/>
      <c r="AG452" s="720"/>
      <c r="AH452" s="720"/>
      <c r="AI452" s="754"/>
    </row>
    <row r="453" spans="1:35" x14ac:dyDescent="0.2">
      <c r="A453" s="857" t="s">
        <v>406</v>
      </c>
      <c r="B453" s="720">
        <v>1</v>
      </c>
      <c r="C453" s="754">
        <v>1664.75</v>
      </c>
      <c r="D453" s="754"/>
      <c r="E453" s="754"/>
      <c r="F453" s="754">
        <v>1360</v>
      </c>
      <c r="G453" s="754">
        <v>108.09</v>
      </c>
      <c r="H453" s="754"/>
      <c r="I453" s="754"/>
      <c r="J453" s="754"/>
      <c r="K453" s="754">
        <f>SUM(C453:J453)</f>
        <v>3132.84</v>
      </c>
      <c r="L453" s="754">
        <v>1000</v>
      </c>
      <c r="M453" s="754"/>
      <c r="N453" s="754">
        <f t="shared" si="241"/>
        <v>1000</v>
      </c>
      <c r="O453" s="754">
        <f t="shared" si="242"/>
        <v>38594.080000000002</v>
      </c>
      <c r="P453" s="754">
        <f t="shared" si="243"/>
        <v>38594.080000000002</v>
      </c>
      <c r="Q453" s="708">
        <v>1</v>
      </c>
      <c r="R453" s="754">
        <v>1664.75</v>
      </c>
      <c r="S453" s="754"/>
      <c r="T453" s="754"/>
      <c r="U453" s="754">
        <v>1360</v>
      </c>
      <c r="V453" s="754">
        <v>108.09</v>
      </c>
      <c r="W453" s="754"/>
      <c r="X453" s="754"/>
      <c r="Y453" s="754"/>
      <c r="Z453" s="754">
        <f>SUM(R453:Y453)</f>
        <v>3132.84</v>
      </c>
      <c r="AA453" s="754">
        <v>1000</v>
      </c>
      <c r="AB453" s="754"/>
      <c r="AC453" s="754">
        <f t="shared" si="245"/>
        <v>1000</v>
      </c>
      <c r="AD453" s="754">
        <f t="shared" si="246"/>
        <v>38594.080000000002</v>
      </c>
      <c r="AE453" s="754">
        <f t="shared" si="247"/>
        <v>38594.080000000002</v>
      </c>
      <c r="AF453" s="754"/>
      <c r="AG453" s="720"/>
      <c r="AH453" s="720"/>
      <c r="AI453" s="754"/>
    </row>
    <row r="454" spans="1:35" x14ac:dyDescent="0.2">
      <c r="A454" s="871" t="s">
        <v>385</v>
      </c>
      <c r="B454" s="720"/>
      <c r="C454" s="754"/>
      <c r="D454" s="754"/>
      <c r="E454" s="754"/>
      <c r="F454" s="754"/>
      <c r="G454" s="754"/>
      <c r="H454" s="754"/>
      <c r="I454" s="754"/>
      <c r="J454" s="754"/>
      <c r="K454" s="754"/>
      <c r="L454" s="754"/>
      <c r="M454" s="754"/>
      <c r="N454" s="754"/>
      <c r="O454" s="754"/>
      <c r="P454" s="754"/>
      <c r="Q454" s="708"/>
      <c r="R454" s="754"/>
      <c r="S454" s="754"/>
      <c r="T454" s="754"/>
      <c r="U454" s="754"/>
      <c r="V454" s="754"/>
      <c r="W454" s="754"/>
      <c r="X454" s="754"/>
      <c r="Y454" s="754"/>
      <c r="Z454" s="754"/>
      <c r="AA454" s="754"/>
      <c r="AB454" s="754"/>
      <c r="AC454" s="754"/>
      <c r="AD454" s="754"/>
      <c r="AE454" s="754"/>
      <c r="AF454" s="754"/>
      <c r="AG454" s="720"/>
      <c r="AH454" s="720"/>
      <c r="AI454" s="754"/>
    </row>
    <row r="455" spans="1:35" x14ac:dyDescent="0.2">
      <c r="A455" s="857" t="s">
        <v>386</v>
      </c>
      <c r="B455" s="720">
        <v>1</v>
      </c>
      <c r="C455" s="754">
        <v>1684.9</v>
      </c>
      <c r="D455" s="754"/>
      <c r="E455" s="754"/>
      <c r="F455" s="754">
        <v>1230</v>
      </c>
      <c r="G455" s="754">
        <v>89.07</v>
      </c>
      <c r="H455" s="754"/>
      <c r="I455" s="754">
        <v>140</v>
      </c>
      <c r="J455" s="754"/>
      <c r="K455" s="754">
        <f>SUM(C455:J455)</f>
        <v>3143.9700000000003</v>
      </c>
      <c r="L455" s="754">
        <v>1000</v>
      </c>
      <c r="M455" s="754"/>
      <c r="N455" s="754">
        <f t="shared" ref="N455:N458" si="248">+L455+M455</f>
        <v>1000</v>
      </c>
      <c r="O455" s="754">
        <f t="shared" ref="O455:O458" si="249">+K455*12+N455</f>
        <v>38727.64</v>
      </c>
      <c r="P455" s="754">
        <f t="shared" ref="P455:P458" si="250">+B455*O455</f>
        <v>38727.64</v>
      </c>
      <c r="Q455" s="708">
        <v>1</v>
      </c>
      <c r="R455" s="754">
        <v>1684.9</v>
      </c>
      <c r="S455" s="754"/>
      <c r="T455" s="754"/>
      <c r="U455" s="754">
        <v>1230</v>
      </c>
      <c r="V455" s="754">
        <v>89.07</v>
      </c>
      <c r="W455" s="754"/>
      <c r="X455" s="754">
        <v>140</v>
      </c>
      <c r="Y455" s="754"/>
      <c r="Z455" s="754">
        <f>SUM(R455:Y455)</f>
        <v>3143.9700000000003</v>
      </c>
      <c r="AA455" s="754">
        <v>1000</v>
      </c>
      <c r="AB455" s="754"/>
      <c r="AC455" s="754">
        <f t="shared" ref="AC455:AC458" si="251">+AA455+AB455</f>
        <v>1000</v>
      </c>
      <c r="AD455" s="754">
        <f t="shared" ref="AD455:AD458" si="252">+Z455*12+AC455</f>
        <v>38727.64</v>
      </c>
      <c r="AE455" s="754">
        <f t="shared" ref="AE455:AE458" si="253">+Q455*AD455</f>
        <v>38727.64</v>
      </c>
      <c r="AF455" s="754"/>
      <c r="AG455" s="720"/>
      <c r="AH455" s="720"/>
      <c r="AI455" s="754"/>
    </row>
    <row r="456" spans="1:35" x14ac:dyDescent="0.2">
      <c r="A456" s="857" t="s">
        <v>387</v>
      </c>
      <c r="B456" s="720">
        <v>1</v>
      </c>
      <c r="C456" s="754">
        <v>1422</v>
      </c>
      <c r="D456" s="754"/>
      <c r="E456" s="754"/>
      <c r="F456" s="754">
        <v>1230</v>
      </c>
      <c r="G456" s="754">
        <v>89.07</v>
      </c>
      <c r="H456" s="754"/>
      <c r="I456" s="754">
        <v>140</v>
      </c>
      <c r="J456" s="754"/>
      <c r="K456" s="754">
        <f t="shared" ref="K456:K458" si="254">SUM(C456:J456)</f>
        <v>2881.07</v>
      </c>
      <c r="L456" s="754">
        <v>1000</v>
      </c>
      <c r="M456" s="754"/>
      <c r="N456" s="754">
        <f t="shared" si="248"/>
        <v>1000</v>
      </c>
      <c r="O456" s="754">
        <f t="shared" si="249"/>
        <v>35572.840000000004</v>
      </c>
      <c r="P456" s="754">
        <f t="shared" si="250"/>
        <v>35572.840000000004</v>
      </c>
      <c r="Q456" s="708">
        <v>1</v>
      </c>
      <c r="R456" s="754">
        <v>1422</v>
      </c>
      <c r="S456" s="754"/>
      <c r="T456" s="754"/>
      <c r="U456" s="754">
        <v>1230</v>
      </c>
      <c r="V456" s="754">
        <v>89.07</v>
      </c>
      <c r="W456" s="754"/>
      <c r="X456" s="754">
        <v>140</v>
      </c>
      <c r="Y456" s="754"/>
      <c r="Z456" s="754">
        <f t="shared" ref="Z456:Z458" si="255">SUM(R456:Y456)</f>
        <v>2881.07</v>
      </c>
      <c r="AA456" s="754">
        <v>1000</v>
      </c>
      <c r="AB456" s="754"/>
      <c r="AC456" s="754">
        <f t="shared" si="251"/>
        <v>1000</v>
      </c>
      <c r="AD456" s="754">
        <f t="shared" si="252"/>
        <v>35572.840000000004</v>
      </c>
      <c r="AE456" s="754">
        <f t="shared" si="253"/>
        <v>35572.840000000004</v>
      </c>
      <c r="AF456" s="754"/>
      <c r="AG456" s="720"/>
      <c r="AH456" s="720"/>
      <c r="AI456" s="754"/>
    </row>
    <row r="457" spans="1:35" x14ac:dyDescent="0.2">
      <c r="A457" s="857" t="s">
        <v>437</v>
      </c>
      <c r="B457" s="720">
        <v>13</v>
      </c>
      <c r="C457" s="754">
        <v>990</v>
      </c>
      <c r="D457" s="754"/>
      <c r="E457" s="754"/>
      <c r="F457" s="754">
        <v>1230</v>
      </c>
      <c r="G457" s="754">
        <v>89.07</v>
      </c>
      <c r="H457" s="754"/>
      <c r="I457" s="754">
        <v>140</v>
      </c>
      <c r="J457" s="754"/>
      <c r="K457" s="754">
        <f t="shared" si="254"/>
        <v>2449.0700000000002</v>
      </c>
      <c r="L457" s="754">
        <v>1000</v>
      </c>
      <c r="M457" s="754"/>
      <c r="N457" s="754">
        <f t="shared" si="248"/>
        <v>1000</v>
      </c>
      <c r="O457" s="754">
        <f t="shared" si="249"/>
        <v>30388.840000000004</v>
      </c>
      <c r="P457" s="754">
        <f t="shared" si="250"/>
        <v>395054.92000000004</v>
      </c>
      <c r="Q457" s="708">
        <v>13</v>
      </c>
      <c r="R457" s="754">
        <v>990</v>
      </c>
      <c r="S457" s="754"/>
      <c r="T457" s="754"/>
      <c r="U457" s="754">
        <v>1230</v>
      </c>
      <c r="V457" s="754">
        <v>89.07</v>
      </c>
      <c r="W457" s="754"/>
      <c r="X457" s="754">
        <v>140</v>
      </c>
      <c r="Y457" s="754"/>
      <c r="Z457" s="754">
        <f t="shared" si="255"/>
        <v>2449.0700000000002</v>
      </c>
      <c r="AA457" s="754">
        <v>1000</v>
      </c>
      <c r="AB457" s="754"/>
      <c r="AC457" s="754">
        <f t="shared" si="251"/>
        <v>1000</v>
      </c>
      <c r="AD457" s="754">
        <f t="shared" si="252"/>
        <v>30388.840000000004</v>
      </c>
      <c r="AE457" s="754">
        <f t="shared" si="253"/>
        <v>395054.92000000004</v>
      </c>
      <c r="AF457" s="754"/>
      <c r="AG457" s="720"/>
      <c r="AH457" s="720"/>
      <c r="AI457" s="754"/>
    </row>
    <row r="458" spans="1:35" x14ac:dyDescent="0.2">
      <c r="A458" s="857" t="s">
        <v>408</v>
      </c>
      <c r="B458" s="720">
        <v>4</v>
      </c>
      <c r="C458" s="754">
        <v>923</v>
      </c>
      <c r="D458" s="754"/>
      <c r="E458" s="754"/>
      <c r="F458" s="754">
        <v>1230</v>
      </c>
      <c r="G458" s="754">
        <v>89.07</v>
      </c>
      <c r="H458" s="754"/>
      <c r="I458" s="754"/>
      <c r="J458" s="754"/>
      <c r="K458" s="754">
        <f t="shared" si="254"/>
        <v>2242.0700000000002</v>
      </c>
      <c r="L458" s="754">
        <v>1000</v>
      </c>
      <c r="M458" s="754"/>
      <c r="N458" s="754">
        <f t="shared" si="248"/>
        <v>1000</v>
      </c>
      <c r="O458" s="754">
        <f t="shared" si="249"/>
        <v>27904.840000000004</v>
      </c>
      <c r="P458" s="754">
        <f t="shared" si="250"/>
        <v>111619.36000000002</v>
      </c>
      <c r="Q458" s="708">
        <v>4</v>
      </c>
      <c r="R458" s="754">
        <v>923</v>
      </c>
      <c r="S458" s="754"/>
      <c r="T458" s="754"/>
      <c r="U458" s="754">
        <v>1230</v>
      </c>
      <c r="V458" s="754">
        <v>89.07</v>
      </c>
      <c r="W458" s="754"/>
      <c r="X458" s="754"/>
      <c r="Y458" s="754"/>
      <c r="Z458" s="754">
        <f t="shared" si="255"/>
        <v>2242.0700000000002</v>
      </c>
      <c r="AA458" s="754">
        <v>1000</v>
      </c>
      <c r="AB458" s="754"/>
      <c r="AC458" s="754">
        <f t="shared" si="251"/>
        <v>1000</v>
      </c>
      <c r="AD458" s="754">
        <f t="shared" si="252"/>
        <v>27904.840000000004</v>
      </c>
      <c r="AE458" s="754">
        <f t="shared" si="253"/>
        <v>111619.36000000002</v>
      </c>
      <c r="AF458" s="754"/>
      <c r="AG458" s="720"/>
      <c r="AH458" s="720"/>
      <c r="AI458" s="754"/>
    </row>
    <row r="459" spans="1:35" x14ac:dyDescent="0.2">
      <c r="A459" s="871" t="s">
        <v>389</v>
      </c>
      <c r="B459" s="720"/>
      <c r="C459" s="754"/>
      <c r="D459" s="754"/>
      <c r="E459" s="754"/>
      <c r="F459" s="754"/>
      <c r="G459" s="754"/>
      <c r="H459" s="754"/>
      <c r="I459" s="754"/>
      <c r="J459" s="754"/>
      <c r="K459" s="754"/>
      <c r="L459" s="754"/>
      <c r="M459" s="754"/>
      <c r="N459" s="754"/>
      <c r="O459" s="754"/>
      <c r="P459" s="754"/>
      <c r="Q459" s="708"/>
      <c r="R459" s="754"/>
      <c r="S459" s="754"/>
      <c r="T459" s="754"/>
      <c r="U459" s="754"/>
      <c r="V459" s="754"/>
      <c r="W459" s="754"/>
      <c r="X459" s="754"/>
      <c r="Y459" s="754"/>
      <c r="Z459" s="754"/>
      <c r="AA459" s="754"/>
      <c r="AB459" s="754"/>
      <c r="AC459" s="754"/>
      <c r="AD459" s="754"/>
      <c r="AE459" s="754"/>
      <c r="AF459" s="754"/>
      <c r="AG459" s="720"/>
      <c r="AH459" s="720"/>
      <c r="AI459" s="754"/>
    </row>
    <row r="460" spans="1:35" x14ac:dyDescent="0.2">
      <c r="A460" s="857" t="s">
        <v>390</v>
      </c>
      <c r="B460" s="720">
        <v>8</v>
      </c>
      <c r="C460" s="754">
        <v>910</v>
      </c>
      <c r="D460" s="754"/>
      <c r="E460" s="754"/>
      <c r="F460" s="754">
        <v>1170</v>
      </c>
      <c r="G460" s="754">
        <v>89.07</v>
      </c>
      <c r="H460" s="754"/>
      <c r="I460" s="754"/>
      <c r="J460" s="754"/>
      <c r="K460" s="754">
        <f t="shared" ref="K460:K464" si="256">SUM(C460:J460)</f>
        <v>2169.0700000000002</v>
      </c>
      <c r="L460" s="754">
        <v>1000</v>
      </c>
      <c r="M460" s="754"/>
      <c r="N460" s="754">
        <f t="shared" ref="N460:N464" si="257">+L460+M460</f>
        <v>1000</v>
      </c>
      <c r="O460" s="754">
        <f t="shared" ref="O460:O464" si="258">+K460*12+N460</f>
        <v>27028.840000000004</v>
      </c>
      <c r="P460" s="754">
        <f t="shared" ref="P460:P464" si="259">+B460*O460</f>
        <v>216230.72000000003</v>
      </c>
      <c r="Q460" s="708">
        <v>8</v>
      </c>
      <c r="R460" s="754">
        <v>910</v>
      </c>
      <c r="S460" s="754"/>
      <c r="T460" s="754"/>
      <c r="U460" s="754">
        <v>1170</v>
      </c>
      <c r="V460" s="754">
        <v>89.07</v>
      </c>
      <c r="W460" s="754"/>
      <c r="X460" s="754"/>
      <c r="Y460" s="754"/>
      <c r="Z460" s="754">
        <f t="shared" ref="Z460:Z464" si="260">SUM(R460:Y460)</f>
        <v>2169.0700000000002</v>
      </c>
      <c r="AA460" s="754">
        <v>1000</v>
      </c>
      <c r="AB460" s="754"/>
      <c r="AC460" s="754">
        <f t="shared" ref="AC460:AC464" si="261">+AA460+AB460</f>
        <v>1000</v>
      </c>
      <c r="AD460" s="754">
        <f t="shared" ref="AD460:AD464" si="262">+Z460*12+AC460</f>
        <v>27028.840000000004</v>
      </c>
      <c r="AE460" s="754">
        <f t="shared" ref="AE460:AE464" si="263">+Q460*AD460</f>
        <v>216230.72000000003</v>
      </c>
      <c r="AF460" s="754"/>
      <c r="AG460" s="720"/>
      <c r="AH460" s="720"/>
      <c r="AI460" s="754"/>
    </row>
    <row r="461" spans="1:35" x14ac:dyDescent="0.2">
      <c r="A461" s="857" t="s">
        <v>391</v>
      </c>
      <c r="B461" s="720">
        <v>20</v>
      </c>
      <c r="C461" s="754">
        <v>847</v>
      </c>
      <c r="D461" s="754"/>
      <c r="E461" s="754"/>
      <c r="F461" s="754">
        <v>1170</v>
      </c>
      <c r="G461" s="754">
        <v>89.07</v>
      </c>
      <c r="H461" s="754"/>
      <c r="I461" s="754"/>
      <c r="J461" s="754"/>
      <c r="K461" s="754">
        <f t="shared" si="256"/>
        <v>2106.0700000000002</v>
      </c>
      <c r="L461" s="754">
        <v>1000</v>
      </c>
      <c r="M461" s="754"/>
      <c r="N461" s="754">
        <f t="shared" si="257"/>
        <v>1000</v>
      </c>
      <c r="O461" s="754">
        <f t="shared" si="258"/>
        <v>26272.840000000004</v>
      </c>
      <c r="P461" s="754">
        <f t="shared" si="259"/>
        <v>525456.80000000005</v>
      </c>
      <c r="Q461" s="708">
        <v>20</v>
      </c>
      <c r="R461" s="754">
        <v>847</v>
      </c>
      <c r="S461" s="754"/>
      <c r="T461" s="754"/>
      <c r="U461" s="754">
        <v>1170</v>
      </c>
      <c r="V461" s="754">
        <v>89.07</v>
      </c>
      <c r="W461" s="754"/>
      <c r="X461" s="754"/>
      <c r="Y461" s="754"/>
      <c r="Z461" s="754">
        <f t="shared" si="260"/>
        <v>2106.0700000000002</v>
      </c>
      <c r="AA461" s="754">
        <v>1000</v>
      </c>
      <c r="AB461" s="754"/>
      <c r="AC461" s="754">
        <f t="shared" si="261"/>
        <v>1000</v>
      </c>
      <c r="AD461" s="754">
        <f t="shared" si="262"/>
        <v>26272.840000000004</v>
      </c>
      <c r="AE461" s="754">
        <f t="shared" si="263"/>
        <v>525456.80000000005</v>
      </c>
      <c r="AF461" s="754"/>
      <c r="AG461" s="720"/>
      <c r="AH461" s="720"/>
      <c r="AI461" s="754"/>
    </row>
    <row r="462" spans="1:35" x14ac:dyDescent="0.2">
      <c r="A462" s="857" t="s">
        <v>392</v>
      </c>
      <c r="B462" s="720">
        <v>22</v>
      </c>
      <c r="C462" s="754">
        <v>810</v>
      </c>
      <c r="D462" s="754"/>
      <c r="E462" s="754"/>
      <c r="F462" s="754">
        <v>1170</v>
      </c>
      <c r="G462" s="754">
        <v>89.07</v>
      </c>
      <c r="H462" s="754"/>
      <c r="I462" s="754"/>
      <c r="J462" s="754"/>
      <c r="K462" s="754">
        <f t="shared" si="256"/>
        <v>2069.0700000000002</v>
      </c>
      <c r="L462" s="754">
        <v>1000</v>
      </c>
      <c r="M462" s="754"/>
      <c r="N462" s="754">
        <f t="shared" si="257"/>
        <v>1000</v>
      </c>
      <c r="O462" s="754">
        <f t="shared" si="258"/>
        <v>25828.840000000004</v>
      </c>
      <c r="P462" s="754">
        <f t="shared" si="259"/>
        <v>568234.4800000001</v>
      </c>
      <c r="Q462" s="708">
        <v>22</v>
      </c>
      <c r="R462" s="754">
        <v>810</v>
      </c>
      <c r="S462" s="754"/>
      <c r="T462" s="754"/>
      <c r="U462" s="754">
        <v>1170</v>
      </c>
      <c r="V462" s="754">
        <v>89.07</v>
      </c>
      <c r="W462" s="754"/>
      <c r="X462" s="754"/>
      <c r="Y462" s="754"/>
      <c r="Z462" s="754">
        <f t="shared" si="260"/>
        <v>2069.0700000000002</v>
      </c>
      <c r="AA462" s="754">
        <v>1000</v>
      </c>
      <c r="AB462" s="754"/>
      <c r="AC462" s="754">
        <f t="shared" si="261"/>
        <v>1000</v>
      </c>
      <c r="AD462" s="754">
        <f t="shared" si="262"/>
        <v>25828.840000000004</v>
      </c>
      <c r="AE462" s="754">
        <f t="shared" si="263"/>
        <v>568234.4800000001</v>
      </c>
      <c r="AF462" s="754"/>
      <c r="AG462" s="720"/>
      <c r="AH462" s="720"/>
      <c r="AI462" s="754"/>
    </row>
    <row r="463" spans="1:35" x14ac:dyDescent="0.2">
      <c r="A463" s="857" t="s">
        <v>439</v>
      </c>
      <c r="B463" s="720">
        <v>19</v>
      </c>
      <c r="C463" s="754">
        <v>728</v>
      </c>
      <c r="D463" s="754"/>
      <c r="E463" s="754"/>
      <c r="F463" s="754">
        <v>1170</v>
      </c>
      <c r="G463" s="754">
        <v>89.07</v>
      </c>
      <c r="H463" s="754"/>
      <c r="I463" s="754"/>
      <c r="J463" s="754"/>
      <c r="K463" s="754">
        <f t="shared" si="256"/>
        <v>1987.07</v>
      </c>
      <c r="L463" s="754">
        <v>1000</v>
      </c>
      <c r="M463" s="754"/>
      <c r="N463" s="754">
        <f t="shared" si="257"/>
        <v>1000</v>
      </c>
      <c r="O463" s="754">
        <f t="shared" si="258"/>
        <v>24844.84</v>
      </c>
      <c r="P463" s="754">
        <f t="shared" si="259"/>
        <v>472051.96</v>
      </c>
      <c r="Q463" s="708">
        <v>19</v>
      </c>
      <c r="R463" s="754">
        <v>728</v>
      </c>
      <c r="S463" s="754"/>
      <c r="T463" s="754"/>
      <c r="U463" s="754">
        <v>1170</v>
      </c>
      <c r="V463" s="754">
        <v>89.07</v>
      </c>
      <c r="W463" s="754"/>
      <c r="X463" s="754"/>
      <c r="Y463" s="754"/>
      <c r="Z463" s="754">
        <f t="shared" si="260"/>
        <v>1987.07</v>
      </c>
      <c r="AA463" s="754">
        <v>1000</v>
      </c>
      <c r="AB463" s="754"/>
      <c r="AC463" s="754">
        <f t="shared" si="261"/>
        <v>1000</v>
      </c>
      <c r="AD463" s="754">
        <f t="shared" si="262"/>
        <v>24844.84</v>
      </c>
      <c r="AE463" s="754">
        <f t="shared" si="263"/>
        <v>472051.96</v>
      </c>
      <c r="AF463" s="754"/>
      <c r="AG463" s="720"/>
      <c r="AH463" s="720"/>
      <c r="AI463" s="754"/>
    </row>
    <row r="464" spans="1:35" x14ac:dyDescent="0.2">
      <c r="A464" s="857" t="s">
        <v>409</v>
      </c>
      <c r="B464" s="720">
        <v>4</v>
      </c>
      <c r="C464" s="754">
        <v>721</v>
      </c>
      <c r="D464" s="754"/>
      <c r="E464" s="754"/>
      <c r="F464" s="754">
        <v>1170</v>
      </c>
      <c r="G464" s="754">
        <v>89.07</v>
      </c>
      <c r="H464" s="754"/>
      <c r="I464" s="754"/>
      <c r="J464" s="754"/>
      <c r="K464" s="754">
        <f t="shared" si="256"/>
        <v>1980.07</v>
      </c>
      <c r="L464" s="754">
        <v>1000</v>
      </c>
      <c r="M464" s="754"/>
      <c r="N464" s="754">
        <f t="shared" si="257"/>
        <v>1000</v>
      </c>
      <c r="O464" s="754">
        <f t="shared" si="258"/>
        <v>24760.84</v>
      </c>
      <c r="P464" s="754">
        <f t="shared" si="259"/>
        <v>99043.36</v>
      </c>
      <c r="Q464" s="708">
        <v>4</v>
      </c>
      <c r="R464" s="754">
        <v>721</v>
      </c>
      <c r="S464" s="754"/>
      <c r="T464" s="754"/>
      <c r="U464" s="754">
        <v>1170</v>
      </c>
      <c r="V464" s="754">
        <v>89.07</v>
      </c>
      <c r="W464" s="754"/>
      <c r="X464" s="754"/>
      <c r="Y464" s="754"/>
      <c r="Z464" s="754">
        <f t="shared" si="260"/>
        <v>1980.07</v>
      </c>
      <c r="AA464" s="754">
        <v>1000</v>
      </c>
      <c r="AB464" s="754"/>
      <c r="AC464" s="754">
        <f t="shared" si="261"/>
        <v>1000</v>
      </c>
      <c r="AD464" s="754">
        <f t="shared" si="262"/>
        <v>24760.84</v>
      </c>
      <c r="AE464" s="754">
        <f t="shared" si="263"/>
        <v>99043.36</v>
      </c>
      <c r="AF464" s="754"/>
      <c r="AG464" s="720"/>
      <c r="AH464" s="720"/>
      <c r="AI464" s="754"/>
    </row>
    <row r="465" spans="1:35" x14ac:dyDescent="0.2">
      <c r="A465" s="871" t="s">
        <v>393</v>
      </c>
      <c r="B465" s="720"/>
      <c r="C465" s="754"/>
      <c r="D465" s="754"/>
      <c r="E465" s="754"/>
      <c r="F465" s="754"/>
      <c r="G465" s="754"/>
      <c r="H465" s="754"/>
      <c r="I465" s="754"/>
      <c r="J465" s="754"/>
      <c r="K465" s="754"/>
      <c r="L465" s="754"/>
      <c r="M465" s="754"/>
      <c r="N465" s="754"/>
      <c r="O465" s="754"/>
      <c r="P465" s="754"/>
      <c r="Q465" s="708"/>
      <c r="R465" s="754"/>
      <c r="S465" s="754"/>
      <c r="T465" s="754"/>
      <c r="U465" s="754"/>
      <c r="V465" s="754"/>
      <c r="W465" s="754"/>
      <c r="X465" s="754"/>
      <c r="Y465" s="754"/>
      <c r="Z465" s="754"/>
      <c r="AA465" s="754"/>
      <c r="AB465" s="754"/>
      <c r="AC465" s="754"/>
      <c r="AD465" s="754"/>
      <c r="AE465" s="754"/>
      <c r="AF465" s="754"/>
      <c r="AG465" s="720"/>
      <c r="AH465" s="720"/>
      <c r="AI465" s="754"/>
    </row>
    <row r="466" spans="1:35" x14ac:dyDescent="0.2">
      <c r="A466" s="857" t="s">
        <v>394</v>
      </c>
      <c r="B466" s="720"/>
      <c r="C466" s="754"/>
      <c r="D466" s="754"/>
      <c r="E466" s="754"/>
      <c r="F466" s="754"/>
      <c r="G466" s="754"/>
      <c r="H466" s="754"/>
      <c r="I466" s="754"/>
      <c r="J466" s="754"/>
      <c r="K466" s="754"/>
      <c r="L466" s="754"/>
      <c r="M466" s="754"/>
      <c r="N466" s="754"/>
      <c r="O466" s="754"/>
      <c r="P466" s="754"/>
      <c r="Q466" s="708"/>
      <c r="R466" s="754"/>
      <c r="S466" s="754"/>
      <c r="T466" s="754"/>
      <c r="U466" s="754"/>
      <c r="V466" s="754"/>
      <c r="W466" s="754"/>
      <c r="X466" s="754"/>
      <c r="Y466" s="754"/>
      <c r="Z466" s="754"/>
      <c r="AA466" s="754"/>
      <c r="AB466" s="754"/>
      <c r="AC466" s="754"/>
      <c r="AD466" s="754"/>
      <c r="AE466" s="754"/>
      <c r="AF466" s="754"/>
      <c r="AG466" s="720"/>
      <c r="AH466" s="720"/>
      <c r="AI466" s="754"/>
    </row>
    <row r="467" spans="1:35" x14ac:dyDescent="0.2">
      <c r="A467" s="857" t="s">
        <v>442</v>
      </c>
      <c r="B467" s="720">
        <v>10</v>
      </c>
      <c r="C467" s="754">
        <v>712</v>
      </c>
      <c r="D467" s="754"/>
      <c r="E467" s="754"/>
      <c r="F467" s="754">
        <v>1150</v>
      </c>
      <c r="G467" s="754">
        <v>89.07</v>
      </c>
      <c r="H467" s="754"/>
      <c r="I467" s="754"/>
      <c r="J467" s="754"/>
      <c r="K467" s="754">
        <f t="shared" ref="K467" si="264">SUM(C467:J467)</f>
        <v>1951.07</v>
      </c>
      <c r="L467" s="754">
        <v>1000</v>
      </c>
      <c r="M467" s="754"/>
      <c r="N467" s="754">
        <f t="shared" ref="N467" si="265">+L467+M467</f>
        <v>1000</v>
      </c>
      <c r="O467" s="754">
        <f t="shared" ref="O467" si="266">+K467*12+N467</f>
        <v>24412.84</v>
      </c>
      <c r="P467" s="754">
        <f t="shared" ref="P467" si="267">+B467*O467</f>
        <v>244128.4</v>
      </c>
      <c r="Q467" s="708">
        <v>10</v>
      </c>
      <c r="R467" s="754">
        <v>712</v>
      </c>
      <c r="S467" s="754"/>
      <c r="T467" s="754"/>
      <c r="U467" s="754">
        <v>1150</v>
      </c>
      <c r="V467" s="754">
        <v>89.07</v>
      </c>
      <c r="W467" s="754"/>
      <c r="X467" s="754"/>
      <c r="Y467" s="754"/>
      <c r="Z467" s="754">
        <f t="shared" ref="Z467" si="268">SUM(R467:Y467)</f>
        <v>1951.07</v>
      </c>
      <c r="AA467" s="754">
        <v>1000</v>
      </c>
      <c r="AB467" s="754"/>
      <c r="AC467" s="754">
        <f t="shared" ref="AC467" si="269">+AA467+AB467</f>
        <v>1000</v>
      </c>
      <c r="AD467" s="754">
        <f t="shared" ref="AD467" si="270">+Z467*12+AC467</f>
        <v>24412.84</v>
      </c>
      <c r="AE467" s="754">
        <f t="shared" ref="AE467" si="271">+Q467*AD467</f>
        <v>244128.4</v>
      </c>
      <c r="AF467" s="754"/>
      <c r="AG467" s="720"/>
      <c r="AH467" s="720"/>
      <c r="AI467" s="754"/>
    </row>
    <row r="468" spans="1:35" x14ac:dyDescent="0.2">
      <c r="A468" s="857"/>
      <c r="B468" s="720"/>
      <c r="C468" s="754"/>
      <c r="D468" s="754"/>
      <c r="E468" s="754"/>
      <c r="F468" s="754"/>
      <c r="G468" s="754"/>
      <c r="H468" s="754"/>
      <c r="I468" s="754"/>
      <c r="J468" s="754"/>
      <c r="K468" s="754"/>
      <c r="L468" s="754"/>
      <c r="M468" s="754"/>
      <c r="N468" s="754"/>
      <c r="O468" s="754"/>
      <c r="P468" s="754"/>
      <c r="Q468" s="708"/>
      <c r="R468" s="754"/>
      <c r="S468" s="754"/>
      <c r="T468" s="754"/>
      <c r="U468" s="754"/>
      <c r="V468" s="754"/>
      <c r="W468" s="754"/>
      <c r="X468" s="754"/>
      <c r="Y468" s="754"/>
      <c r="Z468" s="754"/>
      <c r="AA468" s="754"/>
      <c r="AB468" s="754"/>
      <c r="AC468" s="754"/>
      <c r="AD468" s="754"/>
      <c r="AE468" s="754"/>
      <c r="AF468" s="754"/>
      <c r="AG468" s="720"/>
      <c r="AH468" s="720"/>
      <c r="AI468" s="754"/>
    </row>
    <row r="469" spans="1:35" ht="24" x14ac:dyDescent="0.2">
      <c r="A469" s="871" t="s">
        <v>448</v>
      </c>
      <c r="B469" s="720"/>
      <c r="C469" s="754"/>
      <c r="D469" s="754"/>
      <c r="E469" s="754"/>
      <c r="F469" s="754"/>
      <c r="G469" s="754"/>
      <c r="H469" s="754"/>
      <c r="I469" s="754"/>
      <c r="J469" s="754"/>
      <c r="K469" s="754"/>
      <c r="L469" s="754"/>
      <c r="M469" s="754"/>
      <c r="N469" s="754"/>
      <c r="O469" s="754"/>
      <c r="P469" s="754"/>
      <c r="Q469" s="708"/>
      <c r="R469" s="754"/>
      <c r="S469" s="754"/>
      <c r="T469" s="754"/>
      <c r="U469" s="754"/>
      <c r="V469" s="754"/>
      <c r="W469" s="754"/>
      <c r="X469" s="754"/>
      <c r="Y469" s="754"/>
      <c r="Z469" s="754"/>
      <c r="AA469" s="754"/>
      <c r="AB469" s="754"/>
      <c r="AC469" s="754"/>
      <c r="AD469" s="754"/>
      <c r="AE469" s="754"/>
      <c r="AF469" s="754"/>
      <c r="AG469" s="720"/>
      <c r="AH469" s="720"/>
      <c r="AI469" s="754"/>
    </row>
    <row r="470" spans="1:35" x14ac:dyDescent="0.2">
      <c r="A470" s="857" t="s">
        <v>437</v>
      </c>
      <c r="B470" s="720"/>
      <c r="C470" s="754"/>
      <c r="D470" s="754"/>
      <c r="E470" s="754"/>
      <c r="F470" s="754"/>
      <c r="G470" s="754"/>
      <c r="H470" s="754"/>
      <c r="I470" s="754"/>
      <c r="J470" s="754"/>
      <c r="K470" s="754"/>
      <c r="L470" s="754"/>
      <c r="M470" s="754"/>
      <c r="N470" s="754"/>
      <c r="O470" s="754"/>
      <c r="P470" s="754"/>
      <c r="Q470" s="708"/>
      <c r="R470" s="754"/>
      <c r="S470" s="754"/>
      <c r="T470" s="754"/>
      <c r="U470" s="754"/>
      <c r="V470" s="754"/>
      <c r="W470" s="754"/>
      <c r="X470" s="754"/>
      <c r="Y470" s="754"/>
      <c r="Z470" s="754"/>
      <c r="AA470" s="754"/>
      <c r="AB470" s="754"/>
      <c r="AC470" s="754"/>
      <c r="AD470" s="754"/>
      <c r="AE470" s="754"/>
      <c r="AF470" s="754"/>
      <c r="AG470" s="720"/>
      <c r="AH470" s="720"/>
      <c r="AI470" s="754"/>
    </row>
    <row r="471" spans="1:35" x14ac:dyDescent="0.2">
      <c r="A471" s="857" t="s">
        <v>408</v>
      </c>
      <c r="B471" s="720">
        <v>2</v>
      </c>
      <c r="C471" s="754">
        <v>2383</v>
      </c>
      <c r="D471" s="754"/>
      <c r="E471" s="754">
        <v>535</v>
      </c>
      <c r="F471" s="754"/>
      <c r="G471" s="754">
        <v>108.09</v>
      </c>
      <c r="H471" s="754"/>
      <c r="I471" s="754">
        <v>410</v>
      </c>
      <c r="J471" s="754"/>
      <c r="K471" s="754">
        <f t="shared" ref="K471:K472" si="272">SUM(C471:J471)</f>
        <v>3436.09</v>
      </c>
      <c r="L471" s="754">
        <v>1000</v>
      </c>
      <c r="M471" s="754"/>
      <c r="N471" s="754">
        <f t="shared" ref="N471:N472" si="273">+L471+M471</f>
        <v>1000</v>
      </c>
      <c r="O471" s="754">
        <f t="shared" ref="O471:O472" si="274">+K471*12+N471</f>
        <v>42233.08</v>
      </c>
      <c r="P471" s="754">
        <f t="shared" ref="P471:P472" si="275">+B471*O471</f>
        <v>84466.16</v>
      </c>
      <c r="Q471" s="708">
        <v>2</v>
      </c>
      <c r="R471" s="754">
        <v>2383</v>
      </c>
      <c r="S471" s="754"/>
      <c r="T471" s="754">
        <v>535</v>
      </c>
      <c r="U471" s="754"/>
      <c r="V471" s="754">
        <v>108.09</v>
      </c>
      <c r="W471" s="754"/>
      <c r="X471" s="754">
        <v>410</v>
      </c>
      <c r="Y471" s="754"/>
      <c r="Z471" s="754">
        <f t="shared" ref="Z471:Z472" si="276">SUM(R471:Y471)</f>
        <v>3436.09</v>
      </c>
      <c r="AA471" s="754">
        <v>1000</v>
      </c>
      <c r="AB471" s="754"/>
      <c r="AC471" s="754">
        <f t="shared" ref="AC471:AC472" si="277">+AA471+AB471</f>
        <v>1000</v>
      </c>
      <c r="AD471" s="754">
        <f t="shared" ref="AD471:AD472" si="278">+Z471*12+AC471</f>
        <v>42233.08</v>
      </c>
      <c r="AE471" s="754">
        <f t="shared" ref="AE471:AE472" si="279">+Q471*AD471</f>
        <v>84466.16</v>
      </c>
      <c r="AF471" s="754"/>
      <c r="AG471" s="720"/>
      <c r="AH471" s="720"/>
      <c r="AI471" s="754"/>
    </row>
    <row r="472" spans="1:35" x14ac:dyDescent="0.2">
      <c r="A472" s="857" t="s">
        <v>450</v>
      </c>
      <c r="B472" s="720">
        <v>2</v>
      </c>
      <c r="C472" s="754">
        <v>2324</v>
      </c>
      <c r="D472" s="754"/>
      <c r="E472" s="754">
        <v>530</v>
      </c>
      <c r="F472" s="754"/>
      <c r="G472" s="754">
        <v>108.09</v>
      </c>
      <c r="H472" s="754"/>
      <c r="I472" s="754">
        <v>410</v>
      </c>
      <c r="J472" s="754"/>
      <c r="K472" s="754">
        <f t="shared" si="272"/>
        <v>3372.09</v>
      </c>
      <c r="L472" s="754">
        <v>1000</v>
      </c>
      <c r="M472" s="754"/>
      <c r="N472" s="754">
        <f t="shared" si="273"/>
        <v>1000</v>
      </c>
      <c r="O472" s="754">
        <f t="shared" si="274"/>
        <v>41465.08</v>
      </c>
      <c r="P472" s="754">
        <f t="shared" si="275"/>
        <v>82930.16</v>
      </c>
      <c r="Q472" s="708">
        <v>2</v>
      </c>
      <c r="R472" s="754">
        <v>2324</v>
      </c>
      <c r="S472" s="754"/>
      <c r="T472" s="754">
        <v>530</v>
      </c>
      <c r="U472" s="754"/>
      <c r="V472" s="754">
        <v>108.09</v>
      </c>
      <c r="W472" s="754"/>
      <c r="X472" s="754">
        <v>410</v>
      </c>
      <c r="Y472" s="754"/>
      <c r="Z472" s="754">
        <f t="shared" si="276"/>
        <v>3372.09</v>
      </c>
      <c r="AA472" s="754">
        <v>1000</v>
      </c>
      <c r="AB472" s="754"/>
      <c r="AC472" s="754">
        <f t="shared" si="277"/>
        <v>1000</v>
      </c>
      <c r="AD472" s="754">
        <f t="shared" si="278"/>
        <v>41465.08</v>
      </c>
      <c r="AE472" s="754">
        <f t="shared" si="279"/>
        <v>82930.16</v>
      </c>
      <c r="AF472" s="754"/>
      <c r="AG472" s="720"/>
      <c r="AH472" s="720"/>
      <c r="AI472" s="754"/>
    </row>
    <row r="473" spans="1:35" x14ac:dyDescent="0.2">
      <c r="A473" s="871" t="s">
        <v>389</v>
      </c>
      <c r="B473" s="720"/>
      <c r="C473" s="754"/>
      <c r="D473" s="754"/>
      <c r="E473" s="754"/>
      <c r="F473" s="754"/>
      <c r="G473" s="754"/>
      <c r="H473" s="754"/>
      <c r="I473" s="754"/>
      <c r="J473" s="754"/>
      <c r="K473" s="754"/>
      <c r="L473" s="754"/>
      <c r="M473" s="754"/>
      <c r="N473" s="754"/>
      <c r="O473" s="754"/>
      <c r="P473" s="754"/>
      <c r="Q473" s="708"/>
      <c r="R473" s="754"/>
      <c r="S473" s="754"/>
      <c r="T473" s="754"/>
      <c r="U473" s="754"/>
      <c r="V473" s="754"/>
      <c r="W473" s="754"/>
      <c r="X473" s="754"/>
      <c r="Y473" s="754"/>
      <c r="Z473" s="754"/>
      <c r="AA473" s="754"/>
      <c r="AB473" s="754"/>
      <c r="AC473" s="754"/>
      <c r="AD473" s="754"/>
      <c r="AE473" s="754"/>
      <c r="AF473" s="754"/>
      <c r="AG473" s="720"/>
      <c r="AH473" s="720"/>
      <c r="AI473" s="754"/>
    </row>
    <row r="474" spans="1:35" x14ac:dyDescent="0.2">
      <c r="A474" s="857" t="s">
        <v>390</v>
      </c>
      <c r="B474" s="720">
        <v>11</v>
      </c>
      <c r="C474" s="754">
        <v>2145</v>
      </c>
      <c r="D474" s="754"/>
      <c r="E474" s="754">
        <v>404</v>
      </c>
      <c r="F474" s="754"/>
      <c r="G474" s="754">
        <v>108.09</v>
      </c>
      <c r="H474" s="754"/>
      <c r="I474" s="754">
        <v>410</v>
      </c>
      <c r="J474" s="754">
        <v>970</v>
      </c>
      <c r="K474" s="754">
        <f t="shared" ref="K474:K477" si="280">SUM(C474:J474)</f>
        <v>4037.09</v>
      </c>
      <c r="L474" s="754">
        <v>1000</v>
      </c>
      <c r="M474" s="754"/>
      <c r="N474" s="754">
        <f t="shared" ref="N474:N477" si="281">+L474+M474</f>
        <v>1000</v>
      </c>
      <c r="O474" s="754">
        <f t="shared" ref="O474:O477" si="282">+K474*12+N474</f>
        <v>49445.08</v>
      </c>
      <c r="P474" s="754">
        <f t="shared" ref="P474:P477" si="283">+B474*O474</f>
        <v>543895.88</v>
      </c>
      <c r="Q474" s="708">
        <v>11</v>
      </c>
      <c r="R474" s="754">
        <v>2145</v>
      </c>
      <c r="S474" s="754"/>
      <c r="T474" s="754">
        <v>404</v>
      </c>
      <c r="U474" s="754"/>
      <c r="V474" s="754">
        <v>108.09</v>
      </c>
      <c r="W474" s="754"/>
      <c r="X474" s="754">
        <v>410</v>
      </c>
      <c r="Y474" s="754">
        <v>970</v>
      </c>
      <c r="Z474" s="754">
        <f t="shared" ref="Z474:Z477" si="284">SUM(R474:Y474)</f>
        <v>4037.09</v>
      </c>
      <c r="AA474" s="754">
        <v>1000</v>
      </c>
      <c r="AB474" s="754"/>
      <c r="AC474" s="754">
        <f t="shared" ref="AC474:AC477" si="285">+AA474+AB474</f>
        <v>1000</v>
      </c>
      <c r="AD474" s="754">
        <f t="shared" ref="AD474:AD477" si="286">+Z474*12+AC474</f>
        <v>49445.08</v>
      </c>
      <c r="AE474" s="754">
        <f t="shared" ref="AE474:AE477" si="287">+Q474*AD474</f>
        <v>543895.88</v>
      </c>
      <c r="AF474" s="754"/>
      <c r="AG474" s="720"/>
      <c r="AH474" s="720"/>
      <c r="AI474" s="754"/>
    </row>
    <row r="475" spans="1:35" x14ac:dyDescent="0.2">
      <c r="A475" s="857" t="s">
        <v>391</v>
      </c>
      <c r="B475" s="720">
        <v>59</v>
      </c>
      <c r="C475" s="754">
        <v>2127</v>
      </c>
      <c r="D475" s="754"/>
      <c r="E475" s="754">
        <v>370</v>
      </c>
      <c r="F475" s="754"/>
      <c r="G475" s="754">
        <v>108.09</v>
      </c>
      <c r="H475" s="754"/>
      <c r="I475" s="754">
        <v>410</v>
      </c>
      <c r="J475" s="754"/>
      <c r="K475" s="754">
        <f t="shared" si="280"/>
        <v>3015.09</v>
      </c>
      <c r="L475" s="754">
        <v>1000</v>
      </c>
      <c r="M475" s="754"/>
      <c r="N475" s="754">
        <f t="shared" si="281"/>
        <v>1000</v>
      </c>
      <c r="O475" s="754">
        <f t="shared" si="282"/>
        <v>37181.08</v>
      </c>
      <c r="P475" s="754">
        <f t="shared" si="283"/>
        <v>2193683.7200000002</v>
      </c>
      <c r="Q475" s="708">
        <v>59</v>
      </c>
      <c r="R475" s="754">
        <v>2127</v>
      </c>
      <c r="S475" s="754"/>
      <c r="T475" s="754">
        <v>370</v>
      </c>
      <c r="U475" s="754"/>
      <c r="V475" s="754">
        <v>108.09</v>
      </c>
      <c r="W475" s="754"/>
      <c r="X475" s="754">
        <v>410</v>
      </c>
      <c r="Y475" s="754"/>
      <c r="Z475" s="754">
        <f t="shared" si="284"/>
        <v>3015.09</v>
      </c>
      <c r="AA475" s="754">
        <v>1000</v>
      </c>
      <c r="AB475" s="754"/>
      <c r="AC475" s="754">
        <f t="shared" si="285"/>
        <v>1000</v>
      </c>
      <c r="AD475" s="754">
        <f t="shared" si="286"/>
        <v>37181.08</v>
      </c>
      <c r="AE475" s="754">
        <f t="shared" si="287"/>
        <v>2193683.7200000002</v>
      </c>
      <c r="AF475" s="754"/>
      <c r="AG475" s="720"/>
      <c r="AH475" s="720"/>
      <c r="AI475" s="754"/>
    </row>
    <row r="476" spans="1:35" x14ac:dyDescent="0.2">
      <c r="A476" s="857" t="s">
        <v>392</v>
      </c>
      <c r="B476" s="720">
        <v>68</v>
      </c>
      <c r="C476" s="754">
        <v>2109</v>
      </c>
      <c r="D476" s="754"/>
      <c r="E476" s="754">
        <v>366</v>
      </c>
      <c r="F476" s="754"/>
      <c r="G476" s="754">
        <v>108.09</v>
      </c>
      <c r="H476" s="754"/>
      <c r="I476" s="754">
        <v>410</v>
      </c>
      <c r="J476" s="754"/>
      <c r="K476" s="754">
        <f t="shared" si="280"/>
        <v>2993.09</v>
      </c>
      <c r="L476" s="754">
        <v>1000</v>
      </c>
      <c r="M476" s="754"/>
      <c r="N476" s="754">
        <f t="shared" si="281"/>
        <v>1000</v>
      </c>
      <c r="O476" s="754">
        <f t="shared" si="282"/>
        <v>36917.08</v>
      </c>
      <c r="P476" s="754">
        <f t="shared" si="283"/>
        <v>2510361.44</v>
      </c>
      <c r="Q476" s="708">
        <v>68</v>
      </c>
      <c r="R476" s="754">
        <v>2109</v>
      </c>
      <c r="S476" s="754"/>
      <c r="T476" s="754">
        <v>366</v>
      </c>
      <c r="U476" s="754"/>
      <c r="V476" s="754">
        <v>108.09</v>
      </c>
      <c r="W476" s="754"/>
      <c r="X476" s="754">
        <v>410</v>
      </c>
      <c r="Y476" s="754"/>
      <c r="Z476" s="754">
        <f t="shared" si="284"/>
        <v>2993.09</v>
      </c>
      <c r="AA476" s="754">
        <v>1000</v>
      </c>
      <c r="AB476" s="754"/>
      <c r="AC476" s="754">
        <f t="shared" si="285"/>
        <v>1000</v>
      </c>
      <c r="AD476" s="754">
        <f t="shared" si="286"/>
        <v>36917.08</v>
      </c>
      <c r="AE476" s="754">
        <f t="shared" si="287"/>
        <v>2510361.44</v>
      </c>
      <c r="AF476" s="754"/>
      <c r="AG476" s="720"/>
      <c r="AH476" s="720"/>
      <c r="AI476" s="754"/>
    </row>
    <row r="477" spans="1:35" x14ac:dyDescent="0.2">
      <c r="A477" s="857" t="s">
        <v>439</v>
      </c>
      <c r="B477" s="720">
        <v>7</v>
      </c>
      <c r="C477" s="754">
        <v>2091</v>
      </c>
      <c r="D477" s="754"/>
      <c r="E477" s="754">
        <v>348</v>
      </c>
      <c r="F477" s="754"/>
      <c r="G477" s="754">
        <v>108.09</v>
      </c>
      <c r="H477" s="754"/>
      <c r="I477" s="754">
        <v>410</v>
      </c>
      <c r="J477" s="754">
        <v>970</v>
      </c>
      <c r="K477" s="754">
        <f t="shared" si="280"/>
        <v>3927.09</v>
      </c>
      <c r="L477" s="754">
        <v>1000</v>
      </c>
      <c r="M477" s="754"/>
      <c r="N477" s="754">
        <f t="shared" si="281"/>
        <v>1000</v>
      </c>
      <c r="O477" s="754">
        <f t="shared" si="282"/>
        <v>48125.08</v>
      </c>
      <c r="P477" s="754">
        <f t="shared" si="283"/>
        <v>336875.56</v>
      </c>
      <c r="Q477" s="708">
        <v>7</v>
      </c>
      <c r="R477" s="754">
        <v>2091</v>
      </c>
      <c r="S477" s="754"/>
      <c r="T477" s="754">
        <v>348</v>
      </c>
      <c r="U477" s="754"/>
      <c r="V477" s="754">
        <v>108.09</v>
      </c>
      <c r="W477" s="754"/>
      <c r="X477" s="754">
        <v>410</v>
      </c>
      <c r="Y477" s="754">
        <v>970</v>
      </c>
      <c r="Z477" s="754">
        <f t="shared" si="284"/>
        <v>3927.09</v>
      </c>
      <c r="AA477" s="754">
        <v>1000</v>
      </c>
      <c r="AB477" s="754"/>
      <c r="AC477" s="754">
        <f t="shared" si="285"/>
        <v>1000</v>
      </c>
      <c r="AD477" s="754">
        <f t="shared" si="286"/>
        <v>48125.08</v>
      </c>
      <c r="AE477" s="754">
        <f t="shared" si="287"/>
        <v>336875.56</v>
      </c>
      <c r="AF477" s="754"/>
      <c r="AG477" s="720"/>
      <c r="AH477" s="720"/>
      <c r="AI477" s="754"/>
    </row>
    <row r="478" spans="1:35" x14ac:dyDescent="0.2">
      <c r="A478" s="857" t="s">
        <v>409</v>
      </c>
      <c r="B478" s="720"/>
      <c r="C478" s="754"/>
      <c r="D478" s="754"/>
      <c r="E478" s="754"/>
      <c r="F478" s="754"/>
      <c r="G478" s="754"/>
      <c r="H478" s="754"/>
      <c r="I478" s="754"/>
      <c r="J478" s="754"/>
      <c r="K478" s="754"/>
      <c r="L478" s="754"/>
      <c r="M478" s="754"/>
      <c r="N478" s="754"/>
      <c r="O478" s="754"/>
      <c r="P478" s="754"/>
      <c r="Q478" s="708"/>
      <c r="R478" s="754"/>
      <c r="S478" s="754"/>
      <c r="T478" s="754"/>
      <c r="U478" s="754"/>
      <c r="V478" s="754"/>
      <c r="W478" s="754"/>
      <c r="X478" s="754"/>
      <c r="Y478" s="754"/>
      <c r="Z478" s="754"/>
      <c r="AA478" s="754"/>
      <c r="AB478" s="754"/>
      <c r="AC478" s="754"/>
      <c r="AD478" s="754"/>
      <c r="AE478" s="754"/>
      <c r="AF478" s="754"/>
      <c r="AG478" s="720"/>
      <c r="AH478" s="720"/>
      <c r="AI478" s="754"/>
    </row>
    <row r="479" spans="1:35" x14ac:dyDescent="0.2">
      <c r="A479" s="857" t="s">
        <v>440</v>
      </c>
      <c r="B479" s="720">
        <v>56</v>
      </c>
      <c r="C479" s="754">
        <v>2068</v>
      </c>
      <c r="D479" s="754"/>
      <c r="E479" s="754">
        <v>340</v>
      </c>
      <c r="F479" s="754"/>
      <c r="G479" s="754">
        <v>108.09</v>
      </c>
      <c r="H479" s="754"/>
      <c r="I479" s="754">
        <v>410</v>
      </c>
      <c r="J479" s="754"/>
      <c r="K479" s="754">
        <f t="shared" ref="K479" si="288">SUM(C479:J479)</f>
        <v>2926.09</v>
      </c>
      <c r="L479" s="754">
        <v>1000</v>
      </c>
      <c r="M479" s="754"/>
      <c r="N479" s="754">
        <f t="shared" ref="N479" si="289">+L479+M479</f>
        <v>1000</v>
      </c>
      <c r="O479" s="754">
        <f t="shared" ref="O479" si="290">+K479*12+N479</f>
        <v>36113.08</v>
      </c>
      <c r="P479" s="754">
        <f t="shared" ref="P479" si="291">+B479*O479</f>
        <v>2022332.48</v>
      </c>
      <c r="Q479" s="708">
        <v>56</v>
      </c>
      <c r="R479" s="754">
        <v>2068</v>
      </c>
      <c r="S479" s="754"/>
      <c r="T479" s="754">
        <v>340</v>
      </c>
      <c r="U479" s="754"/>
      <c r="V479" s="754">
        <v>108.09</v>
      </c>
      <c r="W479" s="754"/>
      <c r="X479" s="754">
        <v>410</v>
      </c>
      <c r="Y479" s="754"/>
      <c r="Z479" s="754">
        <f t="shared" ref="Z479" si="292">SUM(R479:Y479)</f>
        <v>2926.09</v>
      </c>
      <c r="AA479" s="754">
        <v>1000</v>
      </c>
      <c r="AB479" s="754"/>
      <c r="AC479" s="754">
        <f t="shared" ref="AC479" si="293">+AA479+AB479</f>
        <v>1000</v>
      </c>
      <c r="AD479" s="754">
        <f t="shared" ref="AD479" si="294">+Z479*12+AC479</f>
        <v>36113.08</v>
      </c>
      <c r="AE479" s="754">
        <f t="shared" ref="AE479" si="295">+Q479*AD479</f>
        <v>2022332.48</v>
      </c>
      <c r="AF479" s="754"/>
      <c r="AG479" s="720"/>
      <c r="AH479" s="720"/>
      <c r="AI479" s="754"/>
    </row>
    <row r="480" spans="1:35" x14ac:dyDescent="0.2">
      <c r="A480" s="871" t="s">
        <v>393</v>
      </c>
      <c r="B480" s="720"/>
      <c r="C480" s="754"/>
      <c r="D480" s="754"/>
      <c r="E480" s="754"/>
      <c r="F480" s="754"/>
      <c r="G480" s="754"/>
      <c r="H480" s="754"/>
      <c r="I480" s="754"/>
      <c r="J480" s="754"/>
      <c r="K480" s="754"/>
      <c r="L480" s="754"/>
      <c r="M480" s="754"/>
      <c r="N480" s="754"/>
      <c r="O480" s="754"/>
      <c r="P480" s="754"/>
      <c r="Q480" s="708"/>
      <c r="R480" s="754"/>
      <c r="S480" s="754"/>
      <c r="T480" s="754"/>
      <c r="U480" s="754"/>
      <c r="V480" s="754"/>
      <c r="W480" s="754"/>
      <c r="X480" s="754"/>
      <c r="Y480" s="754"/>
      <c r="Z480" s="754"/>
      <c r="AA480" s="754"/>
      <c r="AB480" s="754"/>
      <c r="AC480" s="754"/>
      <c r="AD480" s="754"/>
      <c r="AE480" s="754"/>
      <c r="AF480" s="754"/>
      <c r="AG480" s="720"/>
      <c r="AH480" s="720"/>
      <c r="AI480" s="754"/>
    </row>
    <row r="481" spans="1:35" x14ac:dyDescent="0.2">
      <c r="A481" s="857" t="s">
        <v>394</v>
      </c>
      <c r="B481" s="720">
        <v>8</v>
      </c>
      <c r="C481" s="754">
        <v>2086</v>
      </c>
      <c r="D481" s="754"/>
      <c r="E481" s="754">
        <v>370</v>
      </c>
      <c r="F481" s="754"/>
      <c r="G481" s="754">
        <v>108.09</v>
      </c>
      <c r="H481" s="754"/>
      <c r="I481" s="754">
        <v>410</v>
      </c>
      <c r="J481" s="754"/>
      <c r="K481" s="754">
        <f t="shared" ref="K481:K485" si="296">SUM(C481:J481)</f>
        <v>2974.09</v>
      </c>
      <c r="L481" s="754">
        <v>1000</v>
      </c>
      <c r="M481" s="754"/>
      <c r="N481" s="754">
        <f t="shared" ref="N481:N485" si="297">+L481+M481</f>
        <v>1000</v>
      </c>
      <c r="O481" s="754">
        <f t="shared" ref="O481:O485" si="298">+K481*12+N481</f>
        <v>36689.08</v>
      </c>
      <c r="P481" s="754">
        <f t="shared" ref="P481:P485" si="299">+B481*O481</f>
        <v>293512.64</v>
      </c>
      <c r="Q481" s="708">
        <v>8</v>
      </c>
      <c r="R481" s="754">
        <v>2086</v>
      </c>
      <c r="S481" s="754"/>
      <c r="T481" s="754">
        <v>370</v>
      </c>
      <c r="U481" s="754"/>
      <c r="V481" s="754">
        <v>108.09</v>
      </c>
      <c r="W481" s="754"/>
      <c r="X481" s="754">
        <v>410</v>
      </c>
      <c r="Y481" s="754"/>
      <c r="Z481" s="754">
        <f t="shared" ref="Z481:Z485" si="300">SUM(R481:Y481)</f>
        <v>2974.09</v>
      </c>
      <c r="AA481" s="754">
        <v>1000</v>
      </c>
      <c r="AB481" s="754"/>
      <c r="AC481" s="754">
        <f t="shared" ref="AC481:AC485" si="301">+AA481+AB481</f>
        <v>1000</v>
      </c>
      <c r="AD481" s="754">
        <f t="shared" ref="AD481:AD485" si="302">+Z481*12+AC481</f>
        <v>36689.08</v>
      </c>
      <c r="AE481" s="754">
        <f t="shared" ref="AE481:AE485" si="303">+Q481*AD481</f>
        <v>293512.64</v>
      </c>
      <c r="AF481" s="754"/>
      <c r="AG481" s="720"/>
      <c r="AH481" s="720"/>
      <c r="AI481" s="754"/>
    </row>
    <row r="482" spans="1:35" x14ac:dyDescent="0.2">
      <c r="A482" s="857" t="s">
        <v>441</v>
      </c>
      <c r="B482" s="720">
        <v>6</v>
      </c>
      <c r="C482" s="754">
        <v>2077</v>
      </c>
      <c r="D482" s="754"/>
      <c r="E482" s="754">
        <v>365</v>
      </c>
      <c r="F482" s="754"/>
      <c r="G482" s="754">
        <v>108.09</v>
      </c>
      <c r="H482" s="754"/>
      <c r="I482" s="754">
        <v>410</v>
      </c>
      <c r="J482" s="754"/>
      <c r="K482" s="754">
        <f t="shared" si="296"/>
        <v>2960.09</v>
      </c>
      <c r="L482" s="754">
        <v>1000</v>
      </c>
      <c r="M482" s="754"/>
      <c r="N482" s="754">
        <f t="shared" si="297"/>
        <v>1000</v>
      </c>
      <c r="O482" s="754">
        <f t="shared" si="298"/>
        <v>36521.08</v>
      </c>
      <c r="P482" s="754">
        <f t="shared" si="299"/>
        <v>219126.48</v>
      </c>
      <c r="Q482" s="708">
        <v>6</v>
      </c>
      <c r="R482" s="754">
        <v>2077</v>
      </c>
      <c r="S482" s="754"/>
      <c r="T482" s="754">
        <v>365</v>
      </c>
      <c r="U482" s="754"/>
      <c r="V482" s="754">
        <v>108.09</v>
      </c>
      <c r="W482" s="754"/>
      <c r="X482" s="754">
        <v>410</v>
      </c>
      <c r="Y482" s="754"/>
      <c r="Z482" s="754">
        <f t="shared" si="300"/>
        <v>2960.09</v>
      </c>
      <c r="AA482" s="754">
        <v>1000</v>
      </c>
      <c r="AB482" s="754"/>
      <c r="AC482" s="754">
        <f t="shared" si="301"/>
        <v>1000</v>
      </c>
      <c r="AD482" s="754">
        <f t="shared" si="302"/>
        <v>36521.08</v>
      </c>
      <c r="AE482" s="754">
        <f t="shared" si="303"/>
        <v>219126.48</v>
      </c>
      <c r="AF482" s="754"/>
      <c r="AG482" s="720"/>
      <c r="AH482" s="720"/>
      <c r="AI482" s="754"/>
    </row>
    <row r="483" spans="1:35" x14ac:dyDescent="0.2">
      <c r="A483" s="857" t="s">
        <v>442</v>
      </c>
      <c r="B483" s="720">
        <v>8</v>
      </c>
      <c r="C483" s="754">
        <v>2068</v>
      </c>
      <c r="D483" s="754"/>
      <c r="E483" s="754">
        <v>358</v>
      </c>
      <c r="F483" s="754"/>
      <c r="G483" s="754">
        <v>108.09</v>
      </c>
      <c r="H483" s="754"/>
      <c r="I483" s="754">
        <v>410</v>
      </c>
      <c r="J483" s="754"/>
      <c r="K483" s="754">
        <f t="shared" si="296"/>
        <v>2944.09</v>
      </c>
      <c r="L483" s="754">
        <v>1000</v>
      </c>
      <c r="M483" s="754"/>
      <c r="N483" s="754">
        <f t="shared" si="297"/>
        <v>1000</v>
      </c>
      <c r="O483" s="754">
        <f t="shared" si="298"/>
        <v>36329.08</v>
      </c>
      <c r="P483" s="754">
        <f t="shared" si="299"/>
        <v>290632.64</v>
      </c>
      <c r="Q483" s="708">
        <v>8</v>
      </c>
      <c r="R483" s="754">
        <v>2068</v>
      </c>
      <c r="S483" s="754"/>
      <c r="T483" s="754">
        <v>358</v>
      </c>
      <c r="U483" s="754"/>
      <c r="V483" s="754">
        <v>108.09</v>
      </c>
      <c r="W483" s="754"/>
      <c r="X483" s="754">
        <v>410</v>
      </c>
      <c r="Y483" s="754"/>
      <c r="Z483" s="754">
        <f t="shared" si="300"/>
        <v>2944.09</v>
      </c>
      <c r="AA483" s="754">
        <v>1000</v>
      </c>
      <c r="AB483" s="754"/>
      <c r="AC483" s="754">
        <f t="shared" si="301"/>
        <v>1000</v>
      </c>
      <c r="AD483" s="754">
        <f t="shared" si="302"/>
        <v>36329.08</v>
      </c>
      <c r="AE483" s="754">
        <f t="shared" si="303"/>
        <v>290632.64</v>
      </c>
      <c r="AF483" s="754"/>
      <c r="AG483" s="720"/>
      <c r="AH483" s="720"/>
      <c r="AI483" s="754"/>
    </row>
    <row r="484" spans="1:35" x14ac:dyDescent="0.2">
      <c r="A484" s="857" t="s">
        <v>443</v>
      </c>
      <c r="B484" s="720">
        <v>5</v>
      </c>
      <c r="C484" s="754">
        <v>2059</v>
      </c>
      <c r="D484" s="754"/>
      <c r="E484" s="754">
        <v>347.1</v>
      </c>
      <c r="F484" s="754"/>
      <c r="G484" s="754">
        <v>108.09</v>
      </c>
      <c r="H484" s="754"/>
      <c r="I484" s="754">
        <v>410</v>
      </c>
      <c r="J484" s="754"/>
      <c r="K484" s="754">
        <f t="shared" si="296"/>
        <v>2924.19</v>
      </c>
      <c r="L484" s="754">
        <v>1000</v>
      </c>
      <c r="M484" s="754"/>
      <c r="N484" s="754">
        <f t="shared" si="297"/>
        <v>1000</v>
      </c>
      <c r="O484" s="754">
        <f t="shared" si="298"/>
        <v>36090.28</v>
      </c>
      <c r="P484" s="754">
        <f t="shared" si="299"/>
        <v>180451.4</v>
      </c>
      <c r="Q484" s="708">
        <v>5</v>
      </c>
      <c r="R484" s="754">
        <v>2059</v>
      </c>
      <c r="S484" s="754"/>
      <c r="T484" s="754">
        <v>347.1</v>
      </c>
      <c r="U484" s="754"/>
      <c r="V484" s="754">
        <v>108.09</v>
      </c>
      <c r="W484" s="754"/>
      <c r="X484" s="754">
        <v>410</v>
      </c>
      <c r="Y484" s="754"/>
      <c r="Z484" s="754">
        <f t="shared" si="300"/>
        <v>2924.19</v>
      </c>
      <c r="AA484" s="754">
        <v>1000</v>
      </c>
      <c r="AB484" s="754"/>
      <c r="AC484" s="754">
        <f t="shared" si="301"/>
        <v>1000</v>
      </c>
      <c r="AD484" s="754">
        <f t="shared" si="302"/>
        <v>36090.28</v>
      </c>
      <c r="AE484" s="754">
        <f t="shared" si="303"/>
        <v>180451.4</v>
      </c>
      <c r="AF484" s="754"/>
      <c r="AG484" s="720"/>
      <c r="AH484" s="720"/>
      <c r="AI484" s="754"/>
    </row>
    <row r="485" spans="1:35" x14ac:dyDescent="0.2">
      <c r="A485" s="857" t="s">
        <v>451</v>
      </c>
      <c r="B485" s="720">
        <v>5</v>
      </c>
      <c r="C485" s="754">
        <v>2041</v>
      </c>
      <c r="D485" s="754"/>
      <c r="E485" s="754">
        <v>340</v>
      </c>
      <c r="F485" s="754"/>
      <c r="G485" s="754">
        <v>108.09</v>
      </c>
      <c r="H485" s="754"/>
      <c r="I485" s="754">
        <v>410</v>
      </c>
      <c r="J485" s="754"/>
      <c r="K485" s="754">
        <f t="shared" si="296"/>
        <v>2899.09</v>
      </c>
      <c r="L485" s="754">
        <v>1000</v>
      </c>
      <c r="M485" s="754"/>
      <c r="N485" s="754">
        <f t="shared" si="297"/>
        <v>1000</v>
      </c>
      <c r="O485" s="754">
        <f t="shared" si="298"/>
        <v>35789.08</v>
      </c>
      <c r="P485" s="754">
        <f t="shared" si="299"/>
        <v>178945.40000000002</v>
      </c>
      <c r="Q485" s="708">
        <v>5</v>
      </c>
      <c r="R485" s="754">
        <v>2041</v>
      </c>
      <c r="S485" s="754"/>
      <c r="T485" s="754">
        <v>340</v>
      </c>
      <c r="U485" s="754"/>
      <c r="V485" s="754">
        <v>108.09</v>
      </c>
      <c r="W485" s="754"/>
      <c r="X485" s="754">
        <v>410</v>
      </c>
      <c r="Y485" s="754"/>
      <c r="Z485" s="754">
        <f t="shared" si="300"/>
        <v>2899.09</v>
      </c>
      <c r="AA485" s="754">
        <v>1000</v>
      </c>
      <c r="AB485" s="754"/>
      <c r="AC485" s="754">
        <f t="shared" si="301"/>
        <v>1000</v>
      </c>
      <c r="AD485" s="754">
        <f t="shared" si="302"/>
        <v>35789.08</v>
      </c>
      <c r="AE485" s="754">
        <f t="shared" si="303"/>
        <v>178945.40000000002</v>
      </c>
      <c r="AF485" s="754"/>
      <c r="AG485" s="720"/>
      <c r="AH485" s="720"/>
      <c r="AI485" s="754"/>
    </row>
    <row r="486" spans="1:35" x14ac:dyDescent="0.2">
      <c r="A486" s="857" t="s">
        <v>700</v>
      </c>
      <c r="B486" s="720"/>
      <c r="C486" s="754"/>
      <c r="D486" s="754"/>
      <c r="E486" s="754"/>
      <c r="F486" s="754"/>
      <c r="G486" s="754"/>
      <c r="H486" s="754"/>
      <c r="I486" s="754"/>
      <c r="J486" s="754"/>
      <c r="K486" s="754"/>
      <c r="L486" s="754"/>
      <c r="M486" s="754"/>
      <c r="N486" s="754"/>
      <c r="O486" s="754"/>
      <c r="P486" s="754"/>
      <c r="Q486" s="708"/>
      <c r="R486" s="754"/>
      <c r="S486" s="754"/>
      <c r="T486" s="754"/>
      <c r="U486" s="754"/>
      <c r="V486" s="754"/>
      <c r="W486" s="754"/>
      <c r="X486" s="754"/>
      <c r="Y486" s="754"/>
      <c r="Z486" s="754"/>
      <c r="AA486" s="754"/>
      <c r="AB486" s="754"/>
      <c r="AC486" s="754"/>
      <c r="AD486" s="754"/>
      <c r="AE486" s="754"/>
      <c r="AF486" s="754"/>
      <c r="AG486" s="720"/>
      <c r="AH486" s="720"/>
      <c r="AI486" s="754"/>
    </row>
    <row r="487" spans="1:35" x14ac:dyDescent="0.2">
      <c r="A487" s="857" t="s">
        <v>700</v>
      </c>
      <c r="B487" s="720"/>
      <c r="C487" s="754"/>
      <c r="D487" s="754"/>
      <c r="E487" s="754"/>
      <c r="F487" s="754"/>
      <c r="G487" s="754"/>
      <c r="H487" s="754"/>
      <c r="I487" s="754"/>
      <c r="J487" s="754"/>
      <c r="K487" s="754"/>
      <c r="L487" s="754"/>
      <c r="M487" s="754"/>
      <c r="N487" s="754"/>
      <c r="O487" s="754"/>
      <c r="P487" s="754"/>
      <c r="Q487" s="708"/>
      <c r="R487" s="754"/>
      <c r="S487" s="754"/>
      <c r="T487" s="754"/>
      <c r="U487" s="754"/>
      <c r="V487" s="754"/>
      <c r="W487" s="754"/>
      <c r="X487" s="754"/>
      <c r="Y487" s="754"/>
      <c r="Z487" s="754"/>
      <c r="AA487" s="754"/>
      <c r="AB487" s="754"/>
      <c r="AC487" s="754"/>
      <c r="AD487" s="754"/>
      <c r="AE487" s="754"/>
      <c r="AF487" s="754"/>
      <c r="AG487" s="720"/>
      <c r="AH487" s="720"/>
      <c r="AI487" s="754"/>
    </row>
    <row r="488" spans="1:35" x14ac:dyDescent="0.2">
      <c r="A488" s="857" t="s">
        <v>776</v>
      </c>
      <c r="B488" s="720"/>
      <c r="C488" s="754"/>
      <c r="D488" s="754"/>
      <c r="E488" s="754"/>
      <c r="F488" s="754"/>
      <c r="G488" s="754"/>
      <c r="H488" s="754"/>
      <c r="I488" s="754"/>
      <c r="J488" s="754"/>
      <c r="K488" s="754"/>
      <c r="L488" s="754"/>
      <c r="M488" s="754"/>
      <c r="N488" s="754"/>
      <c r="O488" s="754"/>
      <c r="P488" s="754"/>
      <c r="Q488" s="708"/>
      <c r="R488" s="754"/>
      <c r="S488" s="754"/>
      <c r="T488" s="754"/>
      <c r="U488" s="754"/>
      <c r="V488" s="754"/>
      <c r="W488" s="754"/>
      <c r="X488" s="754"/>
      <c r="Y488" s="754"/>
      <c r="Z488" s="754"/>
      <c r="AA488" s="754"/>
      <c r="AB488" s="754"/>
      <c r="AC488" s="754"/>
      <c r="AD488" s="754"/>
      <c r="AE488" s="754"/>
      <c r="AF488" s="754"/>
      <c r="AG488" s="720"/>
      <c r="AH488" s="720"/>
      <c r="AI488" s="754"/>
    </row>
    <row r="489" spans="1:35" x14ac:dyDescent="0.2">
      <c r="A489" s="857" t="s">
        <v>700</v>
      </c>
      <c r="B489" s="720"/>
      <c r="C489" s="754"/>
      <c r="D489" s="754"/>
      <c r="E489" s="754"/>
      <c r="F489" s="754"/>
      <c r="G489" s="754"/>
      <c r="H489" s="754"/>
      <c r="I489" s="754"/>
      <c r="J489" s="754"/>
      <c r="K489" s="754"/>
      <c r="L489" s="754"/>
      <c r="M489" s="754"/>
      <c r="N489" s="754"/>
      <c r="O489" s="754"/>
      <c r="P489" s="754"/>
      <c r="Q489" s="708"/>
      <c r="R489" s="754"/>
      <c r="S489" s="754"/>
      <c r="T489" s="754"/>
      <c r="U489" s="754"/>
      <c r="V489" s="754"/>
      <c r="W489" s="754"/>
      <c r="X489" s="754"/>
      <c r="Y489" s="754"/>
      <c r="Z489" s="754"/>
      <c r="AA489" s="754"/>
      <c r="AB489" s="754"/>
      <c r="AC489" s="754"/>
      <c r="AD489" s="754"/>
      <c r="AE489" s="754"/>
      <c r="AF489" s="754"/>
      <c r="AG489" s="720"/>
      <c r="AH489" s="720"/>
      <c r="AI489" s="754"/>
    </row>
    <row r="490" spans="1:35" x14ac:dyDescent="0.2">
      <c r="A490" s="857" t="s">
        <v>700</v>
      </c>
      <c r="B490" s="720"/>
      <c r="C490" s="754"/>
      <c r="D490" s="754"/>
      <c r="E490" s="754"/>
      <c r="F490" s="754"/>
      <c r="G490" s="754"/>
      <c r="H490" s="754"/>
      <c r="I490" s="754"/>
      <c r="J490" s="754"/>
      <c r="K490" s="754"/>
      <c r="L490" s="754"/>
      <c r="M490" s="754"/>
      <c r="N490" s="754"/>
      <c r="O490" s="754"/>
      <c r="P490" s="754"/>
      <c r="Q490" s="708"/>
      <c r="R490" s="754"/>
      <c r="S490" s="754"/>
      <c r="T490" s="754"/>
      <c r="U490" s="754"/>
      <c r="V490" s="754"/>
      <c r="W490" s="754"/>
      <c r="X490" s="754"/>
      <c r="Y490" s="754"/>
      <c r="Z490" s="754"/>
      <c r="AA490" s="754"/>
      <c r="AB490" s="754"/>
      <c r="AC490" s="754"/>
      <c r="AD490" s="754"/>
      <c r="AE490" s="754"/>
      <c r="AF490" s="754"/>
      <c r="AG490" s="720"/>
      <c r="AH490" s="720"/>
      <c r="AI490" s="754"/>
    </row>
    <row r="491" spans="1:35" ht="36" x14ac:dyDescent="0.2">
      <c r="A491" s="871" t="s">
        <v>511</v>
      </c>
      <c r="B491" s="720"/>
      <c r="C491" s="754"/>
      <c r="D491" s="754"/>
      <c r="E491" s="754"/>
      <c r="F491" s="754"/>
      <c r="G491" s="754"/>
      <c r="H491" s="754"/>
      <c r="I491" s="754"/>
      <c r="J491" s="754"/>
      <c r="K491" s="754"/>
      <c r="L491" s="754"/>
      <c r="M491" s="754"/>
      <c r="N491" s="754"/>
      <c r="O491" s="754"/>
      <c r="P491" s="754"/>
      <c r="Q491" s="708"/>
      <c r="R491" s="754"/>
      <c r="S491" s="754"/>
      <c r="T491" s="754"/>
      <c r="U491" s="754"/>
      <c r="V491" s="754"/>
      <c r="W491" s="754"/>
      <c r="X491" s="754"/>
      <c r="Y491" s="754"/>
      <c r="Z491" s="754"/>
      <c r="AA491" s="754"/>
      <c r="AB491" s="754"/>
      <c r="AC491" s="754"/>
      <c r="AD491" s="754"/>
      <c r="AE491" s="754"/>
      <c r="AF491" s="754"/>
      <c r="AG491" s="720"/>
      <c r="AH491" s="720"/>
      <c r="AI491" s="754"/>
    </row>
    <row r="492" spans="1:35" x14ac:dyDescent="0.2">
      <c r="A492" s="871" t="s">
        <v>453</v>
      </c>
      <c r="B492" s="720"/>
      <c r="C492" s="754"/>
      <c r="D492" s="754"/>
      <c r="E492" s="754"/>
      <c r="F492" s="754"/>
      <c r="G492" s="754"/>
      <c r="H492" s="754"/>
      <c r="I492" s="754"/>
      <c r="J492" s="754"/>
      <c r="K492" s="754"/>
      <c r="L492" s="754"/>
      <c r="M492" s="754"/>
      <c r="N492" s="754"/>
      <c r="O492" s="754"/>
      <c r="P492" s="754"/>
      <c r="Q492" s="708"/>
      <c r="R492" s="754"/>
      <c r="S492" s="754"/>
      <c r="T492" s="754"/>
      <c r="U492" s="754"/>
      <c r="V492" s="754"/>
      <c r="W492" s="754"/>
      <c r="X492" s="754"/>
      <c r="Y492" s="754"/>
      <c r="Z492" s="754"/>
      <c r="AA492" s="754"/>
      <c r="AB492" s="754"/>
      <c r="AC492" s="754"/>
      <c r="AD492" s="754"/>
      <c r="AE492" s="754"/>
      <c r="AF492" s="754"/>
      <c r="AG492" s="720"/>
      <c r="AH492" s="720"/>
      <c r="AI492" s="754"/>
    </row>
    <row r="493" spans="1:35" x14ac:dyDescent="0.2">
      <c r="A493" s="857" t="s">
        <v>454</v>
      </c>
      <c r="B493" s="720">
        <v>3</v>
      </c>
      <c r="C493" s="754">
        <v>7266</v>
      </c>
      <c r="D493" s="754"/>
      <c r="E493" s="754">
        <v>1420</v>
      </c>
      <c r="F493" s="754"/>
      <c r="G493" s="754">
        <v>108.09</v>
      </c>
      <c r="H493" s="754"/>
      <c r="I493" s="754">
        <v>1270</v>
      </c>
      <c r="J493" s="754">
        <v>1850</v>
      </c>
      <c r="K493" s="754">
        <f t="shared" ref="K493:K497" si="304">SUM(C493:J493)</f>
        <v>11914.09</v>
      </c>
      <c r="L493" s="754">
        <v>1000</v>
      </c>
      <c r="M493" s="754"/>
      <c r="N493" s="754">
        <f t="shared" ref="N493:N497" si="305">+L493+M493</f>
        <v>1000</v>
      </c>
      <c r="O493" s="754">
        <f t="shared" ref="O493:O497" si="306">+K493*12+N493</f>
        <v>143969.08000000002</v>
      </c>
      <c r="P493" s="754">
        <f t="shared" ref="P493:P497" si="307">+B493*O493</f>
        <v>431907.24000000005</v>
      </c>
      <c r="Q493" s="708">
        <v>3</v>
      </c>
      <c r="R493" s="754">
        <v>7266</v>
      </c>
      <c r="S493" s="754"/>
      <c r="T493" s="754">
        <v>1420</v>
      </c>
      <c r="U493" s="754"/>
      <c r="V493" s="754">
        <v>108.09</v>
      </c>
      <c r="W493" s="754"/>
      <c r="X493" s="754">
        <v>1270</v>
      </c>
      <c r="Y493" s="754">
        <v>1850</v>
      </c>
      <c r="Z493" s="754">
        <f t="shared" ref="Z493:Z497" si="308">SUM(R493:Y493)</f>
        <v>11914.09</v>
      </c>
      <c r="AA493" s="754">
        <v>1000</v>
      </c>
      <c r="AB493" s="754"/>
      <c r="AC493" s="754">
        <f t="shared" ref="AC493:AC497" si="309">+AA493+AB493</f>
        <v>1000</v>
      </c>
      <c r="AD493" s="754">
        <f t="shared" ref="AD493:AD497" si="310">+Z493*12+AC493</f>
        <v>143969.08000000002</v>
      </c>
      <c r="AE493" s="754">
        <f t="shared" ref="AE493:AE497" si="311">+Q493*AD493</f>
        <v>431907.24000000005</v>
      </c>
      <c r="AF493" s="754"/>
      <c r="AG493" s="720"/>
      <c r="AH493" s="720"/>
      <c r="AI493" s="754"/>
    </row>
    <row r="494" spans="1:35" x14ac:dyDescent="0.2">
      <c r="A494" s="857" t="s">
        <v>455</v>
      </c>
      <c r="B494" s="720">
        <v>1</v>
      </c>
      <c r="C494" s="754">
        <v>6826</v>
      </c>
      <c r="D494" s="754"/>
      <c r="E494" s="754">
        <v>1370</v>
      </c>
      <c r="F494" s="754"/>
      <c r="G494" s="754">
        <v>108.09</v>
      </c>
      <c r="H494" s="754"/>
      <c r="I494" s="754">
        <v>1270</v>
      </c>
      <c r="J494" s="754">
        <v>800</v>
      </c>
      <c r="K494" s="754">
        <f t="shared" si="304"/>
        <v>10374.09</v>
      </c>
      <c r="L494" s="754">
        <v>1000</v>
      </c>
      <c r="M494" s="754"/>
      <c r="N494" s="754">
        <f t="shared" si="305"/>
        <v>1000</v>
      </c>
      <c r="O494" s="754">
        <f t="shared" si="306"/>
        <v>125489.08</v>
      </c>
      <c r="P494" s="754">
        <f t="shared" si="307"/>
        <v>125489.08</v>
      </c>
      <c r="Q494" s="708">
        <v>1</v>
      </c>
      <c r="R494" s="754">
        <v>6826</v>
      </c>
      <c r="S494" s="754"/>
      <c r="T494" s="754">
        <v>1370</v>
      </c>
      <c r="U494" s="754"/>
      <c r="V494" s="754">
        <v>108.09</v>
      </c>
      <c r="W494" s="754"/>
      <c r="X494" s="754">
        <v>1270</v>
      </c>
      <c r="Y494" s="754">
        <v>1850</v>
      </c>
      <c r="Z494" s="754">
        <f t="shared" si="308"/>
        <v>11424.09</v>
      </c>
      <c r="AA494" s="754">
        <v>1000</v>
      </c>
      <c r="AB494" s="754"/>
      <c r="AC494" s="754">
        <f t="shared" si="309"/>
        <v>1000</v>
      </c>
      <c r="AD494" s="754">
        <f t="shared" si="310"/>
        <v>138089.08000000002</v>
      </c>
      <c r="AE494" s="754">
        <f t="shared" si="311"/>
        <v>138089.08000000002</v>
      </c>
      <c r="AF494" s="754"/>
      <c r="AG494" s="720"/>
      <c r="AH494" s="720"/>
      <c r="AI494" s="754"/>
    </row>
    <row r="495" spans="1:35" x14ac:dyDescent="0.2">
      <c r="A495" s="857" t="s">
        <v>456</v>
      </c>
      <c r="B495" s="720">
        <v>2</v>
      </c>
      <c r="C495" s="754">
        <v>6336</v>
      </c>
      <c r="D495" s="754"/>
      <c r="E495" s="754">
        <v>1257</v>
      </c>
      <c r="F495" s="754"/>
      <c r="G495" s="754">
        <v>108.09</v>
      </c>
      <c r="H495" s="754"/>
      <c r="I495" s="754">
        <v>1270</v>
      </c>
      <c r="J495" s="754">
        <v>800</v>
      </c>
      <c r="K495" s="754">
        <f t="shared" si="304"/>
        <v>9771.09</v>
      </c>
      <c r="L495" s="754">
        <v>1000</v>
      </c>
      <c r="M495" s="754"/>
      <c r="N495" s="754">
        <f t="shared" si="305"/>
        <v>1000</v>
      </c>
      <c r="O495" s="754">
        <f t="shared" si="306"/>
        <v>118253.08</v>
      </c>
      <c r="P495" s="754">
        <f t="shared" si="307"/>
        <v>236506.16</v>
      </c>
      <c r="Q495" s="708">
        <v>2</v>
      </c>
      <c r="R495" s="754">
        <v>6336</v>
      </c>
      <c r="S495" s="754"/>
      <c r="T495" s="754">
        <v>1257</v>
      </c>
      <c r="U495" s="754"/>
      <c r="V495" s="754">
        <v>108.09</v>
      </c>
      <c r="W495" s="754"/>
      <c r="X495" s="754">
        <v>1270</v>
      </c>
      <c r="Y495" s="754">
        <v>800</v>
      </c>
      <c r="Z495" s="754">
        <f t="shared" si="308"/>
        <v>9771.09</v>
      </c>
      <c r="AA495" s="754">
        <v>1000</v>
      </c>
      <c r="AB495" s="754"/>
      <c r="AC495" s="754">
        <f t="shared" si="309"/>
        <v>1000</v>
      </c>
      <c r="AD495" s="754">
        <f t="shared" si="310"/>
        <v>118253.08</v>
      </c>
      <c r="AE495" s="754">
        <f t="shared" si="311"/>
        <v>236506.16</v>
      </c>
      <c r="AF495" s="754"/>
      <c r="AG495" s="720"/>
      <c r="AH495" s="720"/>
      <c r="AI495" s="754"/>
    </row>
    <row r="496" spans="1:35" x14ac:dyDescent="0.2">
      <c r="A496" s="857" t="s">
        <v>457</v>
      </c>
      <c r="B496" s="720">
        <v>5</v>
      </c>
      <c r="C496" s="754">
        <v>5932</v>
      </c>
      <c r="D496" s="754"/>
      <c r="E496" s="754">
        <v>922</v>
      </c>
      <c r="F496" s="754"/>
      <c r="G496" s="754">
        <v>108.09</v>
      </c>
      <c r="H496" s="754"/>
      <c r="I496" s="754">
        <v>1270</v>
      </c>
      <c r="J496" s="754">
        <v>1500</v>
      </c>
      <c r="K496" s="754">
        <f t="shared" si="304"/>
        <v>9732.09</v>
      </c>
      <c r="L496" s="754">
        <v>1000</v>
      </c>
      <c r="M496" s="754"/>
      <c r="N496" s="754">
        <f t="shared" si="305"/>
        <v>1000</v>
      </c>
      <c r="O496" s="754">
        <f t="shared" si="306"/>
        <v>117785.08</v>
      </c>
      <c r="P496" s="754">
        <f t="shared" si="307"/>
        <v>588925.4</v>
      </c>
      <c r="Q496" s="708">
        <v>5</v>
      </c>
      <c r="R496" s="754">
        <v>5932</v>
      </c>
      <c r="S496" s="754"/>
      <c r="T496" s="754">
        <v>922</v>
      </c>
      <c r="U496" s="754"/>
      <c r="V496" s="754">
        <v>108.09</v>
      </c>
      <c r="W496" s="754"/>
      <c r="X496" s="754">
        <v>1270</v>
      </c>
      <c r="Y496" s="754">
        <v>1500</v>
      </c>
      <c r="Z496" s="754">
        <f t="shared" si="308"/>
        <v>9732.09</v>
      </c>
      <c r="AA496" s="754">
        <v>1000</v>
      </c>
      <c r="AB496" s="754"/>
      <c r="AC496" s="754">
        <f t="shared" si="309"/>
        <v>1000</v>
      </c>
      <c r="AD496" s="754">
        <f t="shared" si="310"/>
        <v>117785.08</v>
      </c>
      <c r="AE496" s="754">
        <f t="shared" si="311"/>
        <v>588925.4</v>
      </c>
      <c r="AF496" s="754"/>
      <c r="AG496" s="720"/>
      <c r="AH496" s="720"/>
      <c r="AI496" s="754"/>
    </row>
    <row r="497" spans="1:35" x14ac:dyDescent="0.2">
      <c r="A497" s="857" t="s">
        <v>458</v>
      </c>
      <c r="B497" s="720">
        <v>14</v>
      </c>
      <c r="C497" s="754">
        <v>5532</v>
      </c>
      <c r="D497" s="754"/>
      <c r="E497" s="754">
        <v>879.8</v>
      </c>
      <c r="F497" s="754"/>
      <c r="G497" s="754">
        <v>108.09</v>
      </c>
      <c r="H497" s="754"/>
      <c r="I497" s="754">
        <v>1270</v>
      </c>
      <c r="J497" s="754">
        <v>1500</v>
      </c>
      <c r="K497" s="754">
        <f t="shared" si="304"/>
        <v>9289.89</v>
      </c>
      <c r="L497" s="754">
        <v>1000</v>
      </c>
      <c r="M497" s="754"/>
      <c r="N497" s="754">
        <f t="shared" si="305"/>
        <v>1000</v>
      </c>
      <c r="O497" s="754">
        <f t="shared" si="306"/>
        <v>112478.68</v>
      </c>
      <c r="P497" s="754">
        <f t="shared" si="307"/>
        <v>1574701.52</v>
      </c>
      <c r="Q497" s="708">
        <v>14</v>
      </c>
      <c r="R497" s="754">
        <v>5532</v>
      </c>
      <c r="S497" s="754"/>
      <c r="T497" s="754">
        <v>879.8</v>
      </c>
      <c r="U497" s="754"/>
      <c r="V497" s="754">
        <v>108.09</v>
      </c>
      <c r="W497" s="754"/>
      <c r="X497" s="754">
        <v>1270</v>
      </c>
      <c r="Y497" s="754">
        <v>1500</v>
      </c>
      <c r="Z497" s="754">
        <f t="shared" si="308"/>
        <v>9289.89</v>
      </c>
      <c r="AA497" s="754">
        <v>1000</v>
      </c>
      <c r="AB497" s="754"/>
      <c r="AC497" s="754">
        <f t="shared" si="309"/>
        <v>1000</v>
      </c>
      <c r="AD497" s="754">
        <f t="shared" si="310"/>
        <v>112478.68</v>
      </c>
      <c r="AE497" s="754">
        <f t="shared" si="311"/>
        <v>1574701.52</v>
      </c>
      <c r="AF497" s="754"/>
      <c r="AG497" s="720"/>
      <c r="AH497" s="720"/>
      <c r="AI497" s="754"/>
    </row>
    <row r="498" spans="1:35" x14ac:dyDescent="0.2">
      <c r="A498" s="871" t="s">
        <v>459</v>
      </c>
      <c r="B498" s="720"/>
      <c r="C498" s="754"/>
      <c r="D498" s="754"/>
      <c r="E498" s="754"/>
      <c r="F498" s="754"/>
      <c r="G498" s="754"/>
      <c r="H498" s="754"/>
      <c r="I498" s="754"/>
      <c r="J498" s="754"/>
      <c r="K498" s="754"/>
      <c r="L498" s="754"/>
      <c r="M498" s="754"/>
      <c r="N498" s="754"/>
      <c r="O498" s="754"/>
      <c r="P498" s="754"/>
      <c r="Q498" s="708"/>
      <c r="R498" s="754"/>
      <c r="S498" s="754"/>
      <c r="T498" s="754"/>
      <c r="U498" s="754"/>
      <c r="V498" s="754"/>
      <c r="W498" s="754"/>
      <c r="X498" s="754"/>
      <c r="Y498" s="754"/>
      <c r="Z498" s="754"/>
      <c r="AA498" s="754"/>
      <c r="AB498" s="754"/>
      <c r="AC498" s="754"/>
      <c r="AD498" s="754"/>
      <c r="AE498" s="754"/>
      <c r="AF498" s="754"/>
      <c r="AG498" s="720"/>
      <c r="AH498" s="720"/>
      <c r="AI498" s="754"/>
    </row>
    <row r="499" spans="1:35" x14ac:dyDescent="0.2">
      <c r="A499" s="857" t="s">
        <v>460</v>
      </c>
      <c r="B499" s="720">
        <v>8</v>
      </c>
      <c r="C499" s="754">
        <v>4471</v>
      </c>
      <c r="D499" s="754"/>
      <c r="E499" s="754">
        <v>1317</v>
      </c>
      <c r="F499" s="754"/>
      <c r="G499" s="754">
        <v>108.09</v>
      </c>
      <c r="H499" s="754"/>
      <c r="I499" s="754">
        <v>730</v>
      </c>
      <c r="J499" s="754"/>
      <c r="K499" s="754">
        <f t="shared" ref="K499:K503" si="312">SUM(C499:J499)</f>
        <v>6626.09</v>
      </c>
      <c r="L499" s="754">
        <v>1000</v>
      </c>
      <c r="M499" s="754"/>
      <c r="N499" s="754">
        <f t="shared" ref="N499:N503" si="313">+L499+M499</f>
        <v>1000</v>
      </c>
      <c r="O499" s="754">
        <f t="shared" ref="O499:O503" si="314">+K499*12+N499</f>
        <v>80513.08</v>
      </c>
      <c r="P499" s="754">
        <f t="shared" ref="P499:P503" si="315">+B499*O499</f>
        <v>644104.64</v>
      </c>
      <c r="Q499" s="708">
        <v>8</v>
      </c>
      <c r="R499" s="754">
        <v>4471</v>
      </c>
      <c r="S499" s="754"/>
      <c r="T499" s="754">
        <v>1317</v>
      </c>
      <c r="U499" s="754"/>
      <c r="V499" s="754">
        <v>108.09</v>
      </c>
      <c r="W499" s="754"/>
      <c r="X499" s="754">
        <v>730</v>
      </c>
      <c r="Y499" s="754"/>
      <c r="Z499" s="754">
        <f t="shared" ref="Z499:Z503" si="316">SUM(R499:Y499)</f>
        <v>6626.09</v>
      </c>
      <c r="AA499" s="754">
        <v>1000</v>
      </c>
      <c r="AB499" s="754"/>
      <c r="AC499" s="754">
        <f t="shared" ref="AC499:AC503" si="317">+AA499+AB499</f>
        <v>1000</v>
      </c>
      <c r="AD499" s="754">
        <f t="shared" ref="AD499:AD503" si="318">+Z499*12+AC499</f>
        <v>80513.08</v>
      </c>
      <c r="AE499" s="754">
        <f t="shared" ref="AE499:AE503" si="319">+Q499*AD499</f>
        <v>644104.64</v>
      </c>
      <c r="AF499" s="754"/>
      <c r="AG499" s="720"/>
      <c r="AH499" s="720"/>
      <c r="AI499" s="754"/>
    </row>
    <row r="500" spans="1:35" x14ac:dyDescent="0.2">
      <c r="A500" s="857" t="s">
        <v>461</v>
      </c>
      <c r="B500" s="720"/>
      <c r="C500" s="754">
        <v>4158</v>
      </c>
      <c r="D500" s="754"/>
      <c r="E500" s="754">
        <v>1280</v>
      </c>
      <c r="F500" s="754"/>
      <c r="G500" s="754">
        <v>108.09</v>
      </c>
      <c r="H500" s="754"/>
      <c r="I500" s="754">
        <v>730</v>
      </c>
      <c r="J500" s="754"/>
      <c r="K500" s="754">
        <f t="shared" si="312"/>
        <v>6276.09</v>
      </c>
      <c r="L500" s="754">
        <v>1000</v>
      </c>
      <c r="M500" s="754"/>
      <c r="N500" s="754">
        <f t="shared" si="313"/>
        <v>1000</v>
      </c>
      <c r="O500" s="754">
        <f t="shared" si="314"/>
        <v>76313.08</v>
      </c>
      <c r="P500" s="754">
        <f t="shared" si="315"/>
        <v>0</v>
      </c>
      <c r="Q500" s="708"/>
      <c r="R500" s="754">
        <v>4158</v>
      </c>
      <c r="S500" s="754"/>
      <c r="T500" s="754">
        <v>1280</v>
      </c>
      <c r="U500" s="754"/>
      <c r="V500" s="754">
        <v>108.09</v>
      </c>
      <c r="W500" s="754"/>
      <c r="X500" s="754">
        <v>730</v>
      </c>
      <c r="Y500" s="754"/>
      <c r="Z500" s="754">
        <f t="shared" si="316"/>
        <v>6276.09</v>
      </c>
      <c r="AA500" s="754">
        <v>1000</v>
      </c>
      <c r="AB500" s="754"/>
      <c r="AC500" s="754">
        <f t="shared" si="317"/>
        <v>1000</v>
      </c>
      <c r="AD500" s="754">
        <f t="shared" si="318"/>
        <v>76313.08</v>
      </c>
      <c r="AE500" s="754">
        <f t="shared" si="319"/>
        <v>0</v>
      </c>
      <c r="AF500" s="754"/>
      <c r="AG500" s="720"/>
      <c r="AH500" s="720"/>
      <c r="AI500" s="754"/>
    </row>
    <row r="501" spans="1:35" x14ac:dyDescent="0.2">
      <c r="A501" s="857" t="s">
        <v>462</v>
      </c>
      <c r="B501" s="720">
        <v>3</v>
      </c>
      <c r="C501" s="754">
        <v>3900</v>
      </c>
      <c r="D501" s="754"/>
      <c r="E501" s="754">
        <v>1230</v>
      </c>
      <c r="F501" s="754"/>
      <c r="G501" s="754">
        <v>108.09</v>
      </c>
      <c r="H501" s="754"/>
      <c r="I501" s="754">
        <v>730</v>
      </c>
      <c r="J501" s="754">
        <v>1350</v>
      </c>
      <c r="K501" s="754">
        <f t="shared" si="312"/>
        <v>7318.09</v>
      </c>
      <c r="L501" s="754">
        <v>1000</v>
      </c>
      <c r="M501" s="754"/>
      <c r="N501" s="754">
        <f t="shared" si="313"/>
        <v>1000</v>
      </c>
      <c r="O501" s="754">
        <f t="shared" si="314"/>
        <v>88817.08</v>
      </c>
      <c r="P501" s="754">
        <f t="shared" si="315"/>
        <v>266451.24</v>
      </c>
      <c r="Q501" s="708">
        <v>3</v>
      </c>
      <c r="R501" s="754">
        <v>3900</v>
      </c>
      <c r="S501" s="754"/>
      <c r="T501" s="754">
        <v>1230</v>
      </c>
      <c r="U501" s="754"/>
      <c r="V501" s="754">
        <v>108.09</v>
      </c>
      <c r="W501" s="754"/>
      <c r="X501" s="754">
        <v>730</v>
      </c>
      <c r="Y501" s="754">
        <v>1350</v>
      </c>
      <c r="Z501" s="754">
        <f t="shared" si="316"/>
        <v>7318.09</v>
      </c>
      <c r="AA501" s="754">
        <v>1000</v>
      </c>
      <c r="AB501" s="754"/>
      <c r="AC501" s="754">
        <f t="shared" si="317"/>
        <v>1000</v>
      </c>
      <c r="AD501" s="754">
        <f t="shared" si="318"/>
        <v>88817.08</v>
      </c>
      <c r="AE501" s="754">
        <f t="shared" si="319"/>
        <v>266451.24</v>
      </c>
      <c r="AF501" s="754"/>
      <c r="AG501" s="720"/>
      <c r="AH501" s="720"/>
      <c r="AI501" s="754"/>
    </row>
    <row r="502" spans="1:35" x14ac:dyDescent="0.2">
      <c r="A502" s="857" t="s">
        <v>463</v>
      </c>
      <c r="B502" s="720">
        <v>5</v>
      </c>
      <c r="C502" s="754">
        <v>3660</v>
      </c>
      <c r="D502" s="754"/>
      <c r="E502" s="754">
        <v>960</v>
      </c>
      <c r="F502" s="754"/>
      <c r="G502" s="754">
        <v>108.09</v>
      </c>
      <c r="H502" s="754"/>
      <c r="I502" s="754">
        <v>730</v>
      </c>
      <c r="J502" s="754">
        <v>1350</v>
      </c>
      <c r="K502" s="754">
        <f t="shared" si="312"/>
        <v>6808.09</v>
      </c>
      <c r="L502" s="754">
        <v>1000</v>
      </c>
      <c r="M502" s="754"/>
      <c r="N502" s="754">
        <f t="shared" si="313"/>
        <v>1000</v>
      </c>
      <c r="O502" s="754">
        <f t="shared" si="314"/>
        <v>82697.08</v>
      </c>
      <c r="P502" s="754">
        <f t="shared" si="315"/>
        <v>413485.4</v>
      </c>
      <c r="Q502" s="708">
        <v>5</v>
      </c>
      <c r="R502" s="754">
        <v>3660</v>
      </c>
      <c r="S502" s="754"/>
      <c r="T502" s="754">
        <v>960</v>
      </c>
      <c r="U502" s="754"/>
      <c r="V502" s="754">
        <v>108.09</v>
      </c>
      <c r="W502" s="754"/>
      <c r="X502" s="754">
        <v>730</v>
      </c>
      <c r="Y502" s="754">
        <v>1350</v>
      </c>
      <c r="Z502" s="754">
        <f t="shared" si="316"/>
        <v>6808.09</v>
      </c>
      <c r="AA502" s="754">
        <v>1000</v>
      </c>
      <c r="AB502" s="754"/>
      <c r="AC502" s="754">
        <f t="shared" si="317"/>
        <v>1000</v>
      </c>
      <c r="AD502" s="754">
        <f t="shared" si="318"/>
        <v>82697.08</v>
      </c>
      <c r="AE502" s="754">
        <f t="shared" si="319"/>
        <v>413485.4</v>
      </c>
      <c r="AF502" s="754"/>
      <c r="AG502" s="720"/>
      <c r="AH502" s="720"/>
      <c r="AI502" s="754"/>
    </row>
    <row r="503" spans="1:35" x14ac:dyDescent="0.2">
      <c r="A503" s="857" t="s">
        <v>464</v>
      </c>
      <c r="B503" s="720">
        <v>40</v>
      </c>
      <c r="C503" s="754">
        <v>3344</v>
      </c>
      <c r="D503" s="754"/>
      <c r="E503" s="754">
        <v>876.5</v>
      </c>
      <c r="F503" s="754"/>
      <c r="G503" s="754">
        <v>108.09</v>
      </c>
      <c r="H503" s="754"/>
      <c r="I503" s="754">
        <v>730</v>
      </c>
      <c r="J503" s="754"/>
      <c r="K503" s="754">
        <f t="shared" si="312"/>
        <v>5058.59</v>
      </c>
      <c r="L503" s="754">
        <v>1000</v>
      </c>
      <c r="M503" s="754"/>
      <c r="N503" s="754">
        <f t="shared" si="313"/>
        <v>1000</v>
      </c>
      <c r="O503" s="754">
        <f t="shared" si="314"/>
        <v>61703.08</v>
      </c>
      <c r="P503" s="754">
        <f t="shared" si="315"/>
        <v>2468123.2000000002</v>
      </c>
      <c r="Q503" s="708">
        <v>40</v>
      </c>
      <c r="R503" s="754">
        <v>3344</v>
      </c>
      <c r="S503" s="754"/>
      <c r="T503" s="754">
        <v>876.5</v>
      </c>
      <c r="U503" s="754"/>
      <c r="V503" s="754">
        <v>108.09</v>
      </c>
      <c r="W503" s="754"/>
      <c r="X503" s="754">
        <v>730</v>
      </c>
      <c r="Y503" s="754"/>
      <c r="Z503" s="754">
        <f t="shared" si="316"/>
        <v>5058.59</v>
      </c>
      <c r="AA503" s="754">
        <v>1000</v>
      </c>
      <c r="AB503" s="754"/>
      <c r="AC503" s="754">
        <f t="shared" si="317"/>
        <v>1000</v>
      </c>
      <c r="AD503" s="754">
        <f t="shared" si="318"/>
        <v>61703.08</v>
      </c>
      <c r="AE503" s="754">
        <f t="shared" si="319"/>
        <v>2468123.2000000002</v>
      </c>
      <c r="AF503" s="754"/>
      <c r="AG503" s="720"/>
      <c r="AH503" s="720"/>
      <c r="AI503" s="754"/>
    </row>
    <row r="504" spans="1:35" x14ac:dyDescent="0.2">
      <c r="A504" s="871" t="s">
        <v>465</v>
      </c>
      <c r="B504" s="720"/>
      <c r="C504" s="754"/>
      <c r="D504" s="754"/>
      <c r="E504" s="754"/>
      <c r="F504" s="754"/>
      <c r="G504" s="754"/>
      <c r="H504" s="754"/>
      <c r="I504" s="754"/>
      <c r="J504" s="754"/>
      <c r="K504" s="754"/>
      <c r="L504" s="754"/>
      <c r="M504" s="754"/>
      <c r="N504" s="754"/>
      <c r="O504" s="754"/>
      <c r="P504" s="754"/>
      <c r="Q504" s="708"/>
      <c r="R504" s="754"/>
      <c r="S504" s="754"/>
      <c r="T504" s="754"/>
      <c r="U504" s="754"/>
      <c r="V504" s="754"/>
      <c r="W504" s="754"/>
      <c r="X504" s="754"/>
      <c r="Y504" s="754"/>
      <c r="Z504" s="754"/>
      <c r="AA504" s="754"/>
      <c r="AB504" s="754"/>
      <c r="AC504" s="754"/>
      <c r="AD504" s="754"/>
      <c r="AE504" s="754"/>
      <c r="AF504" s="754"/>
      <c r="AG504" s="720"/>
      <c r="AH504" s="720"/>
      <c r="AI504" s="754"/>
    </row>
    <row r="505" spans="1:35" x14ac:dyDescent="0.2">
      <c r="A505" s="857" t="s">
        <v>466</v>
      </c>
      <c r="B505" s="720">
        <v>4</v>
      </c>
      <c r="C505" s="754">
        <v>4471</v>
      </c>
      <c r="D505" s="754"/>
      <c r="E505" s="754">
        <v>1317</v>
      </c>
      <c r="F505" s="754"/>
      <c r="G505" s="754">
        <v>108.09</v>
      </c>
      <c r="H505" s="754"/>
      <c r="I505" s="754">
        <v>730</v>
      </c>
      <c r="J505" s="754"/>
      <c r="K505" s="754">
        <f t="shared" ref="K505" si="320">SUM(C505:J505)</f>
        <v>6626.09</v>
      </c>
      <c r="L505" s="754">
        <v>1000</v>
      </c>
      <c r="M505" s="754"/>
      <c r="N505" s="754">
        <f t="shared" ref="N505" si="321">+L505+M505</f>
        <v>1000</v>
      </c>
      <c r="O505" s="754">
        <f t="shared" ref="O505" si="322">+K505*12+N505</f>
        <v>80513.08</v>
      </c>
      <c r="P505" s="754">
        <f t="shared" ref="P505" si="323">+B505*O505</f>
        <v>322052.32</v>
      </c>
      <c r="Q505" s="708">
        <v>4</v>
      </c>
      <c r="R505" s="754">
        <v>4471</v>
      </c>
      <c r="S505" s="754"/>
      <c r="T505" s="754">
        <v>1317</v>
      </c>
      <c r="U505" s="754"/>
      <c r="V505" s="754">
        <v>108.09</v>
      </c>
      <c r="W505" s="754"/>
      <c r="X505" s="754">
        <v>730</v>
      </c>
      <c r="Y505" s="754"/>
      <c r="Z505" s="754">
        <f t="shared" ref="Z505" si="324">SUM(R505:Y505)</f>
        <v>6626.09</v>
      </c>
      <c r="AA505" s="754">
        <v>1000</v>
      </c>
      <c r="AB505" s="754"/>
      <c r="AC505" s="754">
        <f t="shared" ref="AC505" si="325">+AA505+AB505</f>
        <v>1000</v>
      </c>
      <c r="AD505" s="754">
        <f t="shared" ref="AD505" si="326">+Z505*12+AC505</f>
        <v>80513.08</v>
      </c>
      <c r="AE505" s="754">
        <f t="shared" ref="AE505" si="327">+Q505*AD505</f>
        <v>322052.32</v>
      </c>
      <c r="AF505" s="754"/>
      <c r="AG505" s="720"/>
      <c r="AH505" s="720"/>
      <c r="AI505" s="754"/>
    </row>
    <row r="506" spans="1:35" x14ac:dyDescent="0.2">
      <c r="A506" s="857" t="s">
        <v>467</v>
      </c>
      <c r="B506" s="720"/>
      <c r="C506" s="754"/>
      <c r="D506" s="754"/>
      <c r="E506" s="754"/>
      <c r="F506" s="754"/>
      <c r="G506" s="754"/>
      <c r="H506" s="754"/>
      <c r="I506" s="754"/>
      <c r="J506" s="754"/>
      <c r="K506" s="754"/>
      <c r="L506" s="754"/>
      <c r="M506" s="754"/>
      <c r="N506" s="754"/>
      <c r="O506" s="754"/>
      <c r="P506" s="754"/>
      <c r="Q506" s="708"/>
      <c r="R506" s="754"/>
      <c r="S506" s="754"/>
      <c r="T506" s="754"/>
      <c r="U506" s="754"/>
      <c r="V506" s="754"/>
      <c r="W506" s="754"/>
      <c r="X506" s="754"/>
      <c r="Y506" s="754"/>
      <c r="Z506" s="754"/>
      <c r="AA506" s="754"/>
      <c r="AB506" s="754"/>
      <c r="AC506" s="754"/>
      <c r="AD506" s="754"/>
      <c r="AE506" s="754"/>
      <c r="AF506" s="754"/>
      <c r="AG506" s="720"/>
      <c r="AH506" s="720"/>
      <c r="AI506" s="754"/>
    </row>
    <row r="507" spans="1:35" x14ac:dyDescent="0.2">
      <c r="A507" s="857" t="s">
        <v>468</v>
      </c>
      <c r="B507" s="720">
        <v>2</v>
      </c>
      <c r="C507" s="754">
        <v>3900</v>
      </c>
      <c r="D507" s="754"/>
      <c r="E507" s="754">
        <v>1230</v>
      </c>
      <c r="F507" s="754"/>
      <c r="G507" s="754">
        <v>108.09</v>
      </c>
      <c r="H507" s="754"/>
      <c r="I507" s="754">
        <v>730</v>
      </c>
      <c r="J507" s="754"/>
      <c r="K507" s="754">
        <f t="shared" ref="K507:K509" si="328">SUM(C507:J507)</f>
        <v>5968.09</v>
      </c>
      <c r="L507" s="754">
        <v>1000</v>
      </c>
      <c r="M507" s="754"/>
      <c r="N507" s="754">
        <f t="shared" ref="N507:N509" si="329">+L507+M507</f>
        <v>1000</v>
      </c>
      <c r="O507" s="754">
        <f t="shared" ref="O507:O509" si="330">+K507*12+N507</f>
        <v>72617.08</v>
      </c>
      <c r="P507" s="754">
        <f t="shared" ref="P507:P509" si="331">+B507*O507</f>
        <v>145234.16</v>
      </c>
      <c r="Q507" s="708">
        <v>2</v>
      </c>
      <c r="R507" s="754">
        <v>3900</v>
      </c>
      <c r="S507" s="754"/>
      <c r="T507" s="754">
        <v>1230</v>
      </c>
      <c r="U507" s="754"/>
      <c r="V507" s="754">
        <v>108.09</v>
      </c>
      <c r="W507" s="754"/>
      <c r="X507" s="754">
        <v>730</v>
      </c>
      <c r="Y507" s="754"/>
      <c r="Z507" s="754">
        <f t="shared" ref="Z507:Z509" si="332">SUM(R507:Y507)</f>
        <v>5968.09</v>
      </c>
      <c r="AA507" s="754">
        <v>1000</v>
      </c>
      <c r="AB507" s="754"/>
      <c r="AC507" s="754">
        <f t="shared" ref="AC507:AC509" si="333">+AA507+AB507</f>
        <v>1000</v>
      </c>
      <c r="AD507" s="754">
        <f t="shared" ref="AD507:AD509" si="334">+Z507*12+AC507</f>
        <v>72617.08</v>
      </c>
      <c r="AE507" s="754">
        <f t="shared" ref="AE507:AE509" si="335">+Q507*AD507</f>
        <v>145234.16</v>
      </c>
      <c r="AF507" s="754"/>
      <c r="AG507" s="720"/>
      <c r="AH507" s="720"/>
      <c r="AI507" s="754"/>
    </row>
    <row r="508" spans="1:35" x14ac:dyDescent="0.2">
      <c r="A508" s="857" t="s">
        <v>469</v>
      </c>
      <c r="B508" s="720">
        <v>7</v>
      </c>
      <c r="C508" s="754">
        <v>3660</v>
      </c>
      <c r="D508" s="754"/>
      <c r="E508" s="754">
        <v>960</v>
      </c>
      <c r="F508" s="754"/>
      <c r="G508" s="754">
        <v>108.09</v>
      </c>
      <c r="H508" s="754"/>
      <c r="I508" s="754">
        <v>730</v>
      </c>
      <c r="J508" s="754"/>
      <c r="K508" s="754">
        <f t="shared" si="328"/>
        <v>5458.09</v>
      </c>
      <c r="L508" s="754">
        <v>1000</v>
      </c>
      <c r="M508" s="754"/>
      <c r="N508" s="754">
        <f t="shared" si="329"/>
        <v>1000</v>
      </c>
      <c r="O508" s="754">
        <f t="shared" si="330"/>
        <v>66497.08</v>
      </c>
      <c r="P508" s="754">
        <f t="shared" si="331"/>
        <v>465479.56</v>
      </c>
      <c r="Q508" s="708">
        <v>7</v>
      </c>
      <c r="R508" s="754">
        <v>3660</v>
      </c>
      <c r="S508" s="754"/>
      <c r="T508" s="754">
        <v>960</v>
      </c>
      <c r="U508" s="754"/>
      <c r="V508" s="754">
        <v>108.09</v>
      </c>
      <c r="W508" s="754"/>
      <c r="X508" s="754">
        <v>730</v>
      </c>
      <c r="Y508" s="754"/>
      <c r="Z508" s="754">
        <f t="shared" si="332"/>
        <v>5458.09</v>
      </c>
      <c r="AA508" s="754">
        <v>1000</v>
      </c>
      <c r="AB508" s="754"/>
      <c r="AC508" s="754">
        <f t="shared" si="333"/>
        <v>1000</v>
      </c>
      <c r="AD508" s="754">
        <f t="shared" si="334"/>
        <v>66497.08</v>
      </c>
      <c r="AE508" s="754">
        <f t="shared" si="335"/>
        <v>465479.56</v>
      </c>
      <c r="AF508" s="754"/>
      <c r="AG508" s="720"/>
      <c r="AH508" s="720"/>
      <c r="AI508" s="754"/>
    </row>
    <row r="509" spans="1:35" x14ac:dyDescent="0.2">
      <c r="A509" s="857" t="s">
        <v>470</v>
      </c>
      <c r="B509" s="720">
        <v>41</v>
      </c>
      <c r="C509" s="754">
        <v>3344</v>
      </c>
      <c r="D509" s="754"/>
      <c r="E509" s="754">
        <v>876.5</v>
      </c>
      <c r="F509" s="754"/>
      <c r="G509" s="754">
        <v>108.09</v>
      </c>
      <c r="H509" s="754"/>
      <c r="I509" s="754">
        <v>730</v>
      </c>
      <c r="J509" s="754"/>
      <c r="K509" s="754">
        <f t="shared" si="328"/>
        <v>5058.59</v>
      </c>
      <c r="L509" s="754">
        <v>1000</v>
      </c>
      <c r="M509" s="754"/>
      <c r="N509" s="754">
        <f t="shared" si="329"/>
        <v>1000</v>
      </c>
      <c r="O509" s="754">
        <f t="shared" si="330"/>
        <v>61703.08</v>
      </c>
      <c r="P509" s="754">
        <f t="shared" si="331"/>
        <v>2529826.2800000003</v>
      </c>
      <c r="Q509" s="708">
        <v>41</v>
      </c>
      <c r="R509" s="754">
        <v>3344</v>
      </c>
      <c r="S509" s="754"/>
      <c r="T509" s="754">
        <v>876.5</v>
      </c>
      <c r="U509" s="754"/>
      <c r="V509" s="754">
        <v>108.09</v>
      </c>
      <c r="W509" s="754"/>
      <c r="X509" s="754">
        <v>730</v>
      </c>
      <c r="Y509" s="754"/>
      <c r="Z509" s="754">
        <f t="shared" si="332"/>
        <v>5058.59</v>
      </c>
      <c r="AA509" s="754">
        <v>1000</v>
      </c>
      <c r="AB509" s="754"/>
      <c r="AC509" s="754">
        <f t="shared" si="333"/>
        <v>1000</v>
      </c>
      <c r="AD509" s="754">
        <f t="shared" si="334"/>
        <v>61703.08</v>
      </c>
      <c r="AE509" s="754">
        <f t="shared" si="335"/>
        <v>2529826.2800000003</v>
      </c>
      <c r="AF509" s="754"/>
      <c r="AG509" s="720"/>
      <c r="AH509" s="720"/>
      <c r="AI509" s="754"/>
    </row>
    <row r="510" spans="1:35" x14ac:dyDescent="0.2">
      <c r="A510" s="871" t="s">
        <v>471</v>
      </c>
      <c r="B510" s="720"/>
      <c r="C510" s="754"/>
      <c r="D510" s="754"/>
      <c r="E510" s="754"/>
      <c r="F510" s="754"/>
      <c r="G510" s="754"/>
      <c r="H510" s="754"/>
      <c r="I510" s="754"/>
      <c r="J510" s="754"/>
      <c r="K510" s="754"/>
      <c r="L510" s="754"/>
      <c r="M510" s="754"/>
      <c r="N510" s="754"/>
      <c r="O510" s="754"/>
      <c r="P510" s="754"/>
      <c r="Q510" s="708"/>
      <c r="R510" s="754"/>
      <c r="S510" s="754"/>
      <c r="T510" s="754"/>
      <c r="U510" s="754"/>
      <c r="V510" s="754"/>
      <c r="W510" s="754"/>
      <c r="X510" s="754"/>
      <c r="Y510" s="754"/>
      <c r="Z510" s="754"/>
      <c r="AA510" s="754"/>
      <c r="AB510" s="754"/>
      <c r="AC510" s="754"/>
      <c r="AD510" s="754"/>
      <c r="AE510" s="754"/>
      <c r="AF510" s="754"/>
      <c r="AG510" s="720"/>
      <c r="AH510" s="720"/>
      <c r="AI510" s="754"/>
    </row>
    <row r="511" spans="1:35" ht="24" x14ac:dyDescent="0.2">
      <c r="A511" s="857" t="s">
        <v>472</v>
      </c>
      <c r="B511" s="720">
        <v>2</v>
      </c>
      <c r="C511" s="754">
        <v>4471</v>
      </c>
      <c r="D511" s="754"/>
      <c r="E511" s="754">
        <v>925.4</v>
      </c>
      <c r="F511" s="754"/>
      <c r="G511" s="754">
        <v>108.09</v>
      </c>
      <c r="H511" s="754"/>
      <c r="I511" s="754">
        <v>730</v>
      </c>
      <c r="J511" s="754"/>
      <c r="K511" s="754">
        <f t="shared" ref="K511:K513" si="336">SUM(C511:J511)</f>
        <v>6234.49</v>
      </c>
      <c r="L511" s="754">
        <v>1000</v>
      </c>
      <c r="M511" s="754"/>
      <c r="N511" s="754">
        <f t="shared" ref="N511:N513" si="337">+L511+M511</f>
        <v>1000</v>
      </c>
      <c r="O511" s="754">
        <f t="shared" ref="O511:O513" si="338">+K511*12+N511</f>
        <v>75813.88</v>
      </c>
      <c r="P511" s="754">
        <f t="shared" ref="P511:P513" si="339">+B511*O511</f>
        <v>151627.76</v>
      </c>
      <c r="Q511" s="708">
        <v>2</v>
      </c>
      <c r="R511" s="754">
        <v>4471</v>
      </c>
      <c r="S511" s="754"/>
      <c r="T511" s="754">
        <v>925.4</v>
      </c>
      <c r="U511" s="754"/>
      <c r="V511" s="754">
        <v>108.09</v>
      </c>
      <c r="W511" s="754"/>
      <c r="X511" s="754">
        <v>730</v>
      </c>
      <c r="Y511" s="754"/>
      <c r="Z511" s="754">
        <f t="shared" ref="Z511:Z513" si="340">SUM(R511:Y511)</f>
        <v>6234.49</v>
      </c>
      <c r="AA511" s="754">
        <v>1000</v>
      </c>
      <c r="AB511" s="754"/>
      <c r="AC511" s="754">
        <f t="shared" ref="AC511:AC513" si="341">+AA511+AB511</f>
        <v>1000</v>
      </c>
      <c r="AD511" s="754">
        <f t="shared" ref="AD511:AD513" si="342">+Z511*12+AC511</f>
        <v>75813.88</v>
      </c>
      <c r="AE511" s="754">
        <f t="shared" ref="AE511:AE513" si="343">+Q511*AD511</f>
        <v>151627.76</v>
      </c>
      <c r="AF511" s="754"/>
      <c r="AG511" s="720"/>
      <c r="AH511" s="720"/>
      <c r="AI511" s="754"/>
    </row>
    <row r="512" spans="1:35" ht="24" x14ac:dyDescent="0.2">
      <c r="A512" s="857" t="s">
        <v>473</v>
      </c>
      <c r="B512" s="720">
        <v>1</v>
      </c>
      <c r="C512" s="754">
        <v>4158</v>
      </c>
      <c r="D512" s="754"/>
      <c r="E512" s="754">
        <v>925.4</v>
      </c>
      <c r="F512" s="754"/>
      <c r="G512" s="754">
        <v>108.09</v>
      </c>
      <c r="H512" s="754"/>
      <c r="I512" s="754">
        <v>730</v>
      </c>
      <c r="J512" s="754"/>
      <c r="K512" s="754">
        <f t="shared" si="336"/>
        <v>5921.49</v>
      </c>
      <c r="L512" s="754">
        <v>1000</v>
      </c>
      <c r="M512" s="754"/>
      <c r="N512" s="754">
        <f t="shared" si="337"/>
        <v>1000</v>
      </c>
      <c r="O512" s="754">
        <f t="shared" si="338"/>
        <v>72057.88</v>
      </c>
      <c r="P512" s="754">
        <f t="shared" si="339"/>
        <v>72057.88</v>
      </c>
      <c r="Q512" s="708">
        <v>1</v>
      </c>
      <c r="R512" s="754">
        <v>4158</v>
      </c>
      <c r="S512" s="754"/>
      <c r="T512" s="754">
        <v>925.4</v>
      </c>
      <c r="U512" s="754"/>
      <c r="V512" s="754">
        <v>108.09</v>
      </c>
      <c r="W512" s="754"/>
      <c r="X512" s="754">
        <v>730</v>
      </c>
      <c r="Y512" s="754"/>
      <c r="Z512" s="754">
        <f t="shared" si="340"/>
        <v>5921.49</v>
      </c>
      <c r="AA512" s="754">
        <v>1000</v>
      </c>
      <c r="AB512" s="754"/>
      <c r="AC512" s="754">
        <f t="shared" si="341"/>
        <v>1000</v>
      </c>
      <c r="AD512" s="754">
        <f t="shared" si="342"/>
        <v>72057.88</v>
      </c>
      <c r="AE512" s="754">
        <f t="shared" si="343"/>
        <v>72057.88</v>
      </c>
      <c r="AF512" s="754"/>
      <c r="AG512" s="720"/>
      <c r="AH512" s="720"/>
      <c r="AI512" s="754"/>
    </row>
    <row r="513" spans="1:35" ht="24" x14ac:dyDescent="0.2">
      <c r="A513" s="857" t="s">
        <v>474</v>
      </c>
      <c r="B513" s="720">
        <v>2</v>
      </c>
      <c r="C513" s="754">
        <v>3900</v>
      </c>
      <c r="D513" s="754"/>
      <c r="E513" s="754">
        <v>925.4</v>
      </c>
      <c r="F513" s="754"/>
      <c r="G513" s="754">
        <v>108.09</v>
      </c>
      <c r="H513" s="754"/>
      <c r="I513" s="754">
        <v>730</v>
      </c>
      <c r="J513" s="754"/>
      <c r="K513" s="754">
        <f t="shared" si="336"/>
        <v>5663.49</v>
      </c>
      <c r="L513" s="754">
        <v>1000</v>
      </c>
      <c r="M513" s="754"/>
      <c r="N513" s="754">
        <f t="shared" si="337"/>
        <v>1000</v>
      </c>
      <c r="O513" s="754">
        <f t="shared" si="338"/>
        <v>68961.88</v>
      </c>
      <c r="P513" s="754">
        <f t="shared" si="339"/>
        <v>137923.76</v>
      </c>
      <c r="Q513" s="708">
        <v>2</v>
      </c>
      <c r="R513" s="754">
        <v>3900</v>
      </c>
      <c r="S513" s="754"/>
      <c r="T513" s="754">
        <v>925.4</v>
      </c>
      <c r="U513" s="754"/>
      <c r="V513" s="754">
        <v>108.09</v>
      </c>
      <c r="W513" s="754"/>
      <c r="X513" s="754">
        <v>730</v>
      </c>
      <c r="Y513" s="754"/>
      <c r="Z513" s="754">
        <f t="shared" si="340"/>
        <v>5663.49</v>
      </c>
      <c r="AA513" s="754">
        <v>1000</v>
      </c>
      <c r="AB513" s="754"/>
      <c r="AC513" s="754">
        <f t="shared" si="341"/>
        <v>1000</v>
      </c>
      <c r="AD513" s="754">
        <f t="shared" si="342"/>
        <v>68961.88</v>
      </c>
      <c r="AE513" s="754">
        <f t="shared" si="343"/>
        <v>137923.76</v>
      </c>
      <c r="AF513" s="754"/>
      <c r="AG513" s="720"/>
      <c r="AH513" s="720"/>
      <c r="AI513" s="754"/>
    </row>
    <row r="514" spans="1:35" x14ac:dyDescent="0.2">
      <c r="A514" s="857" t="s">
        <v>475</v>
      </c>
      <c r="B514" s="720"/>
      <c r="C514" s="754"/>
      <c r="D514" s="754"/>
      <c r="E514" s="754"/>
      <c r="F514" s="754"/>
      <c r="G514" s="754"/>
      <c r="H514" s="754"/>
      <c r="I514" s="754"/>
      <c r="J514" s="754"/>
      <c r="K514" s="754"/>
      <c r="L514" s="754"/>
      <c r="M514" s="754"/>
      <c r="N514" s="754"/>
      <c r="O514" s="754"/>
      <c r="P514" s="754"/>
      <c r="Q514" s="708"/>
      <c r="R514" s="754"/>
      <c r="S514" s="754"/>
      <c r="T514" s="754"/>
      <c r="U514" s="754"/>
      <c r="V514" s="754"/>
      <c r="W514" s="754"/>
      <c r="X514" s="754"/>
      <c r="Y514" s="754"/>
      <c r="Z514" s="754"/>
      <c r="AA514" s="754"/>
      <c r="AB514" s="754"/>
      <c r="AC514" s="754"/>
      <c r="AD514" s="754"/>
      <c r="AE514" s="754"/>
      <c r="AF514" s="754"/>
      <c r="AG514" s="720"/>
      <c r="AH514" s="720"/>
      <c r="AI514" s="754"/>
    </row>
    <row r="515" spans="1:35" x14ac:dyDescent="0.2">
      <c r="A515" s="857" t="s">
        <v>476</v>
      </c>
      <c r="B515" s="720">
        <v>3</v>
      </c>
      <c r="C515" s="754">
        <v>3344</v>
      </c>
      <c r="D515" s="754"/>
      <c r="E515" s="754">
        <v>925.4</v>
      </c>
      <c r="F515" s="754"/>
      <c r="G515" s="754">
        <v>108.09</v>
      </c>
      <c r="H515" s="754"/>
      <c r="I515" s="754">
        <v>730</v>
      </c>
      <c r="J515" s="754"/>
      <c r="K515" s="754">
        <f t="shared" ref="K515" si="344">SUM(C515:J515)</f>
        <v>5107.49</v>
      </c>
      <c r="L515" s="754">
        <v>1000</v>
      </c>
      <c r="M515" s="754"/>
      <c r="N515" s="754">
        <f t="shared" ref="N515" si="345">+L515+M515</f>
        <v>1000</v>
      </c>
      <c r="O515" s="754">
        <f t="shared" ref="O515" si="346">+K515*12+N515</f>
        <v>62289.88</v>
      </c>
      <c r="P515" s="754">
        <f t="shared" ref="P515" si="347">+B515*O515</f>
        <v>186869.63999999998</v>
      </c>
      <c r="Q515" s="708">
        <v>3</v>
      </c>
      <c r="R515" s="754">
        <v>3344</v>
      </c>
      <c r="S515" s="754"/>
      <c r="T515" s="754">
        <v>925.4</v>
      </c>
      <c r="U515" s="754"/>
      <c r="V515" s="754">
        <v>108.09</v>
      </c>
      <c r="W515" s="754"/>
      <c r="X515" s="754">
        <v>730</v>
      </c>
      <c r="Y515" s="754"/>
      <c r="Z515" s="754">
        <f t="shared" ref="Z515" si="348">SUM(R515:Y515)</f>
        <v>5107.49</v>
      </c>
      <c r="AA515" s="754">
        <v>1000</v>
      </c>
      <c r="AB515" s="754"/>
      <c r="AC515" s="754">
        <f t="shared" ref="AC515" si="349">+AA515+AB515</f>
        <v>1000</v>
      </c>
      <c r="AD515" s="754">
        <f t="shared" ref="AD515" si="350">+Z515*12+AC515</f>
        <v>62289.88</v>
      </c>
      <c r="AE515" s="754">
        <f t="shared" ref="AE515" si="351">+Q515*AD515</f>
        <v>186869.63999999998</v>
      </c>
      <c r="AF515" s="754"/>
      <c r="AG515" s="720"/>
      <c r="AH515" s="720"/>
      <c r="AI515" s="754"/>
    </row>
    <row r="516" spans="1:35" ht="24" x14ac:dyDescent="0.2">
      <c r="A516" s="871" t="s">
        <v>477</v>
      </c>
      <c r="B516" s="720"/>
      <c r="C516" s="754"/>
      <c r="D516" s="754"/>
      <c r="E516" s="754"/>
      <c r="F516" s="754"/>
      <c r="G516" s="754"/>
      <c r="H516" s="754"/>
      <c r="I516" s="754"/>
      <c r="J516" s="754"/>
      <c r="K516" s="754"/>
      <c r="L516" s="754"/>
      <c r="M516" s="754"/>
      <c r="N516" s="754"/>
      <c r="O516" s="754"/>
      <c r="P516" s="754"/>
      <c r="Q516" s="708"/>
      <c r="R516" s="754"/>
      <c r="S516" s="754"/>
      <c r="T516" s="754"/>
      <c r="U516" s="754"/>
      <c r="V516" s="754"/>
      <c r="W516" s="754"/>
      <c r="X516" s="754"/>
      <c r="Y516" s="754"/>
      <c r="Z516" s="754"/>
      <c r="AA516" s="754"/>
      <c r="AB516" s="754"/>
      <c r="AC516" s="754"/>
      <c r="AD516" s="754"/>
      <c r="AE516" s="754"/>
      <c r="AF516" s="754"/>
      <c r="AG516" s="720"/>
      <c r="AH516" s="720"/>
      <c r="AI516" s="754"/>
    </row>
    <row r="517" spans="1:35" x14ac:dyDescent="0.2">
      <c r="A517" s="857" t="s">
        <v>478</v>
      </c>
      <c r="B517" s="720">
        <v>4</v>
      </c>
      <c r="C517" s="754">
        <v>4471</v>
      </c>
      <c r="D517" s="754"/>
      <c r="E517" s="754">
        <v>925.4</v>
      </c>
      <c r="F517" s="754"/>
      <c r="G517" s="754">
        <v>108.09</v>
      </c>
      <c r="H517" s="754"/>
      <c r="I517" s="754">
        <v>730</v>
      </c>
      <c r="J517" s="754"/>
      <c r="K517" s="754">
        <f t="shared" ref="K517" si="352">SUM(C517:J517)</f>
        <v>6234.49</v>
      </c>
      <c r="L517" s="754">
        <v>1000</v>
      </c>
      <c r="M517" s="754"/>
      <c r="N517" s="754">
        <f t="shared" ref="N517" si="353">+L517+M517</f>
        <v>1000</v>
      </c>
      <c r="O517" s="754">
        <f t="shared" ref="O517" si="354">+K517*12+N517</f>
        <v>75813.88</v>
      </c>
      <c r="P517" s="754">
        <f t="shared" ref="P517" si="355">+B517*O517</f>
        <v>303255.52</v>
      </c>
      <c r="Q517" s="708">
        <v>4</v>
      </c>
      <c r="R517" s="754">
        <v>4471</v>
      </c>
      <c r="S517" s="754"/>
      <c r="T517" s="754">
        <v>925.4</v>
      </c>
      <c r="U517" s="754"/>
      <c r="V517" s="754">
        <v>108.09</v>
      </c>
      <c r="W517" s="754"/>
      <c r="X517" s="754">
        <v>730</v>
      </c>
      <c r="Y517" s="754"/>
      <c r="Z517" s="754">
        <f t="shared" ref="Z517" si="356">SUM(R517:Y517)</f>
        <v>6234.49</v>
      </c>
      <c r="AA517" s="754">
        <v>1000</v>
      </c>
      <c r="AB517" s="754"/>
      <c r="AC517" s="754">
        <f t="shared" ref="AC517" si="357">+AA517+AB517</f>
        <v>1000</v>
      </c>
      <c r="AD517" s="754">
        <f t="shared" ref="AD517" si="358">+Z517*12+AC517</f>
        <v>75813.88</v>
      </c>
      <c r="AE517" s="754">
        <f t="shared" ref="AE517" si="359">+Q517*AD517</f>
        <v>303255.52</v>
      </c>
      <c r="AF517" s="754"/>
      <c r="AG517" s="720"/>
      <c r="AH517" s="720"/>
      <c r="AI517" s="754"/>
    </row>
    <row r="518" spans="1:35" x14ac:dyDescent="0.2">
      <c r="A518" s="857" t="s">
        <v>479</v>
      </c>
      <c r="B518" s="720"/>
      <c r="C518" s="754"/>
      <c r="D518" s="754"/>
      <c r="E518" s="754"/>
      <c r="F518" s="754"/>
      <c r="G518" s="754"/>
      <c r="H518" s="754"/>
      <c r="I518" s="754"/>
      <c r="J518" s="754"/>
      <c r="K518" s="754"/>
      <c r="L518" s="754"/>
      <c r="M518" s="754"/>
      <c r="N518" s="754"/>
      <c r="O518" s="754"/>
      <c r="P518" s="754"/>
      <c r="Q518" s="708"/>
      <c r="R518" s="754"/>
      <c r="S518" s="754"/>
      <c r="T518" s="754"/>
      <c r="U518" s="754"/>
      <c r="V518" s="754"/>
      <c r="W518" s="754"/>
      <c r="X518" s="754"/>
      <c r="Y518" s="754"/>
      <c r="Z518" s="754"/>
      <c r="AA518" s="754"/>
      <c r="AB518" s="754"/>
      <c r="AC518" s="754"/>
      <c r="AD518" s="754"/>
      <c r="AE518" s="754"/>
      <c r="AF518" s="754"/>
      <c r="AG518" s="720"/>
      <c r="AH518" s="720"/>
      <c r="AI518" s="754"/>
    </row>
    <row r="519" spans="1:35" x14ac:dyDescent="0.2">
      <c r="A519" s="857" t="s">
        <v>480</v>
      </c>
      <c r="B519" s="720">
        <v>4</v>
      </c>
      <c r="C519" s="754">
        <v>3900</v>
      </c>
      <c r="D519" s="754"/>
      <c r="E519" s="754">
        <v>925.4</v>
      </c>
      <c r="F519" s="754"/>
      <c r="G519" s="754">
        <v>108.09</v>
      </c>
      <c r="H519" s="754"/>
      <c r="I519" s="754">
        <v>730</v>
      </c>
      <c r="J519" s="754">
        <v>600</v>
      </c>
      <c r="K519" s="754">
        <f t="shared" ref="K519:K521" si="360">SUM(C519:J519)</f>
        <v>6263.49</v>
      </c>
      <c r="L519" s="754">
        <v>1000</v>
      </c>
      <c r="M519" s="754"/>
      <c r="N519" s="754">
        <f t="shared" ref="N519:N521" si="361">+L519+M519</f>
        <v>1000</v>
      </c>
      <c r="O519" s="754">
        <f t="shared" ref="O519:O521" si="362">+K519*12+N519</f>
        <v>76161.88</v>
      </c>
      <c r="P519" s="754">
        <f t="shared" ref="P519:P521" si="363">+B519*O519</f>
        <v>304647.52</v>
      </c>
      <c r="Q519" s="708">
        <v>4</v>
      </c>
      <c r="R519" s="754">
        <v>3900</v>
      </c>
      <c r="S519" s="754"/>
      <c r="T519" s="754">
        <v>925.4</v>
      </c>
      <c r="U519" s="754"/>
      <c r="V519" s="754">
        <v>108.09</v>
      </c>
      <c r="W519" s="754"/>
      <c r="X519" s="754">
        <v>730</v>
      </c>
      <c r="Y519" s="754">
        <v>600</v>
      </c>
      <c r="Z519" s="754">
        <f t="shared" ref="Z519:Z521" si="364">SUM(R519:Y519)</f>
        <v>6263.49</v>
      </c>
      <c r="AA519" s="754">
        <v>1000</v>
      </c>
      <c r="AB519" s="754"/>
      <c r="AC519" s="754">
        <f t="shared" ref="AC519:AC521" si="365">+AA519+AB519</f>
        <v>1000</v>
      </c>
      <c r="AD519" s="754">
        <f t="shared" ref="AD519:AD521" si="366">+Z519*12+AC519</f>
        <v>76161.88</v>
      </c>
      <c r="AE519" s="754">
        <f t="shared" ref="AE519:AE521" si="367">+Q519*AD519</f>
        <v>304647.52</v>
      </c>
      <c r="AF519" s="754"/>
      <c r="AG519" s="720"/>
      <c r="AH519" s="720"/>
      <c r="AI519" s="754"/>
    </row>
    <row r="520" spans="1:35" x14ac:dyDescent="0.2">
      <c r="A520" s="857" t="s">
        <v>481</v>
      </c>
      <c r="B520" s="720">
        <v>3</v>
      </c>
      <c r="C520" s="754">
        <v>3660</v>
      </c>
      <c r="D520" s="754"/>
      <c r="E520" s="754">
        <v>925.4</v>
      </c>
      <c r="F520" s="754"/>
      <c r="G520" s="754">
        <v>108.09</v>
      </c>
      <c r="H520" s="754"/>
      <c r="I520" s="754">
        <v>730</v>
      </c>
      <c r="J520" s="754"/>
      <c r="K520" s="754">
        <f t="shared" si="360"/>
        <v>5423.49</v>
      </c>
      <c r="L520" s="754">
        <v>1000</v>
      </c>
      <c r="M520" s="754"/>
      <c r="N520" s="754">
        <f t="shared" si="361"/>
        <v>1000</v>
      </c>
      <c r="O520" s="754">
        <f t="shared" si="362"/>
        <v>66081.88</v>
      </c>
      <c r="P520" s="754">
        <f t="shared" si="363"/>
        <v>198245.64</v>
      </c>
      <c r="Q520" s="708">
        <v>3</v>
      </c>
      <c r="R520" s="754">
        <v>3660</v>
      </c>
      <c r="S520" s="754"/>
      <c r="T520" s="754">
        <v>925.4</v>
      </c>
      <c r="U520" s="754"/>
      <c r="V520" s="754">
        <v>108.09</v>
      </c>
      <c r="W520" s="754"/>
      <c r="X520" s="754">
        <v>730</v>
      </c>
      <c r="Y520" s="754"/>
      <c r="Z520" s="754">
        <f t="shared" si="364"/>
        <v>5423.49</v>
      </c>
      <c r="AA520" s="754">
        <v>1000</v>
      </c>
      <c r="AB520" s="754"/>
      <c r="AC520" s="754">
        <f t="shared" si="365"/>
        <v>1000</v>
      </c>
      <c r="AD520" s="754">
        <f t="shared" si="366"/>
        <v>66081.88</v>
      </c>
      <c r="AE520" s="754">
        <f t="shared" si="367"/>
        <v>198245.64</v>
      </c>
      <c r="AF520" s="754"/>
      <c r="AG520" s="720"/>
      <c r="AH520" s="720"/>
      <c r="AI520" s="754"/>
    </row>
    <row r="521" spans="1:35" x14ac:dyDescent="0.2">
      <c r="A521" s="857" t="s">
        <v>482</v>
      </c>
      <c r="B521" s="720">
        <v>20</v>
      </c>
      <c r="C521" s="754">
        <v>3344</v>
      </c>
      <c r="D521" s="754"/>
      <c r="E521" s="754">
        <v>925.4</v>
      </c>
      <c r="F521" s="754"/>
      <c r="G521" s="754">
        <v>108.09</v>
      </c>
      <c r="H521" s="754"/>
      <c r="I521" s="754">
        <v>730</v>
      </c>
      <c r="J521" s="754"/>
      <c r="K521" s="754">
        <f t="shared" si="360"/>
        <v>5107.49</v>
      </c>
      <c r="L521" s="754">
        <v>1000</v>
      </c>
      <c r="M521" s="754"/>
      <c r="N521" s="754">
        <f t="shared" si="361"/>
        <v>1000</v>
      </c>
      <c r="O521" s="754">
        <f t="shared" si="362"/>
        <v>62289.88</v>
      </c>
      <c r="P521" s="754">
        <f t="shared" si="363"/>
        <v>1245797.5999999999</v>
      </c>
      <c r="Q521" s="708">
        <v>20</v>
      </c>
      <c r="R521" s="754">
        <v>3344</v>
      </c>
      <c r="S521" s="754"/>
      <c r="T521" s="754">
        <v>925.4</v>
      </c>
      <c r="U521" s="754"/>
      <c r="V521" s="754">
        <v>108.09</v>
      </c>
      <c r="W521" s="754"/>
      <c r="X521" s="754">
        <v>730</v>
      </c>
      <c r="Y521" s="754"/>
      <c r="Z521" s="754">
        <f t="shared" si="364"/>
        <v>5107.49</v>
      </c>
      <c r="AA521" s="754">
        <v>1000</v>
      </c>
      <c r="AB521" s="754"/>
      <c r="AC521" s="754">
        <f t="shared" si="365"/>
        <v>1000</v>
      </c>
      <c r="AD521" s="754">
        <f t="shared" si="366"/>
        <v>62289.88</v>
      </c>
      <c r="AE521" s="754">
        <f t="shared" si="367"/>
        <v>1245797.5999999999</v>
      </c>
      <c r="AF521" s="754"/>
      <c r="AG521" s="720"/>
      <c r="AH521" s="720"/>
      <c r="AI521" s="754"/>
    </row>
    <row r="522" spans="1:35" x14ac:dyDescent="0.2">
      <c r="A522" s="857" t="s">
        <v>700</v>
      </c>
      <c r="B522" s="720"/>
      <c r="C522" s="754"/>
      <c r="D522" s="754"/>
      <c r="E522" s="754"/>
      <c r="F522" s="754"/>
      <c r="G522" s="754"/>
      <c r="H522" s="754"/>
      <c r="I522" s="754"/>
      <c r="J522" s="754"/>
      <c r="K522" s="754"/>
      <c r="L522" s="754"/>
      <c r="M522" s="754"/>
      <c r="N522" s="754"/>
      <c r="O522" s="754"/>
      <c r="P522" s="754"/>
      <c r="Q522" s="708"/>
      <c r="R522" s="754"/>
      <c r="S522" s="754"/>
      <c r="T522" s="754"/>
      <c r="U522" s="754"/>
      <c r="V522" s="754"/>
      <c r="W522" s="754"/>
      <c r="X522" s="754"/>
      <c r="Y522" s="754"/>
      <c r="Z522" s="754"/>
      <c r="AA522" s="754"/>
      <c r="AB522" s="754"/>
      <c r="AC522" s="754"/>
      <c r="AD522" s="754"/>
      <c r="AE522" s="754"/>
      <c r="AF522" s="754"/>
      <c r="AG522" s="720"/>
      <c r="AH522" s="720"/>
      <c r="AI522" s="754"/>
    </row>
    <row r="523" spans="1:35" x14ac:dyDescent="0.2">
      <c r="A523" s="857" t="s">
        <v>777</v>
      </c>
      <c r="B523" s="720"/>
      <c r="C523" s="754"/>
      <c r="D523" s="754"/>
      <c r="E523" s="754"/>
      <c r="F523" s="754"/>
      <c r="G523" s="754"/>
      <c r="H523" s="754"/>
      <c r="I523" s="754"/>
      <c r="J523" s="754"/>
      <c r="K523" s="754"/>
      <c r="L523" s="754"/>
      <c r="M523" s="754"/>
      <c r="N523" s="754"/>
      <c r="O523" s="754"/>
      <c r="P523" s="754"/>
      <c r="Q523" s="708"/>
      <c r="R523" s="754"/>
      <c r="S523" s="754"/>
      <c r="T523" s="754"/>
      <c r="U523" s="754"/>
      <c r="V523" s="754"/>
      <c r="W523" s="754"/>
      <c r="X523" s="754"/>
      <c r="Y523" s="754"/>
      <c r="Z523" s="754"/>
      <c r="AA523" s="754"/>
      <c r="AB523" s="754"/>
      <c r="AC523" s="754"/>
      <c r="AD523" s="754"/>
      <c r="AE523" s="754"/>
      <c r="AF523" s="754"/>
      <c r="AG523" s="720"/>
      <c r="AH523" s="720"/>
      <c r="AI523" s="754"/>
    </row>
    <row r="524" spans="1:35" x14ac:dyDescent="0.2">
      <c r="A524" s="857" t="s">
        <v>700</v>
      </c>
      <c r="B524" s="720"/>
      <c r="C524" s="754"/>
      <c r="D524" s="754"/>
      <c r="E524" s="754"/>
      <c r="F524" s="754"/>
      <c r="G524" s="754"/>
      <c r="H524" s="754"/>
      <c r="I524" s="754"/>
      <c r="J524" s="754"/>
      <c r="K524" s="754"/>
      <c r="L524" s="754"/>
      <c r="M524" s="754"/>
      <c r="N524" s="754"/>
      <c r="O524" s="754"/>
      <c r="P524" s="754"/>
      <c r="Q524" s="708"/>
      <c r="R524" s="754"/>
      <c r="S524" s="754"/>
      <c r="T524" s="754"/>
      <c r="U524" s="754"/>
      <c r="V524" s="754"/>
      <c r="W524" s="754"/>
      <c r="X524" s="754"/>
      <c r="Y524" s="754"/>
      <c r="Z524" s="754"/>
      <c r="AA524" s="754"/>
      <c r="AB524" s="754"/>
      <c r="AC524" s="754"/>
      <c r="AD524" s="754"/>
      <c r="AE524" s="754"/>
      <c r="AF524" s="754"/>
      <c r="AG524" s="720"/>
      <c r="AH524" s="720"/>
      <c r="AI524" s="754"/>
    </row>
    <row r="525" spans="1:35" x14ac:dyDescent="0.2">
      <c r="A525" s="857" t="s">
        <v>700</v>
      </c>
      <c r="B525" s="720"/>
      <c r="C525" s="754"/>
      <c r="D525" s="754"/>
      <c r="E525" s="754"/>
      <c r="F525" s="754"/>
      <c r="G525" s="754"/>
      <c r="H525" s="754"/>
      <c r="I525" s="754"/>
      <c r="J525" s="754"/>
      <c r="K525" s="754"/>
      <c r="L525" s="754"/>
      <c r="M525" s="754"/>
      <c r="N525" s="754"/>
      <c r="O525" s="754"/>
      <c r="P525" s="754"/>
      <c r="Q525" s="708"/>
      <c r="R525" s="754"/>
      <c r="S525" s="754"/>
      <c r="T525" s="754"/>
      <c r="U525" s="754"/>
      <c r="V525" s="754"/>
      <c r="W525" s="754"/>
      <c r="X525" s="754"/>
      <c r="Y525" s="754"/>
      <c r="Z525" s="754"/>
      <c r="AA525" s="754"/>
      <c r="AB525" s="754"/>
      <c r="AC525" s="754"/>
      <c r="AD525" s="754"/>
      <c r="AE525" s="754"/>
      <c r="AF525" s="754"/>
      <c r="AG525" s="720"/>
      <c r="AH525" s="720"/>
      <c r="AI525" s="754"/>
    </row>
    <row r="526" spans="1:35" x14ac:dyDescent="0.2">
      <c r="A526" s="857" t="s">
        <v>778</v>
      </c>
      <c r="B526" s="720"/>
      <c r="C526" s="754"/>
      <c r="D526" s="754"/>
      <c r="E526" s="754"/>
      <c r="F526" s="754"/>
      <c r="G526" s="754"/>
      <c r="H526" s="754"/>
      <c r="I526" s="754"/>
      <c r="J526" s="754"/>
      <c r="K526" s="754"/>
      <c r="L526" s="754"/>
      <c r="M526" s="754"/>
      <c r="N526" s="754"/>
      <c r="O526" s="754"/>
      <c r="P526" s="754"/>
      <c r="Q526" s="708"/>
      <c r="R526" s="754"/>
      <c r="S526" s="754"/>
      <c r="T526" s="754"/>
      <c r="U526" s="754"/>
      <c r="V526" s="754"/>
      <c r="W526" s="754"/>
      <c r="X526" s="754"/>
      <c r="Y526" s="754"/>
      <c r="Z526" s="754"/>
      <c r="AA526" s="754"/>
      <c r="AB526" s="754"/>
      <c r="AC526" s="754"/>
      <c r="AD526" s="754"/>
      <c r="AE526" s="754"/>
      <c r="AF526" s="754"/>
      <c r="AG526" s="720"/>
      <c r="AH526" s="720"/>
      <c r="AI526" s="754"/>
    </row>
    <row r="527" spans="1:35" x14ac:dyDescent="0.2">
      <c r="A527" s="857" t="s">
        <v>700</v>
      </c>
      <c r="B527" s="720"/>
      <c r="C527" s="754"/>
      <c r="D527" s="754"/>
      <c r="E527" s="754"/>
      <c r="F527" s="754"/>
      <c r="G527" s="754"/>
      <c r="H527" s="754"/>
      <c r="I527" s="754"/>
      <c r="J527" s="754"/>
      <c r="K527" s="754"/>
      <c r="L527" s="754"/>
      <c r="M527" s="754"/>
      <c r="N527" s="754"/>
      <c r="O527" s="754"/>
      <c r="P527" s="754"/>
      <c r="Q527" s="708"/>
      <c r="R527" s="754"/>
      <c r="S527" s="754"/>
      <c r="T527" s="754"/>
      <c r="U527" s="754"/>
      <c r="V527" s="754"/>
      <c r="W527" s="754"/>
      <c r="X527" s="754"/>
      <c r="Y527" s="754"/>
      <c r="Z527" s="754"/>
      <c r="AA527" s="754"/>
      <c r="AB527" s="754"/>
      <c r="AC527" s="754"/>
      <c r="AD527" s="754"/>
      <c r="AE527" s="754"/>
      <c r="AF527" s="754"/>
      <c r="AG527" s="720"/>
      <c r="AH527" s="720"/>
      <c r="AI527" s="754"/>
    </row>
    <row r="528" spans="1:35" x14ac:dyDescent="0.2">
      <c r="A528" s="857" t="s">
        <v>700</v>
      </c>
      <c r="B528" s="720"/>
      <c r="C528" s="754"/>
      <c r="D528" s="754"/>
      <c r="E528" s="754"/>
      <c r="F528" s="754"/>
      <c r="G528" s="754"/>
      <c r="H528" s="754"/>
      <c r="I528" s="754"/>
      <c r="J528" s="754"/>
      <c r="K528" s="754"/>
      <c r="L528" s="754"/>
      <c r="M528" s="754"/>
      <c r="N528" s="754"/>
      <c r="O528" s="754"/>
      <c r="P528" s="754"/>
      <c r="Q528" s="708"/>
      <c r="R528" s="754"/>
      <c r="S528" s="754"/>
      <c r="T528" s="754"/>
      <c r="U528" s="754"/>
      <c r="V528" s="754"/>
      <c r="W528" s="754"/>
      <c r="X528" s="754"/>
      <c r="Y528" s="754"/>
      <c r="Z528" s="754"/>
      <c r="AA528" s="754"/>
      <c r="AB528" s="754"/>
      <c r="AC528" s="754"/>
      <c r="AD528" s="754"/>
      <c r="AE528" s="754"/>
      <c r="AF528" s="754"/>
      <c r="AG528" s="720"/>
      <c r="AH528" s="720"/>
      <c r="AI528" s="754"/>
    </row>
    <row r="529" spans="1:35" ht="24" x14ac:dyDescent="0.2">
      <c r="A529" s="857" t="s">
        <v>779</v>
      </c>
      <c r="B529" s="720"/>
      <c r="C529" s="754"/>
      <c r="D529" s="754"/>
      <c r="E529" s="754"/>
      <c r="F529" s="754"/>
      <c r="G529" s="754"/>
      <c r="H529" s="754"/>
      <c r="I529" s="754"/>
      <c r="J529" s="754"/>
      <c r="K529" s="754"/>
      <c r="L529" s="754"/>
      <c r="M529" s="754"/>
      <c r="N529" s="754"/>
      <c r="O529" s="754"/>
      <c r="P529" s="754"/>
      <c r="Q529" s="708"/>
      <c r="R529" s="754"/>
      <c r="S529" s="754"/>
      <c r="T529" s="754"/>
      <c r="U529" s="754"/>
      <c r="V529" s="754"/>
      <c r="W529" s="754"/>
      <c r="X529" s="754"/>
      <c r="Y529" s="754"/>
      <c r="Z529" s="754"/>
      <c r="AA529" s="754"/>
      <c r="AB529" s="754"/>
      <c r="AC529" s="754"/>
      <c r="AD529" s="754"/>
      <c r="AE529" s="754"/>
      <c r="AF529" s="754"/>
      <c r="AG529" s="720"/>
      <c r="AH529" s="720"/>
      <c r="AI529" s="754"/>
    </row>
    <row r="530" spans="1:35" x14ac:dyDescent="0.2">
      <c r="A530" s="857" t="s">
        <v>700</v>
      </c>
      <c r="B530" s="720"/>
      <c r="C530" s="754"/>
      <c r="D530" s="754"/>
      <c r="E530" s="754"/>
      <c r="F530" s="754"/>
      <c r="G530" s="754"/>
      <c r="H530" s="754"/>
      <c r="I530" s="754"/>
      <c r="J530" s="754"/>
      <c r="K530" s="754"/>
      <c r="L530" s="754"/>
      <c r="M530" s="754"/>
      <c r="N530" s="754"/>
      <c r="O530" s="754"/>
      <c r="P530" s="754"/>
      <c r="Q530" s="708"/>
      <c r="R530" s="754"/>
      <c r="S530" s="754"/>
      <c r="T530" s="754"/>
      <c r="U530" s="754"/>
      <c r="V530" s="754"/>
      <c r="W530" s="754"/>
      <c r="X530" s="754"/>
      <c r="Y530" s="754"/>
      <c r="Z530" s="754"/>
      <c r="AA530" s="754"/>
      <c r="AB530" s="754"/>
      <c r="AC530" s="754"/>
      <c r="AD530" s="754"/>
      <c r="AE530" s="754"/>
      <c r="AF530" s="754"/>
      <c r="AG530" s="720"/>
      <c r="AH530" s="720"/>
      <c r="AI530" s="754"/>
    </row>
    <row r="531" spans="1:35" x14ac:dyDescent="0.2">
      <c r="A531" s="857" t="s">
        <v>700</v>
      </c>
      <c r="B531" s="720"/>
      <c r="C531" s="754"/>
      <c r="D531" s="754"/>
      <c r="E531" s="754"/>
      <c r="F531" s="754"/>
      <c r="G531" s="754"/>
      <c r="H531" s="754"/>
      <c r="I531" s="754"/>
      <c r="J531" s="754"/>
      <c r="K531" s="754"/>
      <c r="L531" s="754"/>
      <c r="M531" s="754"/>
      <c r="N531" s="754"/>
      <c r="O531" s="754"/>
      <c r="P531" s="754"/>
      <c r="Q531" s="708"/>
      <c r="R531" s="754"/>
      <c r="S531" s="754"/>
      <c r="T531" s="754"/>
      <c r="U531" s="754"/>
      <c r="V531" s="754"/>
      <c r="W531" s="754"/>
      <c r="X531" s="754"/>
      <c r="Y531" s="754"/>
      <c r="Z531" s="754"/>
      <c r="AA531" s="754"/>
      <c r="AB531" s="754"/>
      <c r="AC531" s="754"/>
      <c r="AD531" s="754"/>
      <c r="AE531" s="754"/>
      <c r="AF531" s="754"/>
      <c r="AG531" s="720"/>
      <c r="AH531" s="720"/>
      <c r="AI531" s="754"/>
    </row>
    <row r="532" spans="1:35" ht="24" x14ac:dyDescent="0.2">
      <c r="A532" s="857" t="s">
        <v>780</v>
      </c>
      <c r="B532" s="720"/>
      <c r="C532" s="754"/>
      <c r="D532" s="754"/>
      <c r="E532" s="754"/>
      <c r="F532" s="754"/>
      <c r="G532" s="754"/>
      <c r="H532" s="754"/>
      <c r="I532" s="754"/>
      <c r="J532" s="754"/>
      <c r="K532" s="754"/>
      <c r="L532" s="754"/>
      <c r="M532" s="754"/>
      <c r="N532" s="754"/>
      <c r="O532" s="754"/>
      <c r="P532" s="754"/>
      <c r="Q532" s="708"/>
      <c r="R532" s="754"/>
      <c r="S532" s="754"/>
      <c r="T532" s="754"/>
      <c r="U532" s="754"/>
      <c r="V532" s="754"/>
      <c r="W532" s="754"/>
      <c r="X532" s="754"/>
      <c r="Y532" s="754"/>
      <c r="Z532" s="754"/>
      <c r="AA532" s="754"/>
      <c r="AB532" s="754"/>
      <c r="AC532" s="754"/>
      <c r="AD532" s="754"/>
      <c r="AE532" s="754"/>
      <c r="AF532" s="754"/>
      <c r="AG532" s="720"/>
      <c r="AH532" s="720"/>
      <c r="AI532" s="754"/>
    </row>
    <row r="533" spans="1:35" x14ac:dyDescent="0.2">
      <c r="A533" s="857" t="s">
        <v>700</v>
      </c>
      <c r="B533" s="720"/>
      <c r="C533" s="754"/>
      <c r="D533" s="754"/>
      <c r="E533" s="754"/>
      <c r="F533" s="754"/>
      <c r="G533" s="754"/>
      <c r="H533" s="754"/>
      <c r="I533" s="754"/>
      <c r="J533" s="754"/>
      <c r="K533" s="754"/>
      <c r="L533" s="754"/>
      <c r="M533" s="754"/>
      <c r="N533" s="754"/>
      <c r="O533" s="754"/>
      <c r="P533" s="754"/>
      <c r="Q533" s="708"/>
      <c r="R533" s="754"/>
      <c r="S533" s="754"/>
      <c r="T533" s="754"/>
      <c r="U533" s="754"/>
      <c r="V533" s="754"/>
      <c r="W533" s="754"/>
      <c r="X533" s="754"/>
      <c r="Y533" s="754"/>
      <c r="Z533" s="754"/>
      <c r="AA533" s="754"/>
      <c r="AB533" s="754"/>
      <c r="AC533" s="754"/>
      <c r="AD533" s="754"/>
      <c r="AE533" s="754"/>
      <c r="AF533" s="754"/>
      <c r="AG533" s="720"/>
      <c r="AH533" s="720"/>
      <c r="AI533" s="754"/>
    </row>
    <row r="534" spans="1:35" x14ac:dyDescent="0.2">
      <c r="A534" s="857" t="s">
        <v>700</v>
      </c>
      <c r="B534" s="720"/>
      <c r="C534" s="754"/>
      <c r="D534" s="754"/>
      <c r="E534" s="754"/>
      <c r="F534" s="754"/>
      <c r="G534" s="754"/>
      <c r="H534" s="754"/>
      <c r="I534" s="754"/>
      <c r="J534" s="754"/>
      <c r="K534" s="754"/>
      <c r="L534" s="754"/>
      <c r="M534" s="754"/>
      <c r="N534" s="754"/>
      <c r="O534" s="754"/>
      <c r="P534" s="754"/>
      <c r="Q534" s="708"/>
      <c r="R534" s="754"/>
      <c r="S534" s="754"/>
      <c r="T534" s="754"/>
      <c r="U534" s="754"/>
      <c r="V534" s="754"/>
      <c r="W534" s="754"/>
      <c r="X534" s="754"/>
      <c r="Y534" s="754"/>
      <c r="Z534" s="754"/>
      <c r="AA534" s="754"/>
      <c r="AB534" s="754"/>
      <c r="AC534" s="754"/>
      <c r="AD534" s="754"/>
      <c r="AE534" s="754"/>
      <c r="AF534" s="754"/>
      <c r="AG534" s="720"/>
      <c r="AH534" s="720"/>
      <c r="AI534" s="754"/>
    </row>
    <row r="535" spans="1:35" x14ac:dyDescent="0.2">
      <c r="A535" s="857" t="s">
        <v>781</v>
      </c>
      <c r="B535" s="720"/>
      <c r="C535" s="754"/>
      <c r="D535" s="754"/>
      <c r="E535" s="754"/>
      <c r="F535" s="754"/>
      <c r="G535" s="754"/>
      <c r="H535" s="754"/>
      <c r="I535" s="754"/>
      <c r="J535" s="754"/>
      <c r="K535" s="754"/>
      <c r="L535" s="754"/>
      <c r="M535" s="754"/>
      <c r="N535" s="754"/>
      <c r="O535" s="754"/>
      <c r="P535" s="754"/>
      <c r="Q535" s="708"/>
      <c r="R535" s="754"/>
      <c r="S535" s="754"/>
      <c r="T535" s="754"/>
      <c r="U535" s="754"/>
      <c r="V535" s="754"/>
      <c r="W535" s="754"/>
      <c r="X535" s="754"/>
      <c r="Y535" s="754"/>
      <c r="Z535" s="754"/>
      <c r="AA535" s="754"/>
      <c r="AB535" s="754"/>
      <c r="AC535" s="754"/>
      <c r="AD535" s="754"/>
      <c r="AE535" s="754"/>
      <c r="AF535" s="754"/>
      <c r="AG535" s="720"/>
      <c r="AH535" s="720"/>
      <c r="AI535" s="754"/>
    </row>
    <row r="536" spans="1:35" x14ac:dyDescent="0.2">
      <c r="A536" s="857" t="s">
        <v>700</v>
      </c>
      <c r="B536" s="720"/>
      <c r="C536" s="754"/>
      <c r="D536" s="754"/>
      <c r="E536" s="754"/>
      <c r="F536" s="754"/>
      <c r="G536" s="754"/>
      <c r="H536" s="754"/>
      <c r="I536" s="754"/>
      <c r="J536" s="754"/>
      <c r="K536" s="754"/>
      <c r="L536" s="754"/>
      <c r="M536" s="754"/>
      <c r="N536" s="754"/>
      <c r="O536" s="754"/>
      <c r="P536" s="754"/>
      <c r="Q536" s="708"/>
      <c r="R536" s="754"/>
      <c r="S536" s="754"/>
      <c r="T536" s="754"/>
      <c r="U536" s="754"/>
      <c r="V536" s="754"/>
      <c r="W536" s="754"/>
      <c r="X536" s="754"/>
      <c r="Y536" s="754"/>
      <c r="Z536" s="754"/>
      <c r="AA536" s="754"/>
      <c r="AB536" s="754"/>
      <c r="AC536" s="754"/>
      <c r="AD536" s="754"/>
      <c r="AE536" s="754"/>
      <c r="AF536" s="754"/>
      <c r="AG536" s="720"/>
      <c r="AH536" s="720"/>
      <c r="AI536" s="754"/>
    </row>
    <row r="537" spans="1:35" x14ac:dyDescent="0.2">
      <c r="A537" s="857" t="s">
        <v>700</v>
      </c>
      <c r="B537" s="720"/>
      <c r="C537" s="754"/>
      <c r="D537" s="754"/>
      <c r="E537" s="754"/>
      <c r="F537" s="754"/>
      <c r="G537" s="754"/>
      <c r="H537" s="754"/>
      <c r="I537" s="754"/>
      <c r="J537" s="754"/>
      <c r="K537" s="754"/>
      <c r="L537" s="754"/>
      <c r="M537" s="754"/>
      <c r="N537" s="754"/>
      <c r="O537" s="754"/>
      <c r="P537" s="754"/>
      <c r="Q537" s="708"/>
      <c r="R537" s="754"/>
      <c r="S537" s="754"/>
      <c r="T537" s="754"/>
      <c r="U537" s="754"/>
      <c r="V537" s="754"/>
      <c r="W537" s="754"/>
      <c r="X537" s="754"/>
      <c r="Y537" s="754"/>
      <c r="Z537" s="754"/>
      <c r="AA537" s="754"/>
      <c r="AB537" s="754"/>
      <c r="AC537" s="754"/>
      <c r="AD537" s="754"/>
      <c r="AE537" s="754"/>
      <c r="AF537" s="754"/>
      <c r="AG537" s="720"/>
      <c r="AH537" s="720"/>
      <c r="AI537" s="754"/>
    </row>
    <row r="538" spans="1:35" x14ac:dyDescent="0.2">
      <c r="A538" s="871" t="s">
        <v>483</v>
      </c>
      <c r="B538" s="720"/>
      <c r="C538" s="754"/>
      <c r="D538" s="754"/>
      <c r="E538" s="754"/>
      <c r="F538" s="754"/>
      <c r="G538" s="754"/>
      <c r="H538" s="754"/>
      <c r="I538" s="754"/>
      <c r="J538" s="754"/>
      <c r="K538" s="754"/>
      <c r="L538" s="754"/>
      <c r="M538" s="754"/>
      <c r="N538" s="754"/>
      <c r="O538" s="754"/>
      <c r="P538" s="754"/>
      <c r="Q538" s="708"/>
      <c r="R538" s="754"/>
      <c r="S538" s="754"/>
      <c r="T538" s="754"/>
      <c r="U538" s="754"/>
      <c r="V538" s="754"/>
      <c r="W538" s="754"/>
      <c r="X538" s="754"/>
      <c r="Y538" s="754"/>
      <c r="Z538" s="754"/>
      <c r="AA538" s="754"/>
      <c r="AB538" s="754"/>
      <c r="AC538" s="754"/>
      <c r="AD538" s="754"/>
      <c r="AE538" s="754"/>
      <c r="AF538" s="754"/>
      <c r="AG538" s="720"/>
      <c r="AH538" s="720"/>
      <c r="AI538" s="754"/>
    </row>
    <row r="539" spans="1:35" x14ac:dyDescent="0.2">
      <c r="A539" s="857" t="s">
        <v>484</v>
      </c>
      <c r="B539" s="720">
        <v>20</v>
      </c>
      <c r="C539" s="754">
        <v>5532</v>
      </c>
      <c r="D539" s="754"/>
      <c r="E539" s="754">
        <v>439.9</v>
      </c>
      <c r="F539" s="754"/>
      <c r="G539" s="754">
        <v>108.09</v>
      </c>
      <c r="H539" s="754"/>
      <c r="I539" s="754">
        <v>1850</v>
      </c>
      <c r="J539" s="754"/>
      <c r="K539" s="754">
        <f t="shared" ref="K539:K545" si="368">SUM(C539:J539)</f>
        <v>7929.99</v>
      </c>
      <c r="L539" s="754">
        <v>1000</v>
      </c>
      <c r="M539" s="754"/>
      <c r="N539" s="754">
        <f t="shared" ref="N539:N545" si="369">+L539+M539</f>
        <v>1000</v>
      </c>
      <c r="O539" s="754">
        <f t="shared" ref="O539:O545" si="370">+K539*12+N539</f>
        <v>96159.88</v>
      </c>
      <c r="P539" s="754">
        <f t="shared" ref="P539:P545" si="371">+B539*O539</f>
        <v>1923197.6</v>
      </c>
      <c r="Q539" s="708">
        <v>20</v>
      </c>
      <c r="R539" s="754">
        <v>5532</v>
      </c>
      <c r="S539" s="754"/>
      <c r="T539" s="754">
        <v>439.9</v>
      </c>
      <c r="U539" s="754"/>
      <c r="V539" s="754">
        <v>108.09</v>
      </c>
      <c r="W539" s="754"/>
      <c r="X539" s="754">
        <v>1850</v>
      </c>
      <c r="Y539" s="754"/>
      <c r="Z539" s="754">
        <f t="shared" ref="Z539:Z545" si="372">SUM(R539:Y539)</f>
        <v>7929.99</v>
      </c>
      <c r="AA539" s="754">
        <v>1000</v>
      </c>
      <c r="AB539" s="754"/>
      <c r="AC539" s="754">
        <f t="shared" ref="AC539:AC545" si="373">+AA539+AB539</f>
        <v>1000</v>
      </c>
      <c r="AD539" s="754">
        <f t="shared" ref="AD539:AD545" si="374">+Z539*12+AC539</f>
        <v>96159.88</v>
      </c>
      <c r="AE539" s="754">
        <f t="shared" ref="AE539:AE545" si="375">+Q539*AD539</f>
        <v>1923197.6</v>
      </c>
      <c r="AF539" s="754"/>
      <c r="AG539" s="720"/>
      <c r="AH539" s="720"/>
      <c r="AI539" s="754"/>
    </row>
    <row r="540" spans="1:35" x14ac:dyDescent="0.2">
      <c r="A540" s="857" t="s">
        <v>485</v>
      </c>
      <c r="B540" s="720">
        <v>19</v>
      </c>
      <c r="C540" s="754">
        <v>3344</v>
      </c>
      <c r="D540" s="754"/>
      <c r="E540" s="754">
        <v>438.25</v>
      </c>
      <c r="F540" s="754"/>
      <c r="G540" s="754">
        <v>108.09</v>
      </c>
      <c r="H540" s="754"/>
      <c r="I540" s="754">
        <v>1350</v>
      </c>
      <c r="J540" s="754"/>
      <c r="K540" s="754">
        <f t="shared" si="368"/>
        <v>5240.34</v>
      </c>
      <c r="L540" s="754">
        <v>1000</v>
      </c>
      <c r="M540" s="754"/>
      <c r="N540" s="754">
        <f t="shared" si="369"/>
        <v>1000</v>
      </c>
      <c r="O540" s="754">
        <f t="shared" si="370"/>
        <v>63884.08</v>
      </c>
      <c r="P540" s="754">
        <f t="shared" si="371"/>
        <v>1213797.52</v>
      </c>
      <c r="Q540" s="708">
        <v>19</v>
      </c>
      <c r="R540" s="754">
        <v>3344</v>
      </c>
      <c r="S540" s="754"/>
      <c r="T540" s="754">
        <v>438.25</v>
      </c>
      <c r="U540" s="754"/>
      <c r="V540" s="754">
        <v>108.09</v>
      </c>
      <c r="W540" s="754"/>
      <c r="X540" s="754">
        <v>1350</v>
      </c>
      <c r="Y540" s="754"/>
      <c r="Z540" s="754">
        <f t="shared" si="372"/>
        <v>5240.34</v>
      </c>
      <c r="AA540" s="754">
        <v>1000</v>
      </c>
      <c r="AB540" s="754"/>
      <c r="AC540" s="754">
        <f t="shared" si="373"/>
        <v>1000</v>
      </c>
      <c r="AD540" s="754">
        <f t="shared" si="374"/>
        <v>63884.08</v>
      </c>
      <c r="AE540" s="754">
        <f t="shared" si="375"/>
        <v>1213797.52</v>
      </c>
      <c r="AF540" s="754"/>
      <c r="AG540" s="720"/>
      <c r="AH540" s="720"/>
      <c r="AI540" s="754"/>
    </row>
    <row r="541" spans="1:35" x14ac:dyDescent="0.2">
      <c r="A541" s="857" t="s">
        <v>465</v>
      </c>
      <c r="B541" s="720">
        <v>5</v>
      </c>
      <c r="C541" s="754">
        <v>3344</v>
      </c>
      <c r="D541" s="754"/>
      <c r="E541" s="754">
        <v>438.25</v>
      </c>
      <c r="F541" s="754"/>
      <c r="G541" s="754">
        <v>108.09</v>
      </c>
      <c r="H541" s="754"/>
      <c r="I541" s="754">
        <v>1350</v>
      </c>
      <c r="J541" s="754"/>
      <c r="K541" s="754">
        <f t="shared" si="368"/>
        <v>5240.34</v>
      </c>
      <c r="L541" s="754">
        <v>1000</v>
      </c>
      <c r="M541" s="754"/>
      <c r="N541" s="754">
        <f t="shared" si="369"/>
        <v>1000</v>
      </c>
      <c r="O541" s="754">
        <f t="shared" si="370"/>
        <v>63884.08</v>
      </c>
      <c r="P541" s="754">
        <f t="shared" si="371"/>
        <v>319420.40000000002</v>
      </c>
      <c r="Q541" s="708">
        <v>5</v>
      </c>
      <c r="R541" s="754">
        <v>3344</v>
      </c>
      <c r="S541" s="754"/>
      <c r="T541" s="754">
        <v>438.25</v>
      </c>
      <c r="U541" s="754"/>
      <c r="V541" s="754">
        <v>108.09</v>
      </c>
      <c r="W541" s="754"/>
      <c r="X541" s="754">
        <v>1350</v>
      </c>
      <c r="Y541" s="754"/>
      <c r="Z541" s="754">
        <f t="shared" si="372"/>
        <v>5240.34</v>
      </c>
      <c r="AA541" s="754">
        <v>1000</v>
      </c>
      <c r="AB541" s="754"/>
      <c r="AC541" s="754">
        <f t="shared" si="373"/>
        <v>1000</v>
      </c>
      <c r="AD541" s="754">
        <f t="shared" si="374"/>
        <v>63884.08</v>
      </c>
      <c r="AE541" s="754">
        <f t="shared" si="375"/>
        <v>319420.40000000002</v>
      </c>
      <c r="AF541" s="754"/>
      <c r="AG541" s="720"/>
      <c r="AH541" s="720"/>
      <c r="AI541" s="754"/>
    </row>
    <row r="542" spans="1:35" x14ac:dyDescent="0.2">
      <c r="A542" s="857" t="s">
        <v>486</v>
      </c>
      <c r="B542" s="720">
        <v>2</v>
      </c>
      <c r="C542" s="754">
        <v>3344</v>
      </c>
      <c r="D542" s="754"/>
      <c r="E542" s="754">
        <v>462.7</v>
      </c>
      <c r="F542" s="754"/>
      <c r="G542" s="754">
        <v>108.09</v>
      </c>
      <c r="H542" s="754"/>
      <c r="I542" s="754">
        <v>1350</v>
      </c>
      <c r="J542" s="754"/>
      <c r="K542" s="754">
        <f t="shared" si="368"/>
        <v>5264.79</v>
      </c>
      <c r="L542" s="754">
        <v>1000</v>
      </c>
      <c r="M542" s="754"/>
      <c r="N542" s="754">
        <f t="shared" si="369"/>
        <v>1000</v>
      </c>
      <c r="O542" s="754">
        <f t="shared" si="370"/>
        <v>64177.479999999996</v>
      </c>
      <c r="P542" s="754">
        <f t="shared" si="371"/>
        <v>128354.95999999999</v>
      </c>
      <c r="Q542" s="708">
        <v>2</v>
      </c>
      <c r="R542" s="754">
        <v>3344</v>
      </c>
      <c r="S542" s="754"/>
      <c r="T542" s="754">
        <v>462.7</v>
      </c>
      <c r="U542" s="754"/>
      <c r="V542" s="754">
        <v>108.09</v>
      </c>
      <c r="W542" s="754"/>
      <c r="X542" s="754">
        <v>1350</v>
      </c>
      <c r="Y542" s="754"/>
      <c r="Z542" s="754">
        <f t="shared" si="372"/>
        <v>5264.79</v>
      </c>
      <c r="AA542" s="754">
        <v>1000</v>
      </c>
      <c r="AB542" s="754"/>
      <c r="AC542" s="754">
        <f t="shared" si="373"/>
        <v>1000</v>
      </c>
      <c r="AD542" s="754">
        <f t="shared" si="374"/>
        <v>64177.479999999996</v>
      </c>
      <c r="AE542" s="754">
        <f t="shared" si="375"/>
        <v>128354.95999999999</v>
      </c>
      <c r="AF542" s="754"/>
      <c r="AG542" s="720"/>
      <c r="AH542" s="720"/>
      <c r="AI542" s="754"/>
    </row>
    <row r="543" spans="1:35" x14ac:dyDescent="0.2">
      <c r="A543" s="857" t="s">
        <v>487</v>
      </c>
      <c r="B543" s="720"/>
      <c r="C543" s="754">
        <v>3344</v>
      </c>
      <c r="D543" s="754"/>
      <c r="E543" s="754">
        <v>462.7</v>
      </c>
      <c r="F543" s="754"/>
      <c r="G543" s="754"/>
      <c r="H543" s="754"/>
      <c r="I543" s="754">
        <v>1350</v>
      </c>
      <c r="J543" s="754"/>
      <c r="K543" s="754">
        <f t="shared" si="368"/>
        <v>5156.7</v>
      </c>
      <c r="L543" s="754">
        <v>1000</v>
      </c>
      <c r="M543" s="754"/>
      <c r="N543" s="754">
        <f t="shared" si="369"/>
        <v>1000</v>
      </c>
      <c r="O543" s="754">
        <f t="shared" si="370"/>
        <v>62880.399999999994</v>
      </c>
      <c r="P543" s="754">
        <f t="shared" si="371"/>
        <v>0</v>
      </c>
      <c r="Q543" s="708"/>
      <c r="R543" s="754">
        <v>3344</v>
      </c>
      <c r="S543" s="754"/>
      <c r="T543" s="754">
        <v>462.7</v>
      </c>
      <c r="U543" s="754"/>
      <c r="V543" s="754"/>
      <c r="W543" s="754"/>
      <c r="X543" s="754">
        <v>1350</v>
      </c>
      <c r="Y543" s="754"/>
      <c r="Z543" s="754">
        <f t="shared" si="372"/>
        <v>5156.7</v>
      </c>
      <c r="AA543" s="754">
        <v>1000</v>
      </c>
      <c r="AB543" s="754"/>
      <c r="AC543" s="754">
        <f t="shared" si="373"/>
        <v>1000</v>
      </c>
      <c r="AD543" s="754">
        <f t="shared" si="374"/>
        <v>62880.399999999994</v>
      </c>
      <c r="AE543" s="754">
        <f t="shared" si="375"/>
        <v>0</v>
      </c>
      <c r="AF543" s="754"/>
      <c r="AG543" s="720"/>
      <c r="AH543" s="720"/>
      <c r="AI543" s="754"/>
    </row>
    <row r="544" spans="1:35" x14ac:dyDescent="0.2">
      <c r="A544" s="857" t="s">
        <v>488</v>
      </c>
      <c r="B544" s="720"/>
      <c r="C544" s="754">
        <v>3344</v>
      </c>
      <c r="D544" s="754"/>
      <c r="E544" s="754">
        <v>462.7</v>
      </c>
      <c r="F544" s="754"/>
      <c r="G544" s="754">
        <v>108.09</v>
      </c>
      <c r="H544" s="754"/>
      <c r="I544" s="754">
        <v>1350</v>
      </c>
      <c r="J544" s="754"/>
      <c r="K544" s="754">
        <f t="shared" si="368"/>
        <v>5264.79</v>
      </c>
      <c r="L544" s="754">
        <v>1000</v>
      </c>
      <c r="M544" s="754"/>
      <c r="N544" s="754">
        <f t="shared" si="369"/>
        <v>1000</v>
      </c>
      <c r="O544" s="754">
        <f t="shared" si="370"/>
        <v>64177.479999999996</v>
      </c>
      <c r="P544" s="754">
        <f t="shared" si="371"/>
        <v>0</v>
      </c>
      <c r="Q544" s="708"/>
      <c r="R544" s="754">
        <v>3344</v>
      </c>
      <c r="S544" s="754"/>
      <c r="T544" s="754">
        <v>462.7</v>
      </c>
      <c r="U544" s="754"/>
      <c r="V544" s="754">
        <v>108.09</v>
      </c>
      <c r="W544" s="754"/>
      <c r="X544" s="754">
        <v>1350</v>
      </c>
      <c r="Y544" s="754"/>
      <c r="Z544" s="754">
        <f t="shared" si="372"/>
        <v>5264.79</v>
      </c>
      <c r="AA544" s="754">
        <v>1000</v>
      </c>
      <c r="AB544" s="754"/>
      <c r="AC544" s="754">
        <f t="shared" si="373"/>
        <v>1000</v>
      </c>
      <c r="AD544" s="754">
        <f t="shared" si="374"/>
        <v>64177.479999999996</v>
      </c>
      <c r="AE544" s="754">
        <f t="shared" si="375"/>
        <v>0</v>
      </c>
      <c r="AF544" s="754"/>
      <c r="AG544" s="720"/>
      <c r="AH544" s="720"/>
      <c r="AI544" s="754"/>
    </row>
    <row r="545" spans="1:35" x14ac:dyDescent="0.2">
      <c r="A545" s="857" t="s">
        <v>471</v>
      </c>
      <c r="B545" s="720">
        <v>4</v>
      </c>
      <c r="C545" s="754">
        <v>3344</v>
      </c>
      <c r="D545" s="754"/>
      <c r="E545" s="754">
        <v>462.7</v>
      </c>
      <c r="F545" s="754"/>
      <c r="G545" s="754"/>
      <c r="H545" s="754"/>
      <c r="I545" s="754">
        <v>1350</v>
      </c>
      <c r="J545" s="754"/>
      <c r="K545" s="754">
        <f t="shared" si="368"/>
        <v>5156.7</v>
      </c>
      <c r="L545" s="754">
        <v>1000</v>
      </c>
      <c r="M545" s="754"/>
      <c r="N545" s="754">
        <f t="shared" si="369"/>
        <v>1000</v>
      </c>
      <c r="O545" s="754">
        <f t="shared" si="370"/>
        <v>62880.399999999994</v>
      </c>
      <c r="P545" s="754">
        <f t="shared" si="371"/>
        <v>251521.59999999998</v>
      </c>
      <c r="Q545" s="708">
        <v>4</v>
      </c>
      <c r="R545" s="754">
        <v>3344</v>
      </c>
      <c r="S545" s="754"/>
      <c r="T545" s="754">
        <v>462.7</v>
      </c>
      <c r="U545" s="754"/>
      <c r="V545" s="754"/>
      <c r="W545" s="754"/>
      <c r="X545" s="754">
        <v>1350</v>
      </c>
      <c r="Y545" s="754"/>
      <c r="Z545" s="754">
        <f t="shared" si="372"/>
        <v>5156.7</v>
      </c>
      <c r="AA545" s="754">
        <v>1000</v>
      </c>
      <c r="AB545" s="754"/>
      <c r="AC545" s="754">
        <f t="shared" si="373"/>
        <v>1000</v>
      </c>
      <c r="AD545" s="754">
        <f t="shared" si="374"/>
        <v>62880.399999999994</v>
      </c>
      <c r="AE545" s="754">
        <f t="shared" si="375"/>
        <v>251521.59999999998</v>
      </c>
      <c r="AF545" s="754"/>
      <c r="AG545" s="720"/>
      <c r="AH545" s="720"/>
      <c r="AI545" s="754"/>
    </row>
    <row r="546" spans="1:35" x14ac:dyDescent="0.2">
      <c r="A546" s="857" t="s">
        <v>700</v>
      </c>
      <c r="B546" s="720"/>
      <c r="C546" s="754"/>
      <c r="D546" s="754"/>
      <c r="E546" s="754"/>
      <c r="F546" s="754"/>
      <c r="G546" s="754"/>
      <c r="H546" s="754"/>
      <c r="I546" s="754"/>
      <c r="J546" s="754"/>
      <c r="K546" s="754"/>
      <c r="L546" s="754"/>
      <c r="M546" s="754"/>
      <c r="N546" s="754"/>
      <c r="O546" s="754"/>
      <c r="P546" s="754"/>
      <c r="Q546" s="708"/>
      <c r="R546" s="754"/>
      <c r="S546" s="754"/>
      <c r="T546" s="754"/>
      <c r="U546" s="754"/>
      <c r="V546" s="754"/>
      <c r="W546" s="754"/>
      <c r="X546" s="754"/>
      <c r="Y546" s="754"/>
      <c r="Z546" s="754"/>
      <c r="AA546" s="754"/>
      <c r="AB546" s="754"/>
      <c r="AC546" s="754"/>
      <c r="AD546" s="754"/>
      <c r="AE546" s="754"/>
      <c r="AF546" s="754"/>
      <c r="AG546" s="720"/>
      <c r="AH546" s="720"/>
      <c r="AI546" s="754"/>
    </row>
    <row r="547" spans="1:35" x14ac:dyDescent="0.2">
      <c r="A547" s="857" t="s">
        <v>37</v>
      </c>
      <c r="B547" s="720"/>
      <c r="C547" s="754"/>
      <c r="D547" s="754"/>
      <c r="E547" s="754"/>
      <c r="F547" s="754"/>
      <c r="G547" s="754"/>
      <c r="H547" s="754"/>
      <c r="I547" s="754"/>
      <c r="J547" s="754"/>
      <c r="K547" s="754"/>
      <c r="L547" s="754"/>
      <c r="M547" s="754"/>
      <c r="N547" s="754"/>
      <c r="O547" s="754"/>
      <c r="P547" s="754"/>
      <c r="Q547" s="708"/>
      <c r="R547" s="754"/>
      <c r="S547" s="754"/>
      <c r="T547" s="754"/>
      <c r="U547" s="754"/>
      <c r="V547" s="754"/>
      <c r="W547" s="754"/>
      <c r="X547" s="754"/>
      <c r="Y547" s="754"/>
      <c r="Z547" s="754"/>
      <c r="AA547" s="754"/>
      <c r="AB547" s="754"/>
      <c r="AC547" s="754"/>
      <c r="AD547" s="754"/>
      <c r="AE547" s="754"/>
      <c r="AF547" s="754"/>
      <c r="AG547" s="720"/>
      <c r="AH547" s="720"/>
      <c r="AI547" s="754"/>
    </row>
    <row r="548" spans="1:35" x14ac:dyDescent="0.2">
      <c r="A548" s="857" t="s">
        <v>782</v>
      </c>
      <c r="B548" s="720"/>
      <c r="C548" s="754"/>
      <c r="D548" s="754"/>
      <c r="E548" s="754"/>
      <c r="F548" s="754"/>
      <c r="G548" s="754"/>
      <c r="H548" s="754"/>
      <c r="I548" s="754"/>
      <c r="J548" s="754"/>
      <c r="K548" s="754"/>
      <c r="L548" s="754"/>
      <c r="M548" s="754"/>
      <c r="N548" s="754"/>
      <c r="O548" s="754"/>
      <c r="P548" s="754"/>
      <c r="Q548" s="708"/>
      <c r="R548" s="754"/>
      <c r="S548" s="754"/>
      <c r="T548" s="754"/>
      <c r="U548" s="754"/>
      <c r="V548" s="754"/>
      <c r="W548" s="754"/>
      <c r="X548" s="754"/>
      <c r="Y548" s="754"/>
      <c r="Z548" s="754"/>
      <c r="AA548" s="754"/>
      <c r="AB548" s="754"/>
      <c r="AC548" s="754"/>
      <c r="AD548" s="754"/>
      <c r="AE548" s="754"/>
      <c r="AF548" s="754"/>
      <c r="AG548" s="720"/>
      <c r="AH548" s="720"/>
      <c r="AI548" s="754"/>
    </row>
    <row r="549" spans="1:35" x14ac:dyDescent="0.2">
      <c r="A549" s="857" t="s">
        <v>690</v>
      </c>
      <c r="B549" s="720"/>
      <c r="C549" s="754"/>
      <c r="D549" s="754"/>
      <c r="E549" s="754"/>
      <c r="F549" s="754"/>
      <c r="G549" s="754"/>
      <c r="H549" s="754"/>
      <c r="I549" s="754"/>
      <c r="J549" s="754"/>
      <c r="K549" s="754"/>
      <c r="L549" s="754"/>
      <c r="M549" s="754"/>
      <c r="N549" s="754"/>
      <c r="O549" s="754"/>
      <c r="P549" s="754"/>
      <c r="Q549" s="708"/>
      <c r="R549" s="754"/>
      <c r="S549" s="754"/>
      <c r="T549" s="754"/>
      <c r="U549" s="754"/>
      <c r="V549" s="754"/>
      <c r="W549" s="754"/>
      <c r="X549" s="754"/>
      <c r="Y549" s="754"/>
      <c r="Z549" s="754"/>
      <c r="AA549" s="754"/>
      <c r="AB549" s="754"/>
      <c r="AC549" s="754"/>
      <c r="AD549" s="754"/>
      <c r="AE549" s="754"/>
      <c r="AF549" s="754"/>
      <c r="AG549" s="720"/>
      <c r="AH549" s="720"/>
      <c r="AI549" s="754"/>
    </row>
    <row r="550" spans="1:35" x14ac:dyDescent="0.2">
      <c r="A550" s="857" t="s">
        <v>690</v>
      </c>
      <c r="B550" s="720"/>
      <c r="C550" s="754"/>
      <c r="D550" s="754"/>
      <c r="E550" s="754"/>
      <c r="F550" s="754"/>
      <c r="G550" s="754"/>
      <c r="H550" s="754"/>
      <c r="I550" s="754"/>
      <c r="J550" s="754"/>
      <c r="K550" s="754"/>
      <c r="L550" s="754"/>
      <c r="M550" s="754"/>
      <c r="N550" s="754"/>
      <c r="O550" s="754"/>
      <c r="P550" s="754"/>
      <c r="Q550" s="708"/>
      <c r="R550" s="754"/>
      <c r="S550" s="754"/>
      <c r="T550" s="754"/>
      <c r="U550" s="754"/>
      <c r="V550" s="754"/>
      <c r="W550" s="754"/>
      <c r="X550" s="754"/>
      <c r="Y550" s="754"/>
      <c r="Z550" s="754"/>
      <c r="AA550" s="754"/>
      <c r="AB550" s="754"/>
      <c r="AC550" s="754"/>
      <c r="AD550" s="754"/>
      <c r="AE550" s="754"/>
      <c r="AF550" s="754"/>
      <c r="AG550" s="720"/>
      <c r="AH550" s="720"/>
      <c r="AI550" s="754"/>
    </row>
    <row r="551" spans="1:35" ht="24" x14ac:dyDescent="0.2">
      <c r="A551" s="857" t="s">
        <v>783</v>
      </c>
      <c r="B551" s="720"/>
      <c r="C551" s="754"/>
      <c r="D551" s="754"/>
      <c r="E551" s="754"/>
      <c r="F551" s="754"/>
      <c r="G551" s="754"/>
      <c r="H551" s="754"/>
      <c r="I551" s="754"/>
      <c r="J551" s="754"/>
      <c r="K551" s="754"/>
      <c r="L551" s="754"/>
      <c r="M551" s="754"/>
      <c r="N551" s="754"/>
      <c r="O551" s="754"/>
      <c r="P551" s="754"/>
      <c r="Q551" s="708"/>
      <c r="R551" s="754"/>
      <c r="S551" s="754"/>
      <c r="T551" s="754"/>
      <c r="U551" s="754"/>
      <c r="V551" s="754"/>
      <c r="W551" s="754"/>
      <c r="X551" s="754"/>
      <c r="Y551" s="754"/>
      <c r="Z551" s="754"/>
      <c r="AA551" s="754"/>
      <c r="AB551" s="754"/>
      <c r="AC551" s="754"/>
      <c r="AD551" s="754"/>
      <c r="AE551" s="754"/>
      <c r="AF551" s="754"/>
      <c r="AG551" s="720"/>
      <c r="AH551" s="720"/>
      <c r="AI551" s="754"/>
    </row>
    <row r="552" spans="1:35" x14ac:dyDescent="0.2">
      <c r="A552" s="857" t="s">
        <v>690</v>
      </c>
      <c r="B552" s="720"/>
      <c r="C552" s="754"/>
      <c r="D552" s="754"/>
      <c r="E552" s="754"/>
      <c r="F552" s="754"/>
      <c r="G552" s="754"/>
      <c r="H552" s="754"/>
      <c r="I552" s="754"/>
      <c r="J552" s="754"/>
      <c r="K552" s="754"/>
      <c r="L552" s="754"/>
      <c r="M552" s="754"/>
      <c r="N552" s="754"/>
      <c r="O552" s="754"/>
      <c r="P552" s="754"/>
      <c r="Q552" s="708"/>
      <c r="R552" s="754"/>
      <c r="S552" s="754"/>
      <c r="T552" s="754"/>
      <c r="U552" s="754"/>
      <c r="V552" s="754"/>
      <c r="W552" s="754"/>
      <c r="X552" s="754"/>
      <c r="Y552" s="754"/>
      <c r="Z552" s="754"/>
      <c r="AA552" s="754"/>
      <c r="AB552" s="754"/>
      <c r="AC552" s="754"/>
      <c r="AD552" s="754"/>
      <c r="AE552" s="754"/>
      <c r="AF552" s="754"/>
      <c r="AG552" s="720"/>
      <c r="AH552" s="720"/>
      <c r="AI552" s="754"/>
    </row>
    <row r="553" spans="1:35" x14ac:dyDescent="0.2">
      <c r="A553" s="857" t="s">
        <v>689</v>
      </c>
      <c r="B553" s="720"/>
      <c r="C553" s="754"/>
      <c r="D553" s="754"/>
      <c r="E553" s="754"/>
      <c r="F553" s="754"/>
      <c r="G553" s="754"/>
      <c r="H553" s="754"/>
      <c r="I553" s="754"/>
      <c r="J553" s="754"/>
      <c r="K553" s="754"/>
      <c r="L553" s="754"/>
      <c r="M553" s="754"/>
      <c r="N553" s="754"/>
      <c r="O553" s="754"/>
      <c r="P553" s="754"/>
      <c r="Q553" s="708"/>
      <c r="R553" s="754"/>
      <c r="S553" s="754"/>
      <c r="T553" s="754"/>
      <c r="U553" s="754"/>
      <c r="V553" s="754"/>
      <c r="W553" s="754"/>
      <c r="X553" s="754"/>
      <c r="Y553" s="754"/>
      <c r="Z553" s="754"/>
      <c r="AA553" s="754"/>
      <c r="AB553" s="754"/>
      <c r="AC553" s="754"/>
      <c r="AD553" s="754"/>
      <c r="AE553" s="754"/>
      <c r="AF553" s="754"/>
      <c r="AG553" s="720"/>
      <c r="AH553" s="720"/>
      <c r="AI553" s="754"/>
    </row>
    <row r="554" spans="1:35" x14ac:dyDescent="0.2">
      <c r="A554" s="857" t="s">
        <v>690</v>
      </c>
      <c r="B554" s="720"/>
      <c r="C554" s="754"/>
      <c r="D554" s="754"/>
      <c r="E554" s="754"/>
      <c r="F554" s="754"/>
      <c r="G554" s="754"/>
      <c r="H554" s="754"/>
      <c r="I554" s="754"/>
      <c r="J554" s="754"/>
      <c r="K554" s="754"/>
      <c r="L554" s="754"/>
      <c r="M554" s="754"/>
      <c r="N554" s="754"/>
      <c r="O554" s="754"/>
      <c r="P554" s="754"/>
      <c r="Q554" s="708"/>
      <c r="R554" s="754"/>
      <c r="S554" s="754"/>
      <c r="T554" s="754"/>
      <c r="U554" s="754"/>
      <c r="V554" s="754"/>
      <c r="W554" s="754"/>
      <c r="X554" s="754"/>
      <c r="Y554" s="754"/>
      <c r="Z554" s="754"/>
      <c r="AA554" s="754"/>
      <c r="AB554" s="754"/>
      <c r="AC554" s="754"/>
      <c r="AD554" s="754"/>
      <c r="AE554" s="754"/>
      <c r="AF554" s="754"/>
      <c r="AG554" s="720"/>
      <c r="AH554" s="720"/>
      <c r="AI554" s="754"/>
    </row>
    <row r="555" spans="1:35" x14ac:dyDescent="0.2">
      <c r="A555" s="857"/>
      <c r="B555" s="720"/>
      <c r="C555" s="754"/>
      <c r="D555" s="754"/>
      <c r="E555" s="754"/>
      <c r="F555" s="754"/>
      <c r="G555" s="754"/>
      <c r="H555" s="754"/>
      <c r="I555" s="754"/>
      <c r="J555" s="754"/>
      <c r="K555" s="754"/>
      <c r="L555" s="754"/>
      <c r="M555" s="754"/>
      <c r="N555" s="754"/>
      <c r="O555" s="754"/>
      <c r="P555" s="754"/>
      <c r="Q555" s="708"/>
      <c r="R555" s="754"/>
      <c r="S555" s="754"/>
      <c r="T555" s="754"/>
      <c r="U555" s="754"/>
      <c r="V555" s="754"/>
      <c r="W555" s="754"/>
      <c r="X555" s="754"/>
      <c r="Y555" s="754"/>
      <c r="Z555" s="754"/>
      <c r="AA555" s="754"/>
      <c r="AB555" s="754"/>
      <c r="AC555" s="754"/>
      <c r="AD555" s="754"/>
      <c r="AE555" s="754"/>
      <c r="AF555" s="754"/>
      <c r="AG555" s="720"/>
      <c r="AH555" s="720"/>
      <c r="AI555" s="754"/>
    </row>
    <row r="556" spans="1:35" x14ac:dyDescent="0.2">
      <c r="A556" s="857" t="s">
        <v>691</v>
      </c>
      <c r="B556" s="720"/>
      <c r="C556" s="754"/>
      <c r="D556" s="754"/>
      <c r="E556" s="754"/>
      <c r="F556" s="754"/>
      <c r="G556" s="754"/>
      <c r="H556" s="754"/>
      <c r="I556" s="754"/>
      <c r="J556" s="754"/>
      <c r="K556" s="754"/>
      <c r="L556" s="754"/>
      <c r="M556" s="754"/>
      <c r="N556" s="754"/>
      <c r="O556" s="754"/>
      <c r="P556" s="754"/>
      <c r="Q556" s="708"/>
      <c r="R556" s="754"/>
      <c r="S556" s="754"/>
      <c r="T556" s="754"/>
      <c r="U556" s="754"/>
      <c r="V556" s="754"/>
      <c r="W556" s="754"/>
      <c r="X556" s="754"/>
      <c r="Y556" s="754"/>
      <c r="Z556" s="754"/>
      <c r="AA556" s="754"/>
      <c r="AB556" s="754"/>
      <c r="AC556" s="754"/>
      <c r="AD556" s="754"/>
      <c r="AE556" s="754"/>
      <c r="AF556" s="754"/>
      <c r="AG556" s="720"/>
      <c r="AH556" s="720"/>
      <c r="AI556" s="754"/>
    </row>
    <row r="557" spans="1:35" x14ac:dyDescent="0.2">
      <c r="A557" s="857" t="s">
        <v>690</v>
      </c>
      <c r="B557" s="720"/>
      <c r="C557" s="754"/>
      <c r="D557" s="754"/>
      <c r="E557" s="754"/>
      <c r="F557" s="754"/>
      <c r="G557" s="754"/>
      <c r="H557" s="754"/>
      <c r="I557" s="754"/>
      <c r="J557" s="754"/>
      <c r="K557" s="754"/>
      <c r="L557" s="754"/>
      <c r="M557" s="754"/>
      <c r="N557" s="754"/>
      <c r="O557" s="754"/>
      <c r="P557" s="754"/>
      <c r="Q557" s="708"/>
      <c r="R557" s="754"/>
      <c r="S557" s="754"/>
      <c r="T557" s="754"/>
      <c r="U557" s="754"/>
      <c r="V557" s="754"/>
      <c r="W557" s="754"/>
      <c r="X557" s="754"/>
      <c r="Y557" s="754"/>
      <c r="Z557" s="754"/>
      <c r="AA557" s="754"/>
      <c r="AB557" s="754"/>
      <c r="AC557" s="754"/>
      <c r="AD557" s="754"/>
      <c r="AE557" s="754"/>
      <c r="AF557" s="754"/>
      <c r="AG557" s="720"/>
      <c r="AH557" s="720"/>
      <c r="AI557" s="754"/>
    </row>
    <row r="558" spans="1:35" x14ac:dyDescent="0.2">
      <c r="A558" s="857"/>
      <c r="B558" s="720"/>
      <c r="C558" s="754"/>
      <c r="D558" s="754"/>
      <c r="E558" s="754"/>
      <c r="F558" s="754"/>
      <c r="G558" s="754"/>
      <c r="H558" s="754"/>
      <c r="I558" s="754"/>
      <c r="J558" s="754"/>
      <c r="K558" s="754">
        <f>SUM(C558:J558)</f>
        <v>0</v>
      </c>
      <c r="L558" s="754"/>
      <c r="M558" s="754"/>
      <c r="N558" s="754">
        <f>+L558+M558</f>
        <v>0</v>
      </c>
      <c r="O558" s="754">
        <f>+K558*12+N558</f>
        <v>0</v>
      </c>
      <c r="P558" s="754">
        <f>+B558*O558</f>
        <v>0</v>
      </c>
      <c r="Q558" s="708"/>
      <c r="R558" s="754"/>
      <c r="S558" s="754"/>
      <c r="T558" s="754"/>
      <c r="U558" s="754"/>
      <c r="V558" s="754"/>
      <c r="W558" s="754"/>
      <c r="X558" s="754"/>
      <c r="Y558" s="754"/>
      <c r="Z558" s="754">
        <f>SUM(R558:Y558)</f>
        <v>0</v>
      </c>
      <c r="AA558" s="754"/>
      <c r="AB558" s="754"/>
      <c r="AC558" s="754">
        <f>+AA558+AB558</f>
        <v>0</v>
      </c>
      <c r="AD558" s="754">
        <f>+Z558*12+AC558</f>
        <v>0</v>
      </c>
      <c r="AE558" s="754">
        <f>+Q558*AD558</f>
        <v>0</v>
      </c>
      <c r="AF558" s="754"/>
      <c r="AG558" s="720"/>
      <c r="AH558" s="720"/>
      <c r="AI558" s="754"/>
    </row>
    <row r="559" spans="1:35" x14ac:dyDescent="0.2">
      <c r="A559" s="857"/>
      <c r="B559" s="720"/>
      <c r="C559" s="754"/>
      <c r="D559" s="754"/>
      <c r="E559" s="754"/>
      <c r="F559" s="754"/>
      <c r="G559" s="754"/>
      <c r="H559" s="754"/>
      <c r="I559" s="754"/>
      <c r="J559" s="754"/>
      <c r="K559" s="754"/>
      <c r="L559" s="754"/>
      <c r="M559" s="754"/>
      <c r="N559" s="754"/>
      <c r="O559" s="754"/>
      <c r="P559" s="754"/>
      <c r="Q559" s="708"/>
      <c r="R559" s="754"/>
      <c r="S559" s="754"/>
      <c r="T559" s="754"/>
      <c r="U559" s="754"/>
      <c r="V559" s="754"/>
      <c r="W559" s="754"/>
      <c r="X559" s="754"/>
      <c r="Y559" s="754"/>
      <c r="Z559" s="754"/>
      <c r="AA559" s="754"/>
      <c r="AB559" s="754"/>
      <c r="AC559" s="754"/>
      <c r="AD559" s="754"/>
      <c r="AE559" s="754"/>
      <c r="AF559" s="754"/>
      <c r="AG559" s="720"/>
      <c r="AH559" s="720"/>
      <c r="AI559" s="754"/>
    </row>
    <row r="560" spans="1:35" x14ac:dyDescent="0.2">
      <c r="A560" s="872" t="s">
        <v>169</v>
      </c>
      <c r="B560" s="719">
        <f t="shared" ref="B560:L560" si="376">SUM(B447:B559)</f>
        <v>583</v>
      </c>
      <c r="C560" s="789">
        <f t="shared" si="376"/>
        <v>170631.99</v>
      </c>
      <c r="D560" s="789">
        <f t="shared" si="376"/>
        <v>0</v>
      </c>
      <c r="E560" s="789">
        <f t="shared" si="376"/>
        <v>31139.300000000017</v>
      </c>
      <c r="F560" s="789">
        <f t="shared" si="376"/>
        <v>21484</v>
      </c>
      <c r="G560" s="789">
        <f t="shared" si="376"/>
        <v>5782.4800000000041</v>
      </c>
      <c r="H560" s="789">
        <f t="shared" si="376"/>
        <v>0</v>
      </c>
      <c r="I560" s="789">
        <f t="shared" si="376"/>
        <v>34050</v>
      </c>
      <c r="J560" s="789">
        <f t="shared" si="376"/>
        <v>11690</v>
      </c>
      <c r="K560" s="789">
        <f t="shared" si="376"/>
        <v>274777.76999999984</v>
      </c>
      <c r="L560" s="789">
        <f t="shared" si="376"/>
        <v>55000</v>
      </c>
      <c r="M560" s="789"/>
      <c r="N560" s="789">
        <f t="shared" ref="N560:AA560" si="377">SUM(N447:N559)</f>
        <v>55000</v>
      </c>
      <c r="O560" s="789">
        <f t="shared" si="377"/>
        <v>3352333.2399999993</v>
      </c>
      <c r="P560" s="789">
        <f t="shared" si="377"/>
        <v>29235422.680000011</v>
      </c>
      <c r="Q560" s="790">
        <f t="shared" si="377"/>
        <v>583</v>
      </c>
      <c r="R560" s="789">
        <f t="shared" si="377"/>
        <v>170631.99</v>
      </c>
      <c r="S560" s="789">
        <f t="shared" si="377"/>
        <v>0</v>
      </c>
      <c r="T560" s="789">
        <f t="shared" si="377"/>
        <v>31139.300000000017</v>
      </c>
      <c r="U560" s="789">
        <f t="shared" si="377"/>
        <v>21484</v>
      </c>
      <c r="V560" s="789">
        <f t="shared" si="377"/>
        <v>5782.4800000000041</v>
      </c>
      <c r="W560" s="789">
        <f t="shared" si="377"/>
        <v>0</v>
      </c>
      <c r="X560" s="789">
        <f t="shared" si="377"/>
        <v>34050</v>
      </c>
      <c r="Y560" s="789">
        <f t="shared" si="377"/>
        <v>12740</v>
      </c>
      <c r="Z560" s="789">
        <f t="shared" si="377"/>
        <v>275827.76999999984</v>
      </c>
      <c r="AA560" s="789">
        <f t="shared" si="377"/>
        <v>55000</v>
      </c>
      <c r="AB560" s="789"/>
      <c r="AC560" s="789">
        <f t="shared" ref="AC560" si="378">SUM(AC447:AC559)</f>
        <v>55000</v>
      </c>
      <c r="AD560" s="789">
        <f>SUM(AD447:AD559)</f>
        <v>3364933.2399999993</v>
      </c>
      <c r="AE560" s="789">
        <f>SUM(AE447:AE559)</f>
        <v>29248022.680000011</v>
      </c>
      <c r="AF560" s="791"/>
      <c r="AG560" s="792"/>
      <c r="AH560" s="792"/>
      <c r="AI560" s="791"/>
    </row>
    <row r="561" spans="1:35" x14ac:dyDescent="0.2">
      <c r="B561" s="17"/>
      <c r="C561" s="17"/>
      <c r="D561" s="17"/>
      <c r="E561" s="17"/>
      <c r="F561" s="17"/>
      <c r="G561" s="17"/>
      <c r="H561" s="17"/>
      <c r="I561" s="17"/>
      <c r="J561" s="17"/>
      <c r="K561" s="17"/>
      <c r="L561" s="17"/>
      <c r="M561" s="17"/>
      <c r="N561" s="17"/>
      <c r="O561" s="17"/>
      <c r="P561" s="17"/>
      <c r="R561" s="17"/>
      <c r="S561" s="17"/>
      <c r="T561" s="17"/>
      <c r="U561" s="17"/>
      <c r="V561" s="17"/>
      <c r="W561" s="17"/>
      <c r="X561" s="17"/>
      <c r="Y561" s="17"/>
      <c r="Z561" s="17"/>
      <c r="AA561" s="17"/>
      <c r="AB561" s="17"/>
      <c r="AC561" s="17"/>
      <c r="AD561" s="17"/>
      <c r="AE561" s="17"/>
      <c r="AF561" s="17"/>
      <c r="AG561" s="17"/>
      <c r="AH561" s="17"/>
      <c r="AI561" s="17"/>
    </row>
    <row r="562" spans="1:35" x14ac:dyDescent="0.2">
      <c r="B562" s="17"/>
      <c r="C562" s="17"/>
      <c r="D562" s="17"/>
      <c r="E562" s="17"/>
      <c r="F562" s="17"/>
      <c r="G562" s="17"/>
      <c r="H562" s="17"/>
      <c r="I562" s="17"/>
      <c r="J562" s="17"/>
      <c r="K562" s="17"/>
      <c r="L562" s="17"/>
      <c r="M562" s="17"/>
      <c r="N562" s="17"/>
      <c r="O562" s="17"/>
      <c r="P562" s="17"/>
      <c r="R562" s="17"/>
      <c r="S562" s="17"/>
      <c r="T562" s="17"/>
      <c r="U562" s="17"/>
      <c r="V562" s="17"/>
      <c r="W562" s="17"/>
      <c r="X562" s="17"/>
      <c r="Y562" s="17"/>
      <c r="Z562" s="17"/>
      <c r="AA562" s="17"/>
      <c r="AB562" s="17"/>
      <c r="AC562" s="17"/>
      <c r="AD562" s="17"/>
      <c r="AE562" s="17"/>
      <c r="AF562" s="17"/>
      <c r="AG562" s="17"/>
      <c r="AH562" s="17"/>
      <c r="AI562" s="17"/>
    </row>
    <row r="563" spans="1:35" ht="24" x14ac:dyDescent="0.2">
      <c r="A563" s="706" t="s">
        <v>495</v>
      </c>
      <c r="B563" s="743"/>
      <c r="C563" s="742"/>
      <c r="D563" s="742"/>
      <c r="E563" s="742"/>
      <c r="F563" s="742"/>
      <c r="G563" s="742"/>
      <c r="H563" s="742"/>
      <c r="I563" s="742"/>
      <c r="J563" s="742"/>
      <c r="K563" s="742"/>
      <c r="L563" s="742"/>
      <c r="M563" s="742"/>
      <c r="N563" s="742"/>
      <c r="O563" s="742"/>
      <c r="P563" s="742"/>
      <c r="Q563" s="712"/>
      <c r="R563" s="742"/>
      <c r="S563" s="742"/>
      <c r="T563" s="742"/>
      <c r="U563" s="742"/>
      <c r="V563" s="742"/>
      <c r="W563" s="742"/>
      <c r="X563" s="742"/>
      <c r="Y563" s="742"/>
      <c r="Z563" s="742"/>
      <c r="AA563" s="742"/>
      <c r="AB563" s="742"/>
      <c r="AC563" s="742"/>
      <c r="AD563" s="742"/>
      <c r="AE563" s="742"/>
      <c r="AF563" s="742"/>
      <c r="AG563" s="743"/>
      <c r="AH563" s="743"/>
      <c r="AI563" s="742"/>
    </row>
    <row r="564" spans="1:35" x14ac:dyDescent="0.2">
      <c r="A564" s="1488" t="s">
        <v>644</v>
      </c>
      <c r="B564" s="1490" t="s">
        <v>645</v>
      </c>
      <c r="C564" s="1490"/>
      <c r="D564" s="1490"/>
      <c r="E564" s="1490"/>
      <c r="F564" s="1490"/>
      <c r="G564" s="1490"/>
      <c r="H564" s="1490"/>
      <c r="I564" s="1490"/>
      <c r="J564" s="1490"/>
      <c r="K564" s="1490"/>
      <c r="L564" s="1490"/>
      <c r="M564" s="1490"/>
      <c r="N564" s="1490"/>
      <c r="O564" s="1490"/>
      <c r="P564" s="1490"/>
      <c r="Q564" s="1490" t="s">
        <v>646</v>
      </c>
      <c r="R564" s="1490"/>
      <c r="S564" s="1490"/>
      <c r="T564" s="1490"/>
      <c r="U564" s="1490"/>
      <c r="V564" s="1490"/>
      <c r="W564" s="1490"/>
      <c r="X564" s="1490"/>
      <c r="Y564" s="1490"/>
      <c r="Z564" s="1490"/>
      <c r="AA564" s="1490"/>
      <c r="AB564" s="1490"/>
      <c r="AC564" s="1490"/>
      <c r="AD564" s="1490"/>
      <c r="AE564" s="1490"/>
      <c r="AF564" s="1490" t="s">
        <v>647</v>
      </c>
      <c r="AG564" s="1490"/>
      <c r="AH564" s="1490" t="s">
        <v>648</v>
      </c>
      <c r="AI564" s="1490"/>
    </row>
    <row r="565" spans="1:35" ht="120" customHeight="1" x14ac:dyDescent="0.2">
      <c r="A565" s="1488"/>
      <c r="B565" s="696" t="s">
        <v>649</v>
      </c>
      <c r="C565" s="697" t="s">
        <v>650</v>
      </c>
      <c r="D565" s="697" t="s">
        <v>684</v>
      </c>
      <c r="E565" s="697" t="s">
        <v>652</v>
      </c>
      <c r="F565" s="697" t="s">
        <v>653</v>
      </c>
      <c r="G565" s="697" t="s">
        <v>654</v>
      </c>
      <c r="H565" s="697" t="s">
        <v>655</v>
      </c>
      <c r="I565" s="697" t="s">
        <v>656</v>
      </c>
      <c r="J565" s="697" t="s">
        <v>657</v>
      </c>
      <c r="K565" s="697" t="s">
        <v>658</v>
      </c>
      <c r="L565" s="697" t="s">
        <v>659</v>
      </c>
      <c r="M565" s="697" t="s">
        <v>660</v>
      </c>
      <c r="N565" s="697" t="s">
        <v>661</v>
      </c>
      <c r="O565" s="697" t="s">
        <v>662</v>
      </c>
      <c r="P565" s="697" t="s">
        <v>685</v>
      </c>
      <c r="Q565" s="696" t="s">
        <v>649</v>
      </c>
      <c r="R565" s="697" t="s">
        <v>650</v>
      </c>
      <c r="S565" s="697" t="s">
        <v>651</v>
      </c>
      <c r="T565" s="697" t="s">
        <v>652</v>
      </c>
      <c r="U565" s="697" t="s">
        <v>653</v>
      </c>
      <c r="V565" s="697" t="s">
        <v>654</v>
      </c>
      <c r="W565" s="697" t="s">
        <v>655</v>
      </c>
      <c r="X565" s="697" t="s">
        <v>656</v>
      </c>
      <c r="Y565" s="697" t="s">
        <v>657</v>
      </c>
      <c r="Z565" s="697" t="s">
        <v>658</v>
      </c>
      <c r="AA565" s="697" t="s">
        <v>659</v>
      </c>
      <c r="AB565" s="697" t="s">
        <v>660</v>
      </c>
      <c r="AC565" s="697" t="s">
        <v>661</v>
      </c>
      <c r="AD565" s="697" t="s">
        <v>662</v>
      </c>
      <c r="AE565" s="697" t="s">
        <v>686</v>
      </c>
      <c r="AF565" s="697" t="s">
        <v>664</v>
      </c>
      <c r="AG565" s="696" t="s">
        <v>665</v>
      </c>
      <c r="AH565" s="696" t="s">
        <v>649</v>
      </c>
      <c r="AI565" s="697" t="s">
        <v>687</v>
      </c>
    </row>
    <row r="566" spans="1:35" x14ac:dyDescent="0.2">
      <c r="A566" s="1489"/>
      <c r="B566" s="719" t="s">
        <v>667</v>
      </c>
      <c r="C566" s="793" t="s">
        <v>668</v>
      </c>
      <c r="D566" s="793" t="s">
        <v>669</v>
      </c>
      <c r="E566" s="793" t="s">
        <v>670</v>
      </c>
      <c r="F566" s="794" t="s">
        <v>671</v>
      </c>
      <c r="G566" s="794" t="s">
        <v>672</v>
      </c>
      <c r="H566" s="794" t="s">
        <v>673</v>
      </c>
      <c r="I566" s="794" t="s">
        <v>674</v>
      </c>
      <c r="J566" s="794" t="s">
        <v>675</v>
      </c>
      <c r="K566" s="794" t="s">
        <v>676</v>
      </c>
      <c r="L566" s="794" t="s">
        <v>677</v>
      </c>
      <c r="M566" s="794" t="s">
        <v>678</v>
      </c>
      <c r="N566" s="794" t="s">
        <v>679</v>
      </c>
      <c r="O566" s="794" t="s">
        <v>680</v>
      </c>
      <c r="P566" s="794" t="s">
        <v>681</v>
      </c>
      <c r="Q566" s="719" t="s">
        <v>667</v>
      </c>
      <c r="R566" s="793" t="s">
        <v>668</v>
      </c>
      <c r="S566" s="793" t="s">
        <v>669</v>
      </c>
      <c r="T566" s="793" t="s">
        <v>670</v>
      </c>
      <c r="U566" s="794" t="s">
        <v>671</v>
      </c>
      <c r="V566" s="794" t="s">
        <v>672</v>
      </c>
      <c r="W566" s="794" t="s">
        <v>673</v>
      </c>
      <c r="X566" s="794" t="s">
        <v>674</v>
      </c>
      <c r="Y566" s="794" t="s">
        <v>675</v>
      </c>
      <c r="Z566" s="794" t="s">
        <v>676</v>
      </c>
      <c r="AA566" s="794" t="s">
        <v>677</v>
      </c>
      <c r="AB566" s="794" t="s">
        <v>678</v>
      </c>
      <c r="AC566" s="794" t="s">
        <v>679</v>
      </c>
      <c r="AD566" s="794" t="s">
        <v>680</v>
      </c>
      <c r="AE566" s="794" t="s">
        <v>681</v>
      </c>
      <c r="AF566" s="793"/>
      <c r="AG566" s="719"/>
      <c r="AH566" s="719"/>
      <c r="AI566" s="793"/>
    </row>
    <row r="567" spans="1:35" x14ac:dyDescent="0.2">
      <c r="A567" s="857"/>
      <c r="B567" s="720"/>
      <c r="C567" s="754"/>
      <c r="D567" s="754"/>
      <c r="E567" s="754"/>
      <c r="F567" s="754"/>
      <c r="G567" s="754"/>
      <c r="H567" s="754"/>
      <c r="I567" s="754"/>
      <c r="J567" s="754"/>
      <c r="K567" s="754"/>
      <c r="L567" s="754"/>
      <c r="M567" s="754"/>
      <c r="N567" s="754"/>
      <c r="O567" s="754"/>
      <c r="P567" s="754"/>
      <c r="Q567" s="708"/>
      <c r="R567" s="754"/>
      <c r="S567" s="754"/>
      <c r="T567" s="754"/>
      <c r="U567" s="754"/>
      <c r="V567" s="754"/>
      <c r="W567" s="754"/>
      <c r="X567" s="754"/>
      <c r="Y567" s="754"/>
      <c r="Z567" s="754"/>
      <c r="AA567" s="754"/>
      <c r="AB567" s="754"/>
      <c r="AC567" s="754"/>
      <c r="AD567" s="754"/>
      <c r="AE567" s="754"/>
      <c r="AF567" s="754"/>
      <c r="AG567" s="720"/>
      <c r="AH567" s="720"/>
      <c r="AI567" s="754"/>
    </row>
    <row r="568" spans="1:35" x14ac:dyDescent="0.2">
      <c r="A568" s="871" t="s">
        <v>688</v>
      </c>
      <c r="B568" s="795">
        <f>+B570+B578+B586+B591</f>
        <v>54</v>
      </c>
      <c r="C568" s="754"/>
      <c r="D568" s="754"/>
      <c r="E568" s="754"/>
      <c r="F568" s="754"/>
      <c r="G568" s="754"/>
      <c r="H568" s="754"/>
      <c r="I568" s="754"/>
      <c r="J568" s="754"/>
      <c r="K568" s="754"/>
      <c r="L568" s="754"/>
      <c r="M568" s="754"/>
      <c r="N568" s="754"/>
      <c r="O568" s="754"/>
      <c r="P568" s="754"/>
      <c r="Q568" s="795">
        <f>+Q570+Q578+Q586+Q591</f>
        <v>54</v>
      </c>
      <c r="R568" s="754"/>
      <c r="S568" s="754"/>
      <c r="T568" s="754"/>
      <c r="U568" s="754"/>
      <c r="V568" s="754"/>
      <c r="W568" s="754"/>
      <c r="X568" s="754"/>
      <c r="Y568" s="754"/>
      <c r="Z568" s="754"/>
      <c r="AA568" s="754"/>
      <c r="AB568" s="754"/>
      <c r="AC568" s="754"/>
      <c r="AD568" s="754"/>
      <c r="AE568" s="754"/>
      <c r="AF568" s="754"/>
      <c r="AG568" s="720"/>
      <c r="AH568" s="795">
        <f>+AH570+AH578+AH586+AH591</f>
        <v>54</v>
      </c>
      <c r="AI568" s="754"/>
    </row>
    <row r="569" spans="1:35" x14ac:dyDescent="0.2">
      <c r="A569" s="857"/>
      <c r="B569" s="796"/>
      <c r="C569" s="754"/>
      <c r="D569" s="754"/>
      <c r="E569" s="754"/>
      <c r="F569" s="754"/>
      <c r="G569" s="754"/>
      <c r="H569" s="754"/>
      <c r="I569" s="754"/>
      <c r="J569" s="754"/>
      <c r="K569" s="754"/>
      <c r="L569" s="754"/>
      <c r="M569" s="754"/>
      <c r="N569" s="754"/>
      <c r="O569" s="754"/>
      <c r="P569" s="754"/>
      <c r="Q569" s="796"/>
      <c r="R569" s="754"/>
      <c r="S569" s="754"/>
      <c r="T569" s="754"/>
      <c r="U569" s="754"/>
      <c r="V569" s="754"/>
      <c r="W569" s="754"/>
      <c r="X569" s="754"/>
      <c r="Y569" s="754"/>
      <c r="Z569" s="754"/>
      <c r="AA569" s="754"/>
      <c r="AB569" s="754"/>
      <c r="AC569" s="754"/>
      <c r="AD569" s="754"/>
      <c r="AE569" s="754"/>
      <c r="AF569" s="754"/>
      <c r="AG569" s="720"/>
      <c r="AH569" s="796"/>
      <c r="AI569" s="754"/>
    </row>
    <row r="570" spans="1:35" x14ac:dyDescent="0.2">
      <c r="A570" s="71" t="s">
        <v>378</v>
      </c>
      <c r="B570" s="796">
        <f>+SUM(B571:B576)</f>
        <v>7</v>
      </c>
      <c r="C570" s="754"/>
      <c r="D570" s="754"/>
      <c r="E570" s="754"/>
      <c r="F570" s="754"/>
      <c r="G570" s="754"/>
      <c r="H570" s="754"/>
      <c r="I570" s="754"/>
      <c r="J570" s="754"/>
      <c r="K570" s="754"/>
      <c r="L570" s="754"/>
      <c r="M570" s="754"/>
      <c r="N570" s="754"/>
      <c r="O570" s="754"/>
      <c r="P570" s="754"/>
      <c r="Q570" s="796">
        <f>+SUM(Q571:Q576)</f>
        <v>7</v>
      </c>
      <c r="R570" s="754"/>
      <c r="S570" s="754"/>
      <c r="T570" s="754"/>
      <c r="U570" s="754"/>
      <c r="V570" s="754"/>
      <c r="W570" s="754"/>
      <c r="X570" s="754"/>
      <c r="Y570" s="754"/>
      <c r="Z570" s="754"/>
      <c r="AA570" s="754"/>
      <c r="AB570" s="754"/>
      <c r="AC570" s="754"/>
      <c r="AD570" s="754"/>
      <c r="AE570" s="754"/>
      <c r="AF570" s="754"/>
      <c r="AG570" s="720"/>
      <c r="AH570" s="796">
        <f>+SUM(AH571:AH576)</f>
        <v>7</v>
      </c>
      <c r="AI570" s="754"/>
    </row>
    <row r="571" spans="1:35" x14ac:dyDescent="0.2">
      <c r="A571" s="862" t="s">
        <v>402</v>
      </c>
      <c r="B571" s="796"/>
      <c r="C571" s="754"/>
      <c r="D571" s="754"/>
      <c r="E571" s="754"/>
      <c r="F571" s="754"/>
      <c r="G571" s="754"/>
      <c r="H571" s="754"/>
      <c r="I571" s="754"/>
      <c r="J571" s="754"/>
      <c r="K571" s="754"/>
      <c r="L571" s="754"/>
      <c r="M571" s="754"/>
      <c r="N571" s="754"/>
      <c r="O571" s="754"/>
      <c r="P571" s="754"/>
      <c r="Q571" s="796"/>
      <c r="R571" s="754"/>
      <c r="S571" s="754"/>
      <c r="T571" s="754"/>
      <c r="U571" s="754"/>
      <c r="V571" s="754"/>
      <c r="W571" s="754"/>
      <c r="X571" s="754"/>
      <c r="Y571" s="754"/>
      <c r="Z571" s="754"/>
      <c r="AA571" s="754"/>
      <c r="AB571" s="754"/>
      <c r="AC571" s="754"/>
      <c r="AD571" s="754"/>
      <c r="AE571" s="754"/>
      <c r="AF571" s="754"/>
      <c r="AG571" s="720"/>
      <c r="AH571" s="796"/>
      <c r="AI571" s="754"/>
    </row>
    <row r="572" spans="1:35" x14ac:dyDescent="0.2">
      <c r="A572" s="862" t="s">
        <v>403</v>
      </c>
      <c r="B572" s="796"/>
      <c r="C572" s="754"/>
      <c r="D572" s="754"/>
      <c r="E572" s="754"/>
      <c r="F572" s="754"/>
      <c r="G572" s="754"/>
      <c r="H572" s="754"/>
      <c r="I572" s="754"/>
      <c r="J572" s="754"/>
      <c r="K572" s="754"/>
      <c r="L572" s="754"/>
      <c r="M572" s="754"/>
      <c r="N572" s="754"/>
      <c r="O572" s="754"/>
      <c r="P572" s="754"/>
      <c r="Q572" s="796"/>
      <c r="R572" s="754"/>
      <c r="S572" s="754"/>
      <c r="T572" s="754"/>
      <c r="U572" s="754"/>
      <c r="V572" s="754"/>
      <c r="W572" s="754"/>
      <c r="X572" s="754"/>
      <c r="Y572" s="754"/>
      <c r="Z572" s="754"/>
      <c r="AA572" s="754"/>
      <c r="AB572" s="754"/>
      <c r="AC572" s="754"/>
      <c r="AD572" s="754"/>
      <c r="AE572" s="754"/>
      <c r="AF572" s="754"/>
      <c r="AG572" s="720"/>
      <c r="AH572" s="796"/>
      <c r="AI572" s="754"/>
    </row>
    <row r="573" spans="1:35" x14ac:dyDescent="0.2">
      <c r="A573" s="862" t="s">
        <v>382</v>
      </c>
      <c r="B573" s="796">
        <v>1</v>
      </c>
      <c r="C573" s="754">
        <v>5080.25</v>
      </c>
      <c r="D573" s="754">
        <v>4950</v>
      </c>
      <c r="E573" s="754"/>
      <c r="F573" s="754"/>
      <c r="G573" s="754"/>
      <c r="H573" s="754"/>
      <c r="I573" s="754"/>
      <c r="J573" s="754"/>
      <c r="K573" s="754">
        <f>+SUM(C573:J573)</f>
        <v>10030.25</v>
      </c>
      <c r="L573" s="754">
        <v>1000</v>
      </c>
      <c r="M573" s="754"/>
      <c r="N573" s="754"/>
      <c r="O573" s="754">
        <f>+K573*12+L573</f>
        <v>121363</v>
      </c>
      <c r="P573" s="754">
        <f>(K573*B573)*12+(L573*B573)</f>
        <v>121363</v>
      </c>
      <c r="Q573" s="796">
        <v>1</v>
      </c>
      <c r="R573" s="754">
        <v>5080.25</v>
      </c>
      <c r="S573" s="754">
        <v>4950</v>
      </c>
      <c r="T573" s="754"/>
      <c r="U573" s="754"/>
      <c r="V573" s="754"/>
      <c r="W573" s="754"/>
      <c r="X573" s="754"/>
      <c r="Y573" s="754"/>
      <c r="Z573" s="754">
        <f>+SUM(R573:Y573)</f>
        <v>10030.25</v>
      </c>
      <c r="AA573" s="754">
        <v>1000</v>
      </c>
      <c r="AB573" s="754"/>
      <c r="AC573" s="754"/>
      <c r="AD573" s="754">
        <f>+Z573*12+AA573</f>
        <v>121363</v>
      </c>
      <c r="AE573" s="754">
        <f>(Z573*Q573)*12+(AA573*Q573)</f>
        <v>121363</v>
      </c>
      <c r="AF573" s="754">
        <f>+AD573-O573</f>
        <v>0</v>
      </c>
      <c r="AG573" s="797">
        <f>+AE573-P573</f>
        <v>0</v>
      </c>
      <c r="AH573" s="796">
        <v>1</v>
      </c>
      <c r="AI573" s="754">
        <v>121363</v>
      </c>
    </row>
    <row r="574" spans="1:35" x14ac:dyDescent="0.2">
      <c r="A574" s="862" t="s">
        <v>383</v>
      </c>
      <c r="B574" s="796">
        <v>2</v>
      </c>
      <c r="C574" s="754">
        <v>1444.97</v>
      </c>
      <c r="D574" s="754">
        <v>3000</v>
      </c>
      <c r="E574" s="754"/>
      <c r="F574" s="754"/>
      <c r="G574" s="754"/>
      <c r="H574" s="754"/>
      <c r="I574" s="754"/>
      <c r="J574" s="754"/>
      <c r="K574" s="754">
        <f t="shared" ref="K574:K576" si="379">+SUM(C574:J574)</f>
        <v>4444.97</v>
      </c>
      <c r="L574" s="754">
        <v>1000</v>
      </c>
      <c r="M574" s="754"/>
      <c r="N574" s="754"/>
      <c r="O574" s="754">
        <f t="shared" ref="O574:O576" si="380">+K574*12+L574</f>
        <v>54339.64</v>
      </c>
      <c r="P574" s="754">
        <f t="shared" ref="P574:P576" si="381">(K574*B574)*12+(L574*B574)</f>
        <v>108679.28</v>
      </c>
      <c r="Q574" s="796">
        <v>2</v>
      </c>
      <c r="R574" s="754">
        <v>1444.97</v>
      </c>
      <c r="S574" s="754">
        <v>3000</v>
      </c>
      <c r="T574" s="754"/>
      <c r="U574" s="754"/>
      <c r="V574" s="754"/>
      <c r="W574" s="754"/>
      <c r="X574" s="754"/>
      <c r="Y574" s="754"/>
      <c r="Z574" s="754">
        <f t="shared" ref="Z574:Z576" si="382">+SUM(R574:Y574)</f>
        <v>4444.97</v>
      </c>
      <c r="AA574" s="754">
        <v>1000</v>
      </c>
      <c r="AB574" s="754"/>
      <c r="AC574" s="754"/>
      <c r="AD574" s="754">
        <f t="shared" ref="AD574:AD576" si="383">+Z574*12+AA574</f>
        <v>54339.64</v>
      </c>
      <c r="AE574" s="754">
        <f t="shared" ref="AE574:AE576" si="384">(Z574*Q574)*12+(AA574*Q574)</f>
        <v>108679.28</v>
      </c>
      <c r="AF574" s="754">
        <f t="shared" ref="AF574:AG576" si="385">+AD574-O574</f>
        <v>0</v>
      </c>
      <c r="AG574" s="797">
        <f t="shared" si="385"/>
        <v>0</v>
      </c>
      <c r="AH574" s="796">
        <v>2</v>
      </c>
      <c r="AI574" s="754">
        <v>108679.28</v>
      </c>
    </row>
    <row r="575" spans="1:35" x14ac:dyDescent="0.2">
      <c r="A575" s="862" t="s">
        <v>384</v>
      </c>
      <c r="B575" s="796">
        <v>3</v>
      </c>
      <c r="C575" s="754">
        <v>1239.96</v>
      </c>
      <c r="D575" s="754">
        <v>2570</v>
      </c>
      <c r="E575" s="754"/>
      <c r="F575" s="754"/>
      <c r="G575" s="754"/>
      <c r="H575" s="754"/>
      <c r="I575" s="754"/>
      <c r="J575" s="754"/>
      <c r="K575" s="754">
        <f t="shared" si="379"/>
        <v>3809.96</v>
      </c>
      <c r="L575" s="754">
        <v>1000</v>
      </c>
      <c r="M575" s="754"/>
      <c r="N575" s="754"/>
      <c r="O575" s="754">
        <f t="shared" si="380"/>
        <v>46719.520000000004</v>
      </c>
      <c r="P575" s="754">
        <f t="shared" si="381"/>
        <v>140158.56</v>
      </c>
      <c r="Q575" s="796">
        <v>3</v>
      </c>
      <c r="R575" s="754">
        <v>1239.96</v>
      </c>
      <c r="S575" s="754">
        <v>2570</v>
      </c>
      <c r="T575" s="754"/>
      <c r="U575" s="754"/>
      <c r="V575" s="754"/>
      <c r="W575" s="754"/>
      <c r="X575" s="754"/>
      <c r="Y575" s="754"/>
      <c r="Z575" s="754">
        <f t="shared" si="382"/>
        <v>3809.96</v>
      </c>
      <c r="AA575" s="754">
        <v>1000</v>
      </c>
      <c r="AB575" s="754"/>
      <c r="AC575" s="754"/>
      <c r="AD575" s="754">
        <f t="shared" si="383"/>
        <v>46719.520000000004</v>
      </c>
      <c r="AE575" s="754">
        <f t="shared" si="384"/>
        <v>140158.56</v>
      </c>
      <c r="AF575" s="754">
        <f t="shared" si="385"/>
        <v>0</v>
      </c>
      <c r="AG575" s="797">
        <f t="shared" si="385"/>
        <v>0</v>
      </c>
      <c r="AH575" s="796">
        <v>3</v>
      </c>
      <c r="AI575" s="754">
        <v>140158.56</v>
      </c>
    </row>
    <row r="576" spans="1:35" x14ac:dyDescent="0.2">
      <c r="A576" s="862" t="s">
        <v>406</v>
      </c>
      <c r="B576" s="796">
        <v>1</v>
      </c>
      <c r="C576" s="754">
        <v>1183.02</v>
      </c>
      <c r="D576" s="754">
        <v>2530</v>
      </c>
      <c r="E576" s="754"/>
      <c r="F576" s="754"/>
      <c r="G576" s="754"/>
      <c r="H576" s="754"/>
      <c r="I576" s="754"/>
      <c r="J576" s="754"/>
      <c r="K576" s="754">
        <f t="shared" si="379"/>
        <v>3713.02</v>
      </c>
      <c r="L576" s="754">
        <v>1000</v>
      </c>
      <c r="M576" s="754"/>
      <c r="N576" s="754"/>
      <c r="O576" s="754">
        <f t="shared" si="380"/>
        <v>45556.24</v>
      </c>
      <c r="P576" s="754">
        <f t="shared" si="381"/>
        <v>45556.24</v>
      </c>
      <c r="Q576" s="796">
        <v>1</v>
      </c>
      <c r="R576" s="754">
        <v>1183.02</v>
      </c>
      <c r="S576" s="754">
        <v>2530</v>
      </c>
      <c r="T576" s="754"/>
      <c r="U576" s="754"/>
      <c r="V576" s="754"/>
      <c r="W576" s="754"/>
      <c r="X576" s="754"/>
      <c r="Y576" s="754"/>
      <c r="Z576" s="754">
        <f t="shared" si="382"/>
        <v>3713.02</v>
      </c>
      <c r="AA576" s="754">
        <v>1000</v>
      </c>
      <c r="AB576" s="754"/>
      <c r="AC576" s="754"/>
      <c r="AD576" s="754">
        <f t="shared" si="383"/>
        <v>45556.24</v>
      </c>
      <c r="AE576" s="754">
        <f t="shared" si="384"/>
        <v>45556.24</v>
      </c>
      <c r="AF576" s="754">
        <f t="shared" si="385"/>
        <v>0</v>
      </c>
      <c r="AG576" s="797">
        <f t="shared" si="385"/>
        <v>0</v>
      </c>
      <c r="AH576" s="796">
        <v>1</v>
      </c>
      <c r="AI576" s="754">
        <v>45556.24</v>
      </c>
    </row>
    <row r="577" spans="1:35" x14ac:dyDescent="0.2">
      <c r="A577" s="71"/>
      <c r="B577" s="796"/>
      <c r="C577" s="754"/>
      <c r="D577" s="754"/>
      <c r="E577" s="754"/>
      <c r="F577" s="754"/>
      <c r="G577" s="754"/>
      <c r="H577" s="754"/>
      <c r="I577" s="754"/>
      <c r="J577" s="754"/>
      <c r="K577" s="754"/>
      <c r="L577" s="754"/>
      <c r="M577" s="754"/>
      <c r="N577" s="754"/>
      <c r="O577" s="754"/>
      <c r="P577" s="754"/>
      <c r="Q577" s="796"/>
      <c r="R577" s="754"/>
      <c r="S577" s="754"/>
      <c r="T577" s="754"/>
      <c r="U577" s="754"/>
      <c r="V577" s="754"/>
      <c r="W577" s="754"/>
      <c r="X577" s="754"/>
      <c r="Y577" s="754"/>
      <c r="Z577" s="754"/>
      <c r="AA577" s="754"/>
      <c r="AB577" s="754"/>
      <c r="AC577" s="754"/>
      <c r="AD577" s="754"/>
      <c r="AE577" s="754"/>
      <c r="AF577" s="754"/>
      <c r="AG577" s="797"/>
      <c r="AH577" s="796"/>
      <c r="AI577" s="754"/>
    </row>
    <row r="578" spans="1:35" x14ac:dyDescent="0.2">
      <c r="A578" s="71" t="s">
        <v>385</v>
      </c>
      <c r="B578" s="796">
        <f>+SUM(B579:B584)</f>
        <v>14</v>
      </c>
      <c r="C578" s="754"/>
      <c r="D578" s="754"/>
      <c r="E578" s="754"/>
      <c r="F578" s="754"/>
      <c r="G578" s="754"/>
      <c r="H578" s="754"/>
      <c r="I578" s="754"/>
      <c r="J578" s="754"/>
      <c r="K578" s="754"/>
      <c r="L578" s="754"/>
      <c r="M578" s="754"/>
      <c r="N578" s="754"/>
      <c r="O578" s="754"/>
      <c r="P578" s="754"/>
      <c r="Q578" s="796">
        <f>+SUM(Q579:Q584)</f>
        <v>14</v>
      </c>
      <c r="R578" s="754"/>
      <c r="S578" s="754"/>
      <c r="T578" s="754"/>
      <c r="U578" s="754"/>
      <c r="V578" s="754"/>
      <c r="W578" s="754"/>
      <c r="X578" s="754"/>
      <c r="Y578" s="754"/>
      <c r="Z578" s="754"/>
      <c r="AA578" s="754"/>
      <c r="AB578" s="754"/>
      <c r="AC578" s="754"/>
      <c r="AD578" s="754"/>
      <c r="AE578" s="754"/>
      <c r="AF578" s="754"/>
      <c r="AG578" s="797"/>
      <c r="AH578" s="796">
        <f>+SUM(AH579:AH584)</f>
        <v>14</v>
      </c>
      <c r="AI578" s="754"/>
    </row>
    <row r="579" spans="1:35" x14ac:dyDescent="0.2">
      <c r="A579" s="862" t="s">
        <v>437</v>
      </c>
      <c r="B579" s="796">
        <v>3</v>
      </c>
      <c r="C579" s="754">
        <v>877.06</v>
      </c>
      <c r="D579" s="754">
        <v>2592</v>
      </c>
      <c r="E579" s="754"/>
      <c r="F579" s="754"/>
      <c r="G579" s="754"/>
      <c r="H579" s="754"/>
      <c r="I579" s="754"/>
      <c r="J579" s="754"/>
      <c r="K579" s="754">
        <f t="shared" ref="K579:K584" si="386">+SUM(C579:J579)</f>
        <v>3469.06</v>
      </c>
      <c r="L579" s="754">
        <v>1000</v>
      </c>
      <c r="M579" s="754"/>
      <c r="N579" s="754"/>
      <c r="O579" s="754">
        <f t="shared" ref="O579:O584" si="387">+K579*12+L579</f>
        <v>42628.72</v>
      </c>
      <c r="P579" s="754">
        <f t="shared" ref="P579:P584" si="388">(K579*B579)*12+(L579*B579)</f>
        <v>127886.16</v>
      </c>
      <c r="Q579" s="796">
        <v>3</v>
      </c>
      <c r="R579" s="754">
        <v>877.06</v>
      </c>
      <c r="S579" s="754">
        <v>2592</v>
      </c>
      <c r="T579" s="754"/>
      <c r="U579" s="754"/>
      <c r="V579" s="754"/>
      <c r="W579" s="754"/>
      <c r="X579" s="754"/>
      <c r="Y579" s="754"/>
      <c r="Z579" s="754">
        <f t="shared" ref="Z579:Z584" si="389">+SUM(R579:Y579)</f>
        <v>3469.06</v>
      </c>
      <c r="AA579" s="754">
        <v>1000</v>
      </c>
      <c r="AB579" s="754"/>
      <c r="AC579" s="754"/>
      <c r="AD579" s="754">
        <f t="shared" ref="AD579:AD584" si="390">+Z579*12+AA579</f>
        <v>42628.72</v>
      </c>
      <c r="AE579" s="754">
        <f t="shared" ref="AE579:AE584" si="391">(Z579*Q579)*12+(AA579*Q579)</f>
        <v>127886.16</v>
      </c>
      <c r="AF579" s="754">
        <f t="shared" ref="AF579:AG584" si="392">+AD579-O579</f>
        <v>0</v>
      </c>
      <c r="AG579" s="797">
        <f t="shared" si="392"/>
        <v>0</v>
      </c>
      <c r="AH579" s="796">
        <v>3</v>
      </c>
      <c r="AI579" s="754">
        <v>127886.16</v>
      </c>
    </row>
    <row r="580" spans="1:35" x14ac:dyDescent="0.2">
      <c r="A580" s="862" t="s">
        <v>437</v>
      </c>
      <c r="B580" s="796">
        <v>3</v>
      </c>
      <c r="C580" s="754">
        <v>1085.01</v>
      </c>
      <c r="D580" s="754">
        <v>2590</v>
      </c>
      <c r="E580" s="754"/>
      <c r="F580" s="754"/>
      <c r="G580" s="754"/>
      <c r="H580" s="754"/>
      <c r="I580" s="754"/>
      <c r="J580" s="754"/>
      <c r="K580" s="754">
        <f t="shared" si="386"/>
        <v>3675.01</v>
      </c>
      <c r="L580" s="754">
        <v>1000</v>
      </c>
      <c r="M580" s="754"/>
      <c r="N580" s="754"/>
      <c r="O580" s="754">
        <f t="shared" si="387"/>
        <v>45100.12</v>
      </c>
      <c r="P580" s="754">
        <f t="shared" si="388"/>
        <v>135300.36000000002</v>
      </c>
      <c r="Q580" s="796">
        <v>3</v>
      </c>
      <c r="R580" s="754">
        <v>1085.01</v>
      </c>
      <c r="S580" s="754">
        <v>2590</v>
      </c>
      <c r="T580" s="754"/>
      <c r="U580" s="754"/>
      <c r="V580" s="754"/>
      <c r="W580" s="754"/>
      <c r="X580" s="754"/>
      <c r="Y580" s="754"/>
      <c r="Z580" s="754">
        <f t="shared" si="389"/>
        <v>3675.01</v>
      </c>
      <c r="AA580" s="754">
        <v>1000</v>
      </c>
      <c r="AB580" s="754"/>
      <c r="AC580" s="754"/>
      <c r="AD580" s="754">
        <f t="shared" si="390"/>
        <v>45100.12</v>
      </c>
      <c r="AE580" s="754">
        <f t="shared" si="391"/>
        <v>135300.36000000002</v>
      </c>
      <c r="AF580" s="754">
        <f t="shared" si="392"/>
        <v>0</v>
      </c>
      <c r="AG580" s="797">
        <f t="shared" si="392"/>
        <v>0</v>
      </c>
      <c r="AH580" s="796">
        <v>3</v>
      </c>
      <c r="AI580" s="754">
        <v>135300.36000000002</v>
      </c>
    </row>
    <row r="581" spans="1:35" x14ac:dyDescent="0.2">
      <c r="A581" s="862" t="s">
        <v>437</v>
      </c>
      <c r="B581" s="796">
        <v>4</v>
      </c>
      <c r="C581" s="754">
        <v>876.06</v>
      </c>
      <c r="D581" s="754">
        <v>2400</v>
      </c>
      <c r="E581" s="754"/>
      <c r="F581" s="754"/>
      <c r="G581" s="754"/>
      <c r="H581" s="754"/>
      <c r="I581" s="754"/>
      <c r="J581" s="754"/>
      <c r="K581" s="754">
        <f t="shared" si="386"/>
        <v>3276.06</v>
      </c>
      <c r="L581" s="754">
        <v>1000</v>
      </c>
      <c r="M581" s="754"/>
      <c r="N581" s="754"/>
      <c r="O581" s="754">
        <f t="shared" si="387"/>
        <v>40312.720000000001</v>
      </c>
      <c r="P581" s="754">
        <f t="shared" si="388"/>
        <v>161250.88</v>
      </c>
      <c r="Q581" s="796">
        <v>4</v>
      </c>
      <c r="R581" s="754">
        <v>876.06</v>
      </c>
      <c r="S581" s="754">
        <v>2400</v>
      </c>
      <c r="T581" s="754"/>
      <c r="U581" s="754"/>
      <c r="V581" s="754"/>
      <c r="W581" s="754"/>
      <c r="X581" s="754"/>
      <c r="Y581" s="754"/>
      <c r="Z581" s="754">
        <f t="shared" si="389"/>
        <v>3276.06</v>
      </c>
      <c r="AA581" s="754">
        <v>1000</v>
      </c>
      <c r="AB581" s="754"/>
      <c r="AC581" s="754"/>
      <c r="AD581" s="754">
        <f t="shared" si="390"/>
        <v>40312.720000000001</v>
      </c>
      <c r="AE581" s="754">
        <f t="shared" si="391"/>
        <v>161250.88</v>
      </c>
      <c r="AF581" s="754">
        <f t="shared" si="392"/>
        <v>0</v>
      </c>
      <c r="AG581" s="797">
        <f t="shared" si="392"/>
        <v>0</v>
      </c>
      <c r="AH581" s="796">
        <v>4</v>
      </c>
      <c r="AI581" s="754">
        <v>161250.88</v>
      </c>
    </row>
    <row r="582" spans="1:35" x14ac:dyDescent="0.2">
      <c r="A582" s="862" t="s">
        <v>408</v>
      </c>
      <c r="B582" s="796">
        <v>1</v>
      </c>
      <c r="C582" s="754">
        <v>843.93</v>
      </c>
      <c r="D582" s="754">
        <v>2400</v>
      </c>
      <c r="E582" s="754"/>
      <c r="F582" s="754"/>
      <c r="G582" s="754"/>
      <c r="H582" s="754"/>
      <c r="I582" s="754"/>
      <c r="J582" s="754"/>
      <c r="K582" s="754">
        <f t="shared" si="386"/>
        <v>3243.93</v>
      </c>
      <c r="L582" s="754">
        <v>1000</v>
      </c>
      <c r="M582" s="754"/>
      <c r="N582" s="754"/>
      <c r="O582" s="754">
        <f t="shared" si="387"/>
        <v>39927.159999999996</v>
      </c>
      <c r="P582" s="754">
        <f t="shared" si="388"/>
        <v>39927.159999999996</v>
      </c>
      <c r="Q582" s="796">
        <v>1</v>
      </c>
      <c r="R582" s="754">
        <v>843.93</v>
      </c>
      <c r="S582" s="754">
        <v>2400</v>
      </c>
      <c r="T582" s="754"/>
      <c r="U582" s="754"/>
      <c r="V582" s="754"/>
      <c r="W582" s="754"/>
      <c r="X582" s="754"/>
      <c r="Y582" s="754"/>
      <c r="Z582" s="754">
        <f t="shared" si="389"/>
        <v>3243.93</v>
      </c>
      <c r="AA582" s="754">
        <v>1000</v>
      </c>
      <c r="AB582" s="754"/>
      <c r="AC582" s="754"/>
      <c r="AD582" s="754">
        <f t="shared" si="390"/>
        <v>39927.159999999996</v>
      </c>
      <c r="AE582" s="754">
        <f t="shared" si="391"/>
        <v>39927.159999999996</v>
      </c>
      <c r="AF582" s="754">
        <f t="shared" si="392"/>
        <v>0</v>
      </c>
      <c r="AG582" s="797">
        <f t="shared" si="392"/>
        <v>0</v>
      </c>
      <c r="AH582" s="796">
        <v>1</v>
      </c>
      <c r="AI582" s="754">
        <v>39927.159999999996</v>
      </c>
    </row>
    <row r="583" spans="1:35" x14ac:dyDescent="0.2">
      <c r="A583" s="862" t="s">
        <v>408</v>
      </c>
      <c r="B583" s="796">
        <v>2</v>
      </c>
      <c r="C583" s="754">
        <v>1174.4100000000001</v>
      </c>
      <c r="D583" s="754">
        <v>2300</v>
      </c>
      <c r="E583" s="754"/>
      <c r="F583" s="754"/>
      <c r="G583" s="754"/>
      <c r="H583" s="754"/>
      <c r="I583" s="754"/>
      <c r="J583" s="754"/>
      <c r="K583" s="754">
        <f t="shared" si="386"/>
        <v>3474.41</v>
      </c>
      <c r="L583" s="754">
        <v>1000</v>
      </c>
      <c r="M583" s="754"/>
      <c r="N583" s="754"/>
      <c r="O583" s="754">
        <f t="shared" si="387"/>
        <v>42692.92</v>
      </c>
      <c r="P583" s="754">
        <f t="shared" si="388"/>
        <v>85385.84</v>
      </c>
      <c r="Q583" s="796">
        <v>2</v>
      </c>
      <c r="R583" s="754">
        <v>1174.4100000000001</v>
      </c>
      <c r="S583" s="754">
        <v>2300</v>
      </c>
      <c r="T583" s="754"/>
      <c r="U583" s="754"/>
      <c r="V583" s="754"/>
      <c r="W583" s="754"/>
      <c r="X583" s="754"/>
      <c r="Y583" s="754"/>
      <c r="Z583" s="754">
        <f t="shared" si="389"/>
        <v>3474.41</v>
      </c>
      <c r="AA583" s="754">
        <v>1000</v>
      </c>
      <c r="AB583" s="754"/>
      <c r="AC583" s="754"/>
      <c r="AD583" s="754">
        <f t="shared" si="390"/>
        <v>42692.92</v>
      </c>
      <c r="AE583" s="754">
        <f t="shared" si="391"/>
        <v>85385.84</v>
      </c>
      <c r="AF583" s="754">
        <f t="shared" si="392"/>
        <v>0</v>
      </c>
      <c r="AG583" s="797">
        <f t="shared" si="392"/>
        <v>0</v>
      </c>
      <c r="AH583" s="796">
        <v>2</v>
      </c>
      <c r="AI583" s="754">
        <v>85385.84</v>
      </c>
    </row>
    <row r="584" spans="1:35" x14ac:dyDescent="0.2">
      <c r="A584" s="862" t="s">
        <v>450</v>
      </c>
      <c r="B584" s="796">
        <v>1</v>
      </c>
      <c r="C584" s="754">
        <v>810.22</v>
      </c>
      <c r="D584" s="754">
        <v>2400</v>
      </c>
      <c r="E584" s="754"/>
      <c r="F584" s="754"/>
      <c r="G584" s="754"/>
      <c r="H584" s="754"/>
      <c r="I584" s="754"/>
      <c r="J584" s="754"/>
      <c r="K584" s="754">
        <f t="shared" si="386"/>
        <v>3210.2200000000003</v>
      </c>
      <c r="L584" s="754">
        <v>1000</v>
      </c>
      <c r="M584" s="754"/>
      <c r="N584" s="754"/>
      <c r="O584" s="754">
        <f t="shared" si="387"/>
        <v>39522.639999999999</v>
      </c>
      <c r="P584" s="754">
        <f t="shared" si="388"/>
        <v>39522.639999999999</v>
      </c>
      <c r="Q584" s="796">
        <v>1</v>
      </c>
      <c r="R584" s="754">
        <v>810.22</v>
      </c>
      <c r="S584" s="754">
        <v>2400</v>
      </c>
      <c r="T584" s="754"/>
      <c r="U584" s="754"/>
      <c r="V584" s="754"/>
      <c r="W584" s="754"/>
      <c r="X584" s="754"/>
      <c r="Y584" s="754"/>
      <c r="Z584" s="754">
        <f t="shared" si="389"/>
        <v>3210.2200000000003</v>
      </c>
      <c r="AA584" s="754">
        <v>1000</v>
      </c>
      <c r="AB584" s="754"/>
      <c r="AC584" s="754"/>
      <c r="AD584" s="754">
        <f t="shared" si="390"/>
        <v>39522.639999999999</v>
      </c>
      <c r="AE584" s="754">
        <f t="shared" si="391"/>
        <v>39522.639999999999</v>
      </c>
      <c r="AF584" s="754">
        <f t="shared" si="392"/>
        <v>0</v>
      </c>
      <c r="AG584" s="797">
        <f t="shared" si="392"/>
        <v>0</v>
      </c>
      <c r="AH584" s="796">
        <v>1</v>
      </c>
      <c r="AI584" s="754">
        <v>39522.639999999999</v>
      </c>
    </row>
    <row r="585" spans="1:35" x14ac:dyDescent="0.2">
      <c r="A585" s="862"/>
      <c r="B585" s="796"/>
      <c r="C585" s="754"/>
      <c r="D585" s="754"/>
      <c r="E585" s="754"/>
      <c r="F585" s="754"/>
      <c r="G585" s="754"/>
      <c r="H585" s="754"/>
      <c r="I585" s="754"/>
      <c r="J585" s="754"/>
      <c r="K585" s="754"/>
      <c r="L585" s="754"/>
      <c r="M585" s="754"/>
      <c r="N585" s="754"/>
      <c r="O585" s="754"/>
      <c r="P585" s="754"/>
      <c r="Q585" s="796"/>
      <c r="R585" s="754"/>
      <c r="S585" s="754"/>
      <c r="T585" s="754"/>
      <c r="U585" s="754"/>
      <c r="V585" s="754"/>
      <c r="W585" s="754"/>
      <c r="X585" s="754"/>
      <c r="Y585" s="754"/>
      <c r="Z585" s="754"/>
      <c r="AA585" s="754"/>
      <c r="AB585" s="754"/>
      <c r="AC585" s="754"/>
      <c r="AD585" s="754"/>
      <c r="AE585" s="754"/>
      <c r="AF585" s="754"/>
      <c r="AG585" s="797"/>
      <c r="AH585" s="796"/>
      <c r="AI585" s="754"/>
    </row>
    <row r="586" spans="1:35" x14ac:dyDescent="0.2">
      <c r="A586" s="71" t="s">
        <v>389</v>
      </c>
      <c r="B586" s="796">
        <f>+SUM(B587:B590)</f>
        <v>30</v>
      </c>
      <c r="C586" s="754"/>
      <c r="D586" s="754"/>
      <c r="E586" s="754"/>
      <c r="F586" s="754"/>
      <c r="G586" s="754"/>
      <c r="H586" s="754"/>
      <c r="I586" s="754"/>
      <c r="J586" s="754"/>
      <c r="K586" s="754"/>
      <c r="L586" s="754"/>
      <c r="M586" s="754"/>
      <c r="N586" s="754"/>
      <c r="O586" s="754"/>
      <c r="P586" s="754"/>
      <c r="Q586" s="796">
        <f>+SUM(Q587:Q590)</f>
        <v>30</v>
      </c>
      <c r="R586" s="754"/>
      <c r="S586" s="754"/>
      <c r="T586" s="754"/>
      <c r="U586" s="754"/>
      <c r="V586" s="754"/>
      <c r="W586" s="754"/>
      <c r="X586" s="754"/>
      <c r="Y586" s="754"/>
      <c r="Z586" s="754"/>
      <c r="AA586" s="754"/>
      <c r="AB586" s="754"/>
      <c r="AC586" s="754"/>
      <c r="AD586" s="754"/>
      <c r="AE586" s="754"/>
      <c r="AF586" s="754"/>
      <c r="AG586" s="797"/>
      <c r="AH586" s="796">
        <f>+SUM(AH587:AH590)</f>
        <v>30</v>
      </c>
      <c r="AI586" s="754"/>
    </row>
    <row r="587" spans="1:35" x14ac:dyDescent="0.2">
      <c r="A587" s="862" t="s">
        <v>390</v>
      </c>
      <c r="B587" s="796">
        <v>1</v>
      </c>
      <c r="C587" s="754">
        <v>1083.27</v>
      </c>
      <c r="D587" s="754">
        <v>1653</v>
      </c>
      <c r="E587" s="754"/>
      <c r="F587" s="754"/>
      <c r="G587" s="754"/>
      <c r="H587" s="754"/>
      <c r="I587" s="754"/>
      <c r="J587" s="754"/>
      <c r="K587" s="754">
        <f t="shared" ref="K587:K590" si="393">+SUM(C587:J587)</f>
        <v>2736.27</v>
      </c>
      <c r="L587" s="754">
        <v>1000</v>
      </c>
      <c r="M587" s="754"/>
      <c r="N587" s="754"/>
      <c r="O587" s="754">
        <f t="shared" ref="O587:O590" si="394">+K587*12+L587</f>
        <v>33835.24</v>
      </c>
      <c r="P587" s="754">
        <f t="shared" ref="P587:P590" si="395">(K587*B587)*12+(L587*B587)</f>
        <v>33835.24</v>
      </c>
      <c r="Q587" s="796">
        <v>1</v>
      </c>
      <c r="R587" s="754">
        <v>1083.27</v>
      </c>
      <c r="S587" s="754">
        <v>1653</v>
      </c>
      <c r="T587" s="754"/>
      <c r="U587" s="754"/>
      <c r="V587" s="754"/>
      <c r="W587" s="754"/>
      <c r="X587" s="754"/>
      <c r="Y587" s="754"/>
      <c r="Z587" s="754">
        <f t="shared" ref="Z587:Z590" si="396">+SUM(R587:Y587)</f>
        <v>2736.27</v>
      </c>
      <c r="AA587" s="754">
        <v>1000</v>
      </c>
      <c r="AB587" s="754"/>
      <c r="AC587" s="754"/>
      <c r="AD587" s="754">
        <f t="shared" ref="AD587:AD590" si="397">+Z587*12+AA587</f>
        <v>33835.24</v>
      </c>
      <c r="AE587" s="754">
        <f t="shared" ref="AE587:AE590" si="398">(Z587*Q587)*12+(AA587*Q587)</f>
        <v>33835.24</v>
      </c>
      <c r="AF587" s="754">
        <f t="shared" ref="AF587:AG590" si="399">+AD587-O587</f>
        <v>0</v>
      </c>
      <c r="AG587" s="797">
        <f t="shared" si="399"/>
        <v>0</v>
      </c>
      <c r="AH587" s="796">
        <v>1</v>
      </c>
      <c r="AI587" s="754">
        <v>33835.24</v>
      </c>
    </row>
    <row r="588" spans="1:35" x14ac:dyDescent="0.2">
      <c r="A588" s="862" t="s">
        <v>391</v>
      </c>
      <c r="B588" s="796">
        <v>1</v>
      </c>
      <c r="C588" s="754">
        <v>1062.2</v>
      </c>
      <c r="D588" s="754">
        <v>1653</v>
      </c>
      <c r="E588" s="754"/>
      <c r="F588" s="754"/>
      <c r="G588" s="754"/>
      <c r="H588" s="754"/>
      <c r="I588" s="754"/>
      <c r="J588" s="754"/>
      <c r="K588" s="754">
        <f t="shared" si="393"/>
        <v>2715.2</v>
      </c>
      <c r="L588" s="754">
        <v>1000</v>
      </c>
      <c r="M588" s="754"/>
      <c r="N588" s="754"/>
      <c r="O588" s="754">
        <f t="shared" si="394"/>
        <v>33582.399999999994</v>
      </c>
      <c r="P588" s="754">
        <f t="shared" si="395"/>
        <v>33582.399999999994</v>
      </c>
      <c r="Q588" s="796">
        <v>1</v>
      </c>
      <c r="R588" s="754">
        <v>1062.2</v>
      </c>
      <c r="S588" s="754">
        <v>1653</v>
      </c>
      <c r="T588" s="754"/>
      <c r="U588" s="754"/>
      <c r="V588" s="754"/>
      <c r="W588" s="754"/>
      <c r="X588" s="754"/>
      <c r="Y588" s="754"/>
      <c r="Z588" s="754">
        <f t="shared" si="396"/>
        <v>2715.2</v>
      </c>
      <c r="AA588" s="754">
        <v>1000</v>
      </c>
      <c r="AB588" s="754"/>
      <c r="AC588" s="754"/>
      <c r="AD588" s="754">
        <f t="shared" si="397"/>
        <v>33582.399999999994</v>
      </c>
      <c r="AE588" s="754">
        <f t="shared" si="398"/>
        <v>33582.399999999994</v>
      </c>
      <c r="AF588" s="754">
        <f t="shared" si="399"/>
        <v>0</v>
      </c>
      <c r="AG588" s="797">
        <f t="shared" si="399"/>
        <v>0</v>
      </c>
      <c r="AH588" s="796">
        <v>1</v>
      </c>
      <c r="AI588" s="754">
        <v>33582.399999999994</v>
      </c>
    </row>
    <row r="589" spans="1:35" x14ac:dyDescent="0.2">
      <c r="A589" s="862" t="s">
        <v>392</v>
      </c>
      <c r="B589" s="796">
        <v>1</v>
      </c>
      <c r="C589" s="754">
        <v>742.83</v>
      </c>
      <c r="D589" s="754">
        <v>1653</v>
      </c>
      <c r="E589" s="754"/>
      <c r="F589" s="754"/>
      <c r="G589" s="754"/>
      <c r="H589" s="754"/>
      <c r="I589" s="754"/>
      <c r="J589" s="754"/>
      <c r="K589" s="754">
        <f t="shared" si="393"/>
        <v>2395.83</v>
      </c>
      <c r="L589" s="754">
        <v>1000</v>
      </c>
      <c r="M589" s="754"/>
      <c r="N589" s="754"/>
      <c r="O589" s="754">
        <f t="shared" si="394"/>
        <v>29749.96</v>
      </c>
      <c r="P589" s="754">
        <f t="shared" si="395"/>
        <v>29749.96</v>
      </c>
      <c r="Q589" s="796">
        <v>1</v>
      </c>
      <c r="R589" s="754">
        <v>742.83</v>
      </c>
      <c r="S589" s="754">
        <v>1653</v>
      </c>
      <c r="T589" s="754"/>
      <c r="U589" s="754"/>
      <c r="V589" s="754"/>
      <c r="W589" s="754"/>
      <c r="X589" s="754"/>
      <c r="Y589" s="754"/>
      <c r="Z589" s="754">
        <f t="shared" si="396"/>
        <v>2395.83</v>
      </c>
      <c r="AA589" s="754">
        <v>1000</v>
      </c>
      <c r="AB589" s="754"/>
      <c r="AC589" s="754"/>
      <c r="AD589" s="754">
        <f t="shared" si="397"/>
        <v>29749.96</v>
      </c>
      <c r="AE589" s="754">
        <f t="shared" si="398"/>
        <v>29749.96</v>
      </c>
      <c r="AF589" s="754">
        <f t="shared" si="399"/>
        <v>0</v>
      </c>
      <c r="AG589" s="797">
        <f t="shared" si="399"/>
        <v>0</v>
      </c>
      <c r="AH589" s="796">
        <v>1</v>
      </c>
      <c r="AI589" s="754">
        <v>29749.96</v>
      </c>
    </row>
    <row r="590" spans="1:35" x14ac:dyDescent="0.2">
      <c r="A590" s="862" t="s">
        <v>439</v>
      </c>
      <c r="B590" s="796">
        <v>27</v>
      </c>
      <c r="C590" s="754">
        <v>755.54</v>
      </c>
      <c r="D590" s="754">
        <v>1653</v>
      </c>
      <c r="E590" s="754"/>
      <c r="F590" s="754"/>
      <c r="G590" s="754"/>
      <c r="H590" s="754"/>
      <c r="I590" s="754"/>
      <c r="J590" s="754"/>
      <c r="K590" s="754">
        <f t="shared" si="393"/>
        <v>2408.54</v>
      </c>
      <c r="L590" s="754">
        <v>1000</v>
      </c>
      <c r="M590" s="754"/>
      <c r="N590" s="754"/>
      <c r="O590" s="754">
        <f t="shared" si="394"/>
        <v>29902.48</v>
      </c>
      <c r="P590" s="754">
        <f t="shared" si="395"/>
        <v>807366.96</v>
      </c>
      <c r="Q590" s="796">
        <v>27</v>
      </c>
      <c r="R590" s="754">
        <v>755.54</v>
      </c>
      <c r="S590" s="754">
        <v>1653</v>
      </c>
      <c r="T590" s="754"/>
      <c r="U590" s="754"/>
      <c r="V590" s="754"/>
      <c r="W590" s="754"/>
      <c r="X590" s="754"/>
      <c r="Y590" s="754"/>
      <c r="Z590" s="754">
        <f t="shared" si="396"/>
        <v>2408.54</v>
      </c>
      <c r="AA590" s="754">
        <v>1000</v>
      </c>
      <c r="AB590" s="754"/>
      <c r="AC590" s="754"/>
      <c r="AD590" s="754">
        <f t="shared" si="397"/>
        <v>29902.48</v>
      </c>
      <c r="AE590" s="754">
        <f t="shared" si="398"/>
        <v>807366.96</v>
      </c>
      <c r="AF590" s="754">
        <f t="shared" si="399"/>
        <v>0</v>
      </c>
      <c r="AG590" s="797">
        <f t="shared" si="399"/>
        <v>0</v>
      </c>
      <c r="AH590" s="796">
        <v>27</v>
      </c>
      <c r="AI590" s="754">
        <v>807366.96</v>
      </c>
    </row>
    <row r="591" spans="1:35" x14ac:dyDescent="0.2">
      <c r="A591" s="71" t="s">
        <v>393</v>
      </c>
      <c r="B591" s="796">
        <f>+SUM(B592)</f>
        <v>3</v>
      </c>
      <c r="C591" s="754"/>
      <c r="D591" s="754"/>
      <c r="E591" s="754"/>
      <c r="F591" s="754"/>
      <c r="G591" s="754"/>
      <c r="H591" s="754"/>
      <c r="I591" s="754"/>
      <c r="J591" s="754"/>
      <c r="K591" s="754"/>
      <c r="L591" s="754"/>
      <c r="M591" s="754"/>
      <c r="N591" s="754"/>
      <c r="O591" s="754"/>
      <c r="P591" s="754"/>
      <c r="Q591" s="796">
        <f>+SUM(Q592)</f>
        <v>3</v>
      </c>
      <c r="R591" s="754"/>
      <c r="S591" s="754"/>
      <c r="T591" s="754"/>
      <c r="U591" s="754"/>
      <c r="V591" s="754"/>
      <c r="W591" s="754"/>
      <c r="X591" s="754"/>
      <c r="Y591" s="754"/>
      <c r="Z591" s="754"/>
      <c r="AA591" s="754"/>
      <c r="AB591" s="754"/>
      <c r="AC591" s="754"/>
      <c r="AD591" s="754"/>
      <c r="AE591" s="754"/>
      <c r="AF591" s="754"/>
      <c r="AG591" s="797"/>
      <c r="AH591" s="796">
        <f>+SUM(AH592)</f>
        <v>3</v>
      </c>
      <c r="AI591" s="754"/>
    </row>
    <row r="592" spans="1:35" x14ac:dyDescent="0.2">
      <c r="A592" s="862" t="s">
        <v>442</v>
      </c>
      <c r="B592" s="796">
        <v>3</v>
      </c>
      <c r="C592" s="754">
        <v>705.78</v>
      </c>
      <c r="D592" s="754">
        <v>1200</v>
      </c>
      <c r="E592" s="754"/>
      <c r="F592" s="754"/>
      <c r="G592" s="754"/>
      <c r="H592" s="754"/>
      <c r="I592" s="754"/>
      <c r="J592" s="754"/>
      <c r="K592" s="754">
        <f t="shared" ref="K592" si="400">+SUM(C592:J592)</f>
        <v>1905.78</v>
      </c>
      <c r="L592" s="754">
        <v>1000</v>
      </c>
      <c r="M592" s="754"/>
      <c r="N592" s="754"/>
      <c r="O592" s="754">
        <f t="shared" ref="O592" si="401">+K592*12+L592</f>
        <v>23869.360000000001</v>
      </c>
      <c r="P592" s="754">
        <f t="shared" ref="P592" si="402">(K592*B592)*12+(L592*B592)</f>
        <v>71608.08</v>
      </c>
      <c r="Q592" s="796">
        <v>3</v>
      </c>
      <c r="R592" s="754">
        <v>705.78</v>
      </c>
      <c r="S592" s="754">
        <v>1200</v>
      </c>
      <c r="T592" s="754"/>
      <c r="U592" s="754"/>
      <c r="V592" s="754"/>
      <c r="W592" s="754"/>
      <c r="X592" s="754"/>
      <c r="Y592" s="754"/>
      <c r="Z592" s="754">
        <f t="shared" ref="Z592" si="403">+SUM(R592:Y592)</f>
        <v>1905.78</v>
      </c>
      <c r="AA592" s="754">
        <v>1000</v>
      </c>
      <c r="AB592" s="754"/>
      <c r="AC592" s="754"/>
      <c r="AD592" s="754">
        <f t="shared" ref="AD592" si="404">+Z592*12+AA592</f>
        <v>23869.360000000001</v>
      </c>
      <c r="AE592" s="754">
        <f t="shared" ref="AE592" si="405">(Z592*Q592)*12+(AA592*Q592)</f>
        <v>71608.08</v>
      </c>
      <c r="AF592" s="754">
        <f>+AD592-O592</f>
        <v>0</v>
      </c>
      <c r="AG592" s="797">
        <f>+AE592-P592</f>
        <v>0</v>
      </c>
      <c r="AH592" s="796">
        <v>3</v>
      </c>
      <c r="AI592" s="754">
        <v>71608.08</v>
      </c>
    </row>
    <row r="593" spans="1:35" x14ac:dyDescent="0.2">
      <c r="A593" s="862"/>
      <c r="B593" s="798"/>
      <c r="C593" s="754"/>
      <c r="D593" s="754"/>
      <c r="E593" s="754"/>
      <c r="F593" s="754"/>
      <c r="G593" s="754"/>
      <c r="H593" s="754"/>
      <c r="I593" s="754"/>
      <c r="J593" s="754"/>
      <c r="K593" s="754"/>
      <c r="L593" s="754"/>
      <c r="M593" s="754"/>
      <c r="N593" s="754"/>
      <c r="O593" s="754"/>
      <c r="P593" s="754"/>
      <c r="Q593" s="798"/>
      <c r="R593" s="754"/>
      <c r="S593" s="754"/>
      <c r="T593" s="754"/>
      <c r="U593" s="754"/>
      <c r="V593" s="754"/>
      <c r="W593" s="754"/>
      <c r="X593" s="754"/>
      <c r="Y593" s="754"/>
      <c r="Z593" s="754"/>
      <c r="AA593" s="754"/>
      <c r="AB593" s="754"/>
      <c r="AC593" s="754"/>
      <c r="AD593" s="754"/>
      <c r="AE593" s="754"/>
      <c r="AF593" s="754"/>
      <c r="AG593" s="797"/>
      <c r="AH593" s="798"/>
      <c r="AI593" s="754"/>
    </row>
    <row r="594" spans="1:35" x14ac:dyDescent="0.2">
      <c r="A594" s="857"/>
      <c r="B594" s="798"/>
      <c r="C594" s="754"/>
      <c r="D594" s="754"/>
      <c r="E594" s="754"/>
      <c r="F594" s="754"/>
      <c r="G594" s="754"/>
      <c r="H594" s="754"/>
      <c r="I594" s="754"/>
      <c r="J594" s="754"/>
      <c r="K594" s="754"/>
      <c r="L594" s="754"/>
      <c r="M594" s="754"/>
      <c r="N594" s="754"/>
      <c r="O594" s="754"/>
      <c r="P594" s="754"/>
      <c r="Q594" s="798"/>
      <c r="R594" s="754"/>
      <c r="S594" s="754"/>
      <c r="T594" s="754"/>
      <c r="U594" s="754"/>
      <c r="V594" s="754"/>
      <c r="W594" s="754"/>
      <c r="X594" s="754"/>
      <c r="Y594" s="754"/>
      <c r="Z594" s="754"/>
      <c r="AA594" s="754"/>
      <c r="AB594" s="754"/>
      <c r="AC594" s="754"/>
      <c r="AD594" s="754"/>
      <c r="AE594" s="754"/>
      <c r="AF594" s="754"/>
      <c r="AG594" s="797"/>
      <c r="AH594" s="798"/>
      <c r="AI594" s="754"/>
    </row>
    <row r="595" spans="1:35" x14ac:dyDescent="0.2">
      <c r="A595" s="857"/>
      <c r="B595" s="798"/>
      <c r="C595" s="754"/>
      <c r="D595" s="754"/>
      <c r="E595" s="754"/>
      <c r="F595" s="754"/>
      <c r="G595" s="754"/>
      <c r="H595" s="754"/>
      <c r="I595" s="754"/>
      <c r="J595" s="754"/>
      <c r="K595" s="754"/>
      <c r="L595" s="754"/>
      <c r="M595" s="754"/>
      <c r="N595" s="754"/>
      <c r="O595" s="754"/>
      <c r="P595" s="754"/>
      <c r="Q595" s="798"/>
      <c r="R595" s="754"/>
      <c r="S595" s="754"/>
      <c r="T595" s="754"/>
      <c r="U595" s="754"/>
      <c r="V595" s="754"/>
      <c r="W595" s="754"/>
      <c r="X595" s="754"/>
      <c r="Y595" s="754"/>
      <c r="Z595" s="754"/>
      <c r="AA595" s="754"/>
      <c r="AB595" s="754"/>
      <c r="AC595" s="754"/>
      <c r="AD595" s="754"/>
      <c r="AE595" s="754"/>
      <c r="AF595" s="754"/>
      <c r="AG595" s="797"/>
      <c r="AH595" s="798"/>
      <c r="AI595" s="754"/>
    </row>
    <row r="596" spans="1:35" ht="24" x14ac:dyDescent="0.2">
      <c r="A596" s="871" t="s">
        <v>448</v>
      </c>
      <c r="B596" s="799">
        <f>+B597+B606</f>
        <v>288</v>
      </c>
      <c r="C596" s="754"/>
      <c r="D596" s="754"/>
      <c r="E596" s="754"/>
      <c r="F596" s="754"/>
      <c r="G596" s="754"/>
      <c r="H596" s="754"/>
      <c r="I596" s="754"/>
      <c r="J596" s="754"/>
      <c r="K596" s="754"/>
      <c r="L596" s="754"/>
      <c r="M596" s="754"/>
      <c r="N596" s="754"/>
      <c r="O596" s="754"/>
      <c r="P596" s="754"/>
      <c r="Q596" s="799">
        <f>+Q597+Q606</f>
        <v>288</v>
      </c>
      <c r="R596" s="754"/>
      <c r="S596" s="754"/>
      <c r="T596" s="754"/>
      <c r="U596" s="754"/>
      <c r="V596" s="754"/>
      <c r="W596" s="754"/>
      <c r="X596" s="754"/>
      <c r="Y596" s="754"/>
      <c r="Z596" s="754"/>
      <c r="AA596" s="754"/>
      <c r="AB596" s="754"/>
      <c r="AC596" s="754"/>
      <c r="AD596" s="754"/>
      <c r="AE596" s="754"/>
      <c r="AF596" s="754"/>
      <c r="AG596" s="797"/>
      <c r="AH596" s="799">
        <f>+AH597+AH606</f>
        <v>291</v>
      </c>
      <c r="AI596" s="754"/>
    </row>
    <row r="597" spans="1:35" x14ac:dyDescent="0.2">
      <c r="A597" s="871" t="s">
        <v>389</v>
      </c>
      <c r="B597" s="795">
        <f>+SUM(B598:B605)</f>
        <v>223</v>
      </c>
      <c r="C597" s="754"/>
      <c r="D597" s="754"/>
      <c r="E597" s="754"/>
      <c r="F597" s="754"/>
      <c r="G597" s="754"/>
      <c r="H597" s="754"/>
      <c r="I597" s="754"/>
      <c r="J597" s="754"/>
      <c r="K597" s="754"/>
      <c r="L597" s="754"/>
      <c r="M597" s="754"/>
      <c r="N597" s="754"/>
      <c r="O597" s="754"/>
      <c r="P597" s="754"/>
      <c r="Q597" s="795">
        <f>+SUM(Q598:Q605)</f>
        <v>223</v>
      </c>
      <c r="R597" s="754"/>
      <c r="S597" s="754"/>
      <c r="T597" s="754"/>
      <c r="U597" s="754"/>
      <c r="V597" s="754"/>
      <c r="W597" s="754"/>
      <c r="X597" s="754"/>
      <c r="Y597" s="754"/>
      <c r="Z597" s="754"/>
      <c r="AA597" s="754"/>
      <c r="AB597" s="754"/>
      <c r="AC597" s="754"/>
      <c r="AD597" s="754"/>
      <c r="AE597" s="754"/>
      <c r="AF597" s="754"/>
      <c r="AG597" s="797"/>
      <c r="AH597" s="795">
        <f>+SUM(AH598:AH605)</f>
        <v>224</v>
      </c>
      <c r="AI597" s="754"/>
    </row>
    <row r="598" spans="1:35" x14ac:dyDescent="0.2">
      <c r="A598" s="857" t="s">
        <v>408</v>
      </c>
      <c r="B598" s="798">
        <v>2</v>
      </c>
      <c r="C598" s="754">
        <v>2380</v>
      </c>
      <c r="D598" s="754"/>
      <c r="E598" s="754"/>
      <c r="F598" s="754"/>
      <c r="G598" s="754"/>
      <c r="H598" s="754"/>
      <c r="I598" s="754">
        <f>616/2</f>
        <v>308</v>
      </c>
      <c r="J598" s="754">
        <v>670</v>
      </c>
      <c r="K598" s="754">
        <f t="shared" ref="K598:K605" si="406">+SUM(C598:J598)</f>
        <v>3358</v>
      </c>
      <c r="L598" s="754">
        <v>1000</v>
      </c>
      <c r="M598" s="754"/>
      <c r="N598" s="754"/>
      <c r="O598" s="754">
        <f t="shared" ref="O598:O605" si="407">+K598*12+L598</f>
        <v>41296</v>
      </c>
      <c r="P598" s="754">
        <f t="shared" ref="P598:P605" si="408">(K598*B598)*12+(L598*B598)</f>
        <v>82592</v>
      </c>
      <c r="Q598" s="798">
        <v>2</v>
      </c>
      <c r="R598" s="754">
        <v>2380</v>
      </c>
      <c r="S598" s="754"/>
      <c r="T598" s="754"/>
      <c r="U598" s="754"/>
      <c r="V598" s="754"/>
      <c r="W598" s="754"/>
      <c r="X598" s="754">
        <f>616/2</f>
        <v>308</v>
      </c>
      <c r="Y598" s="754">
        <v>670</v>
      </c>
      <c r="Z598" s="754">
        <f t="shared" ref="Z598:Z605" si="409">+SUM(R598:Y598)</f>
        <v>3358</v>
      </c>
      <c r="AA598" s="754">
        <v>1000</v>
      </c>
      <c r="AB598" s="754"/>
      <c r="AC598" s="754"/>
      <c r="AD598" s="754">
        <f t="shared" ref="AD598:AD605" si="410">+Z598*12+AA598</f>
        <v>41296</v>
      </c>
      <c r="AE598" s="754">
        <f t="shared" ref="AE598:AE605" si="411">(Z598*Q598)*12+(AA598*Q598)</f>
        <v>82592</v>
      </c>
      <c r="AF598" s="754">
        <f t="shared" ref="AF598:AG605" si="412">+AD598-O598</f>
        <v>0</v>
      </c>
      <c r="AG598" s="797">
        <f t="shared" si="412"/>
        <v>0</v>
      </c>
      <c r="AH598" s="798">
        <v>2</v>
      </c>
      <c r="AI598" s="754">
        <v>82592</v>
      </c>
    </row>
    <row r="599" spans="1:35" x14ac:dyDescent="0.2">
      <c r="A599" s="857" t="s">
        <v>450</v>
      </c>
      <c r="B599" s="798">
        <v>1</v>
      </c>
      <c r="C599" s="754">
        <v>2324</v>
      </c>
      <c r="D599" s="754"/>
      <c r="E599" s="754"/>
      <c r="F599" s="754"/>
      <c r="G599" s="754"/>
      <c r="H599" s="754"/>
      <c r="I599" s="754">
        <v>308</v>
      </c>
      <c r="J599" s="754">
        <v>650</v>
      </c>
      <c r="K599" s="754">
        <f t="shared" si="406"/>
        <v>3282</v>
      </c>
      <c r="L599" s="754">
        <v>1000</v>
      </c>
      <c r="M599" s="754"/>
      <c r="N599" s="754"/>
      <c r="O599" s="754">
        <f t="shared" si="407"/>
        <v>40384</v>
      </c>
      <c r="P599" s="754">
        <f t="shared" si="408"/>
        <v>40384</v>
      </c>
      <c r="Q599" s="798">
        <v>1</v>
      </c>
      <c r="R599" s="754">
        <v>2324</v>
      </c>
      <c r="S599" s="754"/>
      <c r="T599" s="754"/>
      <c r="U599" s="754"/>
      <c r="V599" s="754"/>
      <c r="W599" s="754"/>
      <c r="X599" s="754">
        <v>308</v>
      </c>
      <c r="Y599" s="754">
        <v>650</v>
      </c>
      <c r="Z599" s="754">
        <f t="shared" si="409"/>
        <v>3282</v>
      </c>
      <c r="AA599" s="754">
        <v>1000</v>
      </c>
      <c r="AB599" s="754"/>
      <c r="AC599" s="754"/>
      <c r="AD599" s="754">
        <f t="shared" si="410"/>
        <v>40384</v>
      </c>
      <c r="AE599" s="754">
        <f t="shared" si="411"/>
        <v>40384</v>
      </c>
      <c r="AF599" s="754">
        <f t="shared" si="412"/>
        <v>0</v>
      </c>
      <c r="AG599" s="797">
        <f t="shared" si="412"/>
        <v>0</v>
      </c>
      <c r="AH599" s="798">
        <v>1</v>
      </c>
      <c r="AI599" s="754">
        <v>40384</v>
      </c>
    </row>
    <row r="600" spans="1:35" x14ac:dyDescent="0.2">
      <c r="A600" s="857" t="s">
        <v>390</v>
      </c>
      <c r="B600" s="798">
        <v>14</v>
      </c>
      <c r="C600" s="754">
        <v>2145</v>
      </c>
      <c r="D600" s="754"/>
      <c r="E600" s="754"/>
      <c r="F600" s="754"/>
      <c r="G600" s="754"/>
      <c r="H600" s="754"/>
      <c r="I600" s="754">
        <v>211.57142857142858</v>
      </c>
      <c r="J600" s="754">
        <v>620</v>
      </c>
      <c r="K600" s="754">
        <f t="shared" si="406"/>
        <v>2976.5714285714284</v>
      </c>
      <c r="L600" s="754">
        <v>1000</v>
      </c>
      <c r="M600" s="754"/>
      <c r="N600" s="754"/>
      <c r="O600" s="754">
        <f t="shared" si="407"/>
        <v>36718.857142857145</v>
      </c>
      <c r="P600" s="754">
        <f t="shared" si="408"/>
        <v>514064</v>
      </c>
      <c r="Q600" s="798">
        <v>14</v>
      </c>
      <c r="R600" s="754">
        <v>2145</v>
      </c>
      <c r="S600" s="754"/>
      <c r="T600" s="754"/>
      <c r="U600" s="754"/>
      <c r="V600" s="754"/>
      <c r="W600" s="754"/>
      <c r="X600" s="754">
        <v>211.57142857142858</v>
      </c>
      <c r="Y600" s="754">
        <v>620</v>
      </c>
      <c r="Z600" s="754">
        <f t="shared" si="409"/>
        <v>2976.5714285714284</v>
      </c>
      <c r="AA600" s="754">
        <v>1000</v>
      </c>
      <c r="AB600" s="754"/>
      <c r="AC600" s="754"/>
      <c r="AD600" s="754">
        <f t="shared" si="410"/>
        <v>36718.857142857145</v>
      </c>
      <c r="AE600" s="754">
        <f t="shared" si="411"/>
        <v>514064</v>
      </c>
      <c r="AF600" s="754">
        <f t="shared" si="412"/>
        <v>0</v>
      </c>
      <c r="AG600" s="797">
        <f t="shared" si="412"/>
        <v>0</v>
      </c>
      <c r="AH600" s="798">
        <v>14</v>
      </c>
      <c r="AI600" s="754">
        <v>514064</v>
      </c>
    </row>
    <row r="601" spans="1:35" x14ac:dyDescent="0.2">
      <c r="A601" s="857" t="s">
        <v>391</v>
      </c>
      <c r="B601" s="798">
        <v>24</v>
      </c>
      <c r="C601" s="754">
        <v>2127</v>
      </c>
      <c r="D601" s="754"/>
      <c r="E601" s="754"/>
      <c r="F601" s="754"/>
      <c r="G601" s="754"/>
      <c r="H601" s="754"/>
      <c r="I601" s="754">
        <v>214.25</v>
      </c>
      <c r="J601" s="754">
        <v>550</v>
      </c>
      <c r="K601" s="754">
        <f t="shared" si="406"/>
        <v>2891.25</v>
      </c>
      <c r="L601" s="754">
        <v>1000</v>
      </c>
      <c r="M601" s="754"/>
      <c r="N601" s="754"/>
      <c r="O601" s="754">
        <f t="shared" si="407"/>
        <v>35695</v>
      </c>
      <c r="P601" s="754">
        <f t="shared" si="408"/>
        <v>856680</v>
      </c>
      <c r="Q601" s="798">
        <v>24</v>
      </c>
      <c r="R601" s="754">
        <v>2127</v>
      </c>
      <c r="S601" s="754"/>
      <c r="T601" s="754"/>
      <c r="U601" s="754"/>
      <c r="V601" s="754"/>
      <c r="W601" s="754"/>
      <c r="X601" s="754">
        <v>214.25</v>
      </c>
      <c r="Y601" s="754">
        <v>550</v>
      </c>
      <c r="Z601" s="754">
        <f t="shared" si="409"/>
        <v>2891.25</v>
      </c>
      <c r="AA601" s="754">
        <v>1000</v>
      </c>
      <c r="AB601" s="754"/>
      <c r="AC601" s="754"/>
      <c r="AD601" s="754">
        <f t="shared" si="410"/>
        <v>35695</v>
      </c>
      <c r="AE601" s="754">
        <f t="shared" si="411"/>
        <v>856680</v>
      </c>
      <c r="AF601" s="754">
        <f t="shared" si="412"/>
        <v>0</v>
      </c>
      <c r="AG601" s="797">
        <f t="shared" si="412"/>
        <v>0</v>
      </c>
      <c r="AH601" s="798">
        <v>24</v>
      </c>
      <c r="AI601" s="754">
        <v>856680</v>
      </c>
    </row>
    <row r="602" spans="1:35" x14ac:dyDescent="0.2">
      <c r="A602" s="857" t="s">
        <v>392</v>
      </c>
      <c r="B602" s="796">
        <v>64</v>
      </c>
      <c r="C602" s="754">
        <v>2109</v>
      </c>
      <c r="D602" s="754"/>
      <c r="E602" s="754"/>
      <c r="F602" s="754"/>
      <c r="G602" s="754"/>
      <c r="H602" s="754"/>
      <c r="I602" s="754">
        <v>218.9375</v>
      </c>
      <c r="J602" s="754">
        <v>525</v>
      </c>
      <c r="K602" s="754">
        <f t="shared" si="406"/>
        <v>2852.9375</v>
      </c>
      <c r="L602" s="754">
        <v>1000</v>
      </c>
      <c r="M602" s="754"/>
      <c r="N602" s="754"/>
      <c r="O602" s="754">
        <f t="shared" si="407"/>
        <v>35235.25</v>
      </c>
      <c r="P602" s="754">
        <f t="shared" si="408"/>
        <v>2255056</v>
      </c>
      <c r="Q602" s="796">
        <v>64</v>
      </c>
      <c r="R602" s="754">
        <v>2109</v>
      </c>
      <c r="S602" s="754"/>
      <c r="T602" s="754"/>
      <c r="U602" s="754"/>
      <c r="V602" s="754"/>
      <c r="W602" s="754"/>
      <c r="X602" s="754">
        <v>218.9375</v>
      </c>
      <c r="Y602" s="754">
        <v>525</v>
      </c>
      <c r="Z602" s="754">
        <f t="shared" si="409"/>
        <v>2852.9375</v>
      </c>
      <c r="AA602" s="754">
        <v>1000</v>
      </c>
      <c r="AB602" s="754"/>
      <c r="AC602" s="754"/>
      <c r="AD602" s="754">
        <f t="shared" si="410"/>
        <v>35235.25</v>
      </c>
      <c r="AE602" s="754">
        <f t="shared" si="411"/>
        <v>2255056</v>
      </c>
      <c r="AF602" s="754">
        <f t="shared" si="412"/>
        <v>0</v>
      </c>
      <c r="AG602" s="797">
        <f t="shared" si="412"/>
        <v>0</v>
      </c>
      <c r="AH602" s="796">
        <v>64</v>
      </c>
      <c r="AI602" s="754">
        <v>2255056</v>
      </c>
    </row>
    <row r="603" spans="1:35" x14ac:dyDescent="0.2">
      <c r="A603" s="857" t="s">
        <v>439</v>
      </c>
      <c r="B603" s="798">
        <v>25</v>
      </c>
      <c r="C603" s="754">
        <v>2091</v>
      </c>
      <c r="D603" s="754"/>
      <c r="E603" s="754"/>
      <c r="F603" s="754"/>
      <c r="G603" s="754"/>
      <c r="H603" s="754"/>
      <c r="I603" s="754">
        <v>158</v>
      </c>
      <c r="J603" s="754">
        <v>450</v>
      </c>
      <c r="K603" s="754">
        <f t="shared" si="406"/>
        <v>2699</v>
      </c>
      <c r="L603" s="754">
        <v>1000</v>
      </c>
      <c r="M603" s="754"/>
      <c r="N603" s="754"/>
      <c r="O603" s="754">
        <f t="shared" si="407"/>
        <v>33388</v>
      </c>
      <c r="P603" s="754">
        <f t="shared" si="408"/>
        <v>834700</v>
      </c>
      <c r="Q603" s="798">
        <v>25</v>
      </c>
      <c r="R603" s="754">
        <v>2091</v>
      </c>
      <c r="S603" s="754"/>
      <c r="T603" s="754"/>
      <c r="U603" s="754"/>
      <c r="V603" s="754"/>
      <c r="W603" s="754"/>
      <c r="X603" s="754">
        <v>158</v>
      </c>
      <c r="Y603" s="754">
        <v>450</v>
      </c>
      <c r="Z603" s="754">
        <f t="shared" si="409"/>
        <v>2699</v>
      </c>
      <c r="AA603" s="754">
        <v>1000</v>
      </c>
      <c r="AB603" s="754"/>
      <c r="AC603" s="754"/>
      <c r="AD603" s="754">
        <f t="shared" si="410"/>
        <v>33388</v>
      </c>
      <c r="AE603" s="754">
        <f t="shared" si="411"/>
        <v>834700</v>
      </c>
      <c r="AF603" s="754">
        <f t="shared" si="412"/>
        <v>0</v>
      </c>
      <c r="AG603" s="797">
        <f t="shared" si="412"/>
        <v>0</v>
      </c>
      <c r="AH603" s="798">
        <v>25</v>
      </c>
      <c r="AI603" s="754">
        <v>834700</v>
      </c>
    </row>
    <row r="604" spans="1:35" x14ac:dyDescent="0.2">
      <c r="A604" s="857" t="s">
        <v>409</v>
      </c>
      <c r="B604" s="798">
        <v>23</v>
      </c>
      <c r="C604" s="754">
        <v>2078</v>
      </c>
      <c r="D604" s="754"/>
      <c r="E604" s="754"/>
      <c r="F604" s="754"/>
      <c r="G604" s="754"/>
      <c r="H604" s="754"/>
      <c r="I604" s="754">
        <v>158</v>
      </c>
      <c r="J604" s="754">
        <v>420</v>
      </c>
      <c r="K604" s="754">
        <f t="shared" si="406"/>
        <v>2656</v>
      </c>
      <c r="L604" s="754">
        <v>1000</v>
      </c>
      <c r="M604" s="754"/>
      <c r="N604" s="754"/>
      <c r="O604" s="754">
        <f t="shared" si="407"/>
        <v>32872</v>
      </c>
      <c r="P604" s="754">
        <f t="shared" si="408"/>
        <v>756056</v>
      </c>
      <c r="Q604" s="798">
        <v>23</v>
      </c>
      <c r="R604" s="754">
        <v>2078</v>
      </c>
      <c r="S604" s="754"/>
      <c r="T604" s="754"/>
      <c r="U604" s="754"/>
      <c r="V604" s="754"/>
      <c r="W604" s="754"/>
      <c r="X604" s="754">
        <v>158</v>
      </c>
      <c r="Y604" s="754">
        <v>420</v>
      </c>
      <c r="Z604" s="754">
        <f t="shared" si="409"/>
        <v>2656</v>
      </c>
      <c r="AA604" s="754">
        <v>1000</v>
      </c>
      <c r="AB604" s="754"/>
      <c r="AC604" s="754"/>
      <c r="AD604" s="754">
        <f t="shared" si="410"/>
        <v>32872</v>
      </c>
      <c r="AE604" s="754">
        <f t="shared" si="411"/>
        <v>756056</v>
      </c>
      <c r="AF604" s="754">
        <f t="shared" si="412"/>
        <v>0</v>
      </c>
      <c r="AG604" s="797">
        <f t="shared" si="412"/>
        <v>0</v>
      </c>
      <c r="AH604" s="798">
        <v>23</v>
      </c>
      <c r="AI604" s="754">
        <v>756056</v>
      </c>
    </row>
    <row r="605" spans="1:35" x14ac:dyDescent="0.2">
      <c r="A605" s="857" t="s">
        <v>440</v>
      </c>
      <c r="B605" s="798">
        <f>54+16</f>
        <v>70</v>
      </c>
      <c r="C605" s="754">
        <v>2068</v>
      </c>
      <c r="D605" s="754"/>
      <c r="E605" s="754"/>
      <c r="F605" s="754"/>
      <c r="G605" s="754"/>
      <c r="H605" s="754"/>
      <c r="I605" s="754">
        <v>220.14285714285714</v>
      </c>
      <c r="J605" s="754">
        <v>330</v>
      </c>
      <c r="K605" s="754">
        <f t="shared" si="406"/>
        <v>2618.1428571428573</v>
      </c>
      <c r="L605" s="754">
        <v>1000</v>
      </c>
      <c r="M605" s="754"/>
      <c r="N605" s="754"/>
      <c r="O605" s="754">
        <f t="shared" si="407"/>
        <v>32417.71428571429</v>
      </c>
      <c r="P605" s="754">
        <f t="shared" si="408"/>
        <v>2269240</v>
      </c>
      <c r="Q605" s="798">
        <f>54+16</f>
        <v>70</v>
      </c>
      <c r="R605" s="754">
        <v>2068</v>
      </c>
      <c r="S605" s="754"/>
      <c r="T605" s="754"/>
      <c r="U605" s="754"/>
      <c r="V605" s="754"/>
      <c r="W605" s="754"/>
      <c r="X605" s="754">
        <v>220.14285714285714</v>
      </c>
      <c r="Y605" s="754">
        <v>330</v>
      </c>
      <c r="Z605" s="754">
        <f t="shared" si="409"/>
        <v>2618.1428571428573</v>
      </c>
      <c r="AA605" s="754">
        <v>1000</v>
      </c>
      <c r="AB605" s="754"/>
      <c r="AC605" s="754"/>
      <c r="AD605" s="754">
        <f t="shared" si="410"/>
        <v>32417.71428571429</v>
      </c>
      <c r="AE605" s="754">
        <f t="shared" si="411"/>
        <v>2269240</v>
      </c>
      <c r="AF605" s="754">
        <f t="shared" si="412"/>
        <v>0</v>
      </c>
      <c r="AG605" s="797">
        <f t="shared" si="412"/>
        <v>0</v>
      </c>
      <c r="AH605" s="798">
        <f>54+16+1</f>
        <v>71</v>
      </c>
      <c r="AI605" s="754">
        <v>2300912</v>
      </c>
    </row>
    <row r="606" spans="1:35" x14ac:dyDescent="0.2">
      <c r="A606" s="871" t="s">
        <v>507</v>
      </c>
      <c r="B606" s="799">
        <f>+SUM(B607:B611)</f>
        <v>65</v>
      </c>
      <c r="C606" s="754"/>
      <c r="D606" s="754"/>
      <c r="E606" s="754"/>
      <c r="F606" s="754"/>
      <c r="G606" s="754"/>
      <c r="H606" s="754"/>
      <c r="I606" s="754"/>
      <c r="J606" s="754"/>
      <c r="K606" s="754"/>
      <c r="L606" s="754"/>
      <c r="M606" s="754"/>
      <c r="N606" s="754"/>
      <c r="O606" s="754"/>
      <c r="P606" s="754"/>
      <c r="Q606" s="799">
        <f>+SUM(Q607:Q611)</f>
        <v>65</v>
      </c>
      <c r="R606" s="754"/>
      <c r="S606" s="754"/>
      <c r="T606" s="754"/>
      <c r="U606" s="754"/>
      <c r="V606" s="754"/>
      <c r="W606" s="754"/>
      <c r="X606" s="754"/>
      <c r="Y606" s="754"/>
      <c r="Z606" s="754"/>
      <c r="AA606" s="754"/>
      <c r="AB606" s="754"/>
      <c r="AC606" s="754"/>
      <c r="AD606" s="754"/>
      <c r="AE606" s="754"/>
      <c r="AF606" s="754"/>
      <c r="AG606" s="797"/>
      <c r="AH606" s="799">
        <f>+SUM(AH607:AH611)</f>
        <v>67</v>
      </c>
      <c r="AI606" s="754"/>
    </row>
    <row r="607" spans="1:35" x14ac:dyDescent="0.2">
      <c r="A607" s="857" t="s">
        <v>394</v>
      </c>
      <c r="B607" s="796">
        <v>1</v>
      </c>
      <c r="C607" s="754">
        <v>2086</v>
      </c>
      <c r="D607" s="754"/>
      <c r="E607" s="754"/>
      <c r="F607" s="754"/>
      <c r="G607" s="754"/>
      <c r="H607" s="754"/>
      <c r="I607" s="754">
        <v>158</v>
      </c>
      <c r="J607" s="754">
        <v>435</v>
      </c>
      <c r="K607" s="754">
        <f t="shared" ref="K607:K611" si="413">+SUM(C607:J607)</f>
        <v>2679</v>
      </c>
      <c r="L607" s="754">
        <v>1000</v>
      </c>
      <c r="M607" s="754"/>
      <c r="N607" s="754"/>
      <c r="O607" s="754">
        <f t="shared" ref="O607:O611" si="414">+K607*12+L607</f>
        <v>33148</v>
      </c>
      <c r="P607" s="754">
        <f t="shared" ref="P607:P611" si="415">(K607*B607)*12+(L607*B607)</f>
        <v>33148</v>
      </c>
      <c r="Q607" s="796">
        <v>1</v>
      </c>
      <c r="R607" s="754">
        <v>2086</v>
      </c>
      <c r="S607" s="754"/>
      <c r="T607" s="754"/>
      <c r="U607" s="754"/>
      <c r="V607" s="754"/>
      <c r="W607" s="754"/>
      <c r="X607" s="754">
        <v>158</v>
      </c>
      <c r="Y607" s="754">
        <v>435</v>
      </c>
      <c r="Z607" s="754">
        <f t="shared" ref="Z607:Z611" si="416">+SUM(R607:Y607)</f>
        <v>2679</v>
      </c>
      <c r="AA607" s="754">
        <v>1000</v>
      </c>
      <c r="AB607" s="754"/>
      <c r="AC607" s="754"/>
      <c r="AD607" s="754">
        <f t="shared" ref="AD607:AD611" si="417">+Z607*12+AA607</f>
        <v>33148</v>
      </c>
      <c r="AE607" s="754">
        <f t="shared" ref="AE607:AE611" si="418">(Z607*Q607)*12+(AA607*Q607)</f>
        <v>33148</v>
      </c>
      <c r="AF607" s="754">
        <f t="shared" ref="AF607:AG611" si="419">+AD607-O607</f>
        <v>0</v>
      </c>
      <c r="AG607" s="797">
        <f t="shared" si="419"/>
        <v>0</v>
      </c>
      <c r="AH607" s="796">
        <v>1</v>
      </c>
      <c r="AI607" s="754">
        <v>33148</v>
      </c>
    </row>
    <row r="608" spans="1:35" x14ac:dyDescent="0.2">
      <c r="A608" s="857" t="s">
        <v>441</v>
      </c>
      <c r="B608" s="798">
        <v>16</v>
      </c>
      <c r="C608" s="754">
        <v>2077</v>
      </c>
      <c r="D608" s="754"/>
      <c r="E608" s="754"/>
      <c r="F608" s="754"/>
      <c r="G608" s="754"/>
      <c r="H608" s="754"/>
      <c r="I608" s="754">
        <v>186.125</v>
      </c>
      <c r="J608" s="754">
        <v>415</v>
      </c>
      <c r="K608" s="754">
        <f t="shared" si="413"/>
        <v>2678.125</v>
      </c>
      <c r="L608" s="754">
        <v>1000</v>
      </c>
      <c r="M608" s="754"/>
      <c r="N608" s="754"/>
      <c r="O608" s="754">
        <f t="shared" si="414"/>
        <v>33137.5</v>
      </c>
      <c r="P608" s="754">
        <f t="shared" si="415"/>
        <v>530200</v>
      </c>
      <c r="Q608" s="798">
        <v>16</v>
      </c>
      <c r="R608" s="754">
        <v>2077</v>
      </c>
      <c r="S608" s="754"/>
      <c r="T608" s="754"/>
      <c r="U608" s="754"/>
      <c r="V608" s="754"/>
      <c r="W608" s="754"/>
      <c r="X608" s="754">
        <v>186.125</v>
      </c>
      <c r="Y608" s="754">
        <v>415</v>
      </c>
      <c r="Z608" s="754">
        <f t="shared" si="416"/>
        <v>2678.125</v>
      </c>
      <c r="AA608" s="754">
        <v>1000</v>
      </c>
      <c r="AB608" s="754"/>
      <c r="AC608" s="754"/>
      <c r="AD608" s="754">
        <f t="shared" si="417"/>
        <v>33137.5</v>
      </c>
      <c r="AE608" s="754">
        <f t="shared" si="418"/>
        <v>530200</v>
      </c>
      <c r="AF608" s="754">
        <f t="shared" si="419"/>
        <v>0</v>
      </c>
      <c r="AG608" s="797">
        <f t="shared" si="419"/>
        <v>0</v>
      </c>
      <c r="AH608" s="798">
        <v>16</v>
      </c>
      <c r="AI608" s="754">
        <v>530200</v>
      </c>
    </row>
    <row r="609" spans="1:35" x14ac:dyDescent="0.2">
      <c r="A609" s="857" t="s">
        <v>442</v>
      </c>
      <c r="B609" s="798">
        <v>11</v>
      </c>
      <c r="C609" s="754">
        <v>2068</v>
      </c>
      <c r="D609" s="754"/>
      <c r="E609" s="754"/>
      <c r="F609" s="754"/>
      <c r="G609" s="754"/>
      <c r="H609" s="754"/>
      <c r="I609" s="754">
        <v>185.27272727272728</v>
      </c>
      <c r="J609" s="754">
        <v>384</v>
      </c>
      <c r="K609" s="754">
        <f t="shared" si="413"/>
        <v>2637.2727272727275</v>
      </c>
      <c r="L609" s="754">
        <v>1000</v>
      </c>
      <c r="M609" s="754"/>
      <c r="N609" s="754"/>
      <c r="O609" s="754">
        <f t="shared" si="414"/>
        <v>32647.272727272728</v>
      </c>
      <c r="P609" s="754">
        <f t="shared" si="415"/>
        <v>359120.00000000006</v>
      </c>
      <c r="Q609" s="798">
        <v>11</v>
      </c>
      <c r="R609" s="754">
        <v>2068</v>
      </c>
      <c r="S609" s="754"/>
      <c r="T609" s="754"/>
      <c r="U609" s="754"/>
      <c r="V609" s="754"/>
      <c r="W609" s="754"/>
      <c r="X609" s="754">
        <v>185.27272727272728</v>
      </c>
      <c r="Y609" s="754">
        <v>384</v>
      </c>
      <c r="Z609" s="754">
        <f t="shared" si="416"/>
        <v>2637.2727272727275</v>
      </c>
      <c r="AA609" s="754">
        <v>1000</v>
      </c>
      <c r="AB609" s="754"/>
      <c r="AC609" s="754"/>
      <c r="AD609" s="754">
        <f t="shared" si="417"/>
        <v>32647.272727272728</v>
      </c>
      <c r="AE609" s="754">
        <f t="shared" si="418"/>
        <v>359120.00000000006</v>
      </c>
      <c r="AF609" s="754">
        <f t="shared" si="419"/>
        <v>0</v>
      </c>
      <c r="AG609" s="797">
        <f t="shared" si="419"/>
        <v>0</v>
      </c>
      <c r="AH609" s="798">
        <v>11</v>
      </c>
      <c r="AI609" s="754">
        <v>359120</v>
      </c>
    </row>
    <row r="610" spans="1:35" x14ac:dyDescent="0.2">
      <c r="A610" s="857" t="s">
        <v>443</v>
      </c>
      <c r="B610" s="798">
        <v>24</v>
      </c>
      <c r="C610" s="754">
        <v>2059</v>
      </c>
      <c r="D610" s="754"/>
      <c r="E610" s="754"/>
      <c r="F610" s="754"/>
      <c r="G610" s="754"/>
      <c r="H610" s="754"/>
      <c r="I610" s="754">
        <v>170.5</v>
      </c>
      <c r="J610" s="754">
        <v>365</v>
      </c>
      <c r="K610" s="754">
        <f t="shared" si="413"/>
        <v>2594.5</v>
      </c>
      <c r="L610" s="754">
        <v>1000</v>
      </c>
      <c r="M610" s="754"/>
      <c r="N610" s="754"/>
      <c r="O610" s="754">
        <f t="shared" si="414"/>
        <v>32134</v>
      </c>
      <c r="P610" s="754">
        <f t="shared" si="415"/>
        <v>771216</v>
      </c>
      <c r="Q610" s="798">
        <v>24</v>
      </c>
      <c r="R610" s="754">
        <v>2059</v>
      </c>
      <c r="S610" s="754"/>
      <c r="T610" s="754"/>
      <c r="U610" s="754"/>
      <c r="V610" s="754"/>
      <c r="W610" s="754"/>
      <c r="X610" s="754">
        <v>170.5</v>
      </c>
      <c r="Y610" s="754">
        <v>365</v>
      </c>
      <c r="Z610" s="754">
        <f t="shared" si="416"/>
        <v>2594.5</v>
      </c>
      <c r="AA610" s="754">
        <v>1000</v>
      </c>
      <c r="AB610" s="754"/>
      <c r="AC610" s="754"/>
      <c r="AD610" s="754">
        <f t="shared" si="417"/>
        <v>32134</v>
      </c>
      <c r="AE610" s="754">
        <f t="shared" si="418"/>
        <v>771216</v>
      </c>
      <c r="AF610" s="754">
        <f t="shared" si="419"/>
        <v>0</v>
      </c>
      <c r="AG610" s="797">
        <f t="shared" si="419"/>
        <v>0</v>
      </c>
      <c r="AH610" s="798">
        <v>24</v>
      </c>
      <c r="AI610" s="754">
        <v>771216</v>
      </c>
    </row>
    <row r="611" spans="1:35" x14ac:dyDescent="0.2">
      <c r="A611" s="857" t="s">
        <v>451</v>
      </c>
      <c r="B611" s="798">
        <f>9+4</f>
        <v>13</v>
      </c>
      <c r="C611" s="754">
        <v>2041</v>
      </c>
      <c r="D611" s="754"/>
      <c r="E611" s="754"/>
      <c r="F611" s="754"/>
      <c r="G611" s="754"/>
      <c r="H611" s="754"/>
      <c r="I611" s="754">
        <v>165.69230769230768</v>
      </c>
      <c r="J611" s="754">
        <v>330</v>
      </c>
      <c r="K611" s="754">
        <f t="shared" si="413"/>
        <v>2536.6923076923076</v>
      </c>
      <c r="L611" s="754">
        <v>1000</v>
      </c>
      <c r="M611" s="754"/>
      <c r="N611" s="754"/>
      <c r="O611" s="754">
        <f t="shared" si="414"/>
        <v>31440.307692307691</v>
      </c>
      <c r="P611" s="754">
        <f t="shared" si="415"/>
        <v>408724</v>
      </c>
      <c r="Q611" s="798">
        <f>9+4</f>
        <v>13</v>
      </c>
      <c r="R611" s="754">
        <v>2041</v>
      </c>
      <c r="S611" s="754"/>
      <c r="T611" s="754"/>
      <c r="U611" s="754"/>
      <c r="V611" s="754"/>
      <c r="W611" s="754"/>
      <c r="X611" s="754">
        <v>165.69230769230768</v>
      </c>
      <c r="Y611" s="754">
        <v>330</v>
      </c>
      <c r="Z611" s="754">
        <f t="shared" si="416"/>
        <v>2536.6923076923076</v>
      </c>
      <c r="AA611" s="754">
        <v>1000</v>
      </c>
      <c r="AB611" s="754"/>
      <c r="AC611" s="754"/>
      <c r="AD611" s="754">
        <f t="shared" si="417"/>
        <v>31440.307692307691</v>
      </c>
      <c r="AE611" s="754">
        <f t="shared" si="418"/>
        <v>408724</v>
      </c>
      <c r="AF611" s="754">
        <f t="shared" si="419"/>
        <v>0</v>
      </c>
      <c r="AG611" s="797">
        <f t="shared" si="419"/>
        <v>0</v>
      </c>
      <c r="AH611" s="798">
        <f>9+4+2</f>
        <v>15</v>
      </c>
      <c r="AI611" s="754">
        <v>471420</v>
      </c>
    </row>
    <row r="612" spans="1:35" x14ac:dyDescent="0.2">
      <c r="A612" s="857" t="s">
        <v>700</v>
      </c>
      <c r="B612" s="798"/>
      <c r="C612" s="754"/>
      <c r="D612" s="754"/>
      <c r="E612" s="754"/>
      <c r="F612" s="754"/>
      <c r="G612" s="754"/>
      <c r="H612" s="754"/>
      <c r="I612" s="754"/>
      <c r="J612" s="754"/>
      <c r="K612" s="754"/>
      <c r="L612" s="754"/>
      <c r="M612" s="754"/>
      <c r="N612" s="754"/>
      <c r="O612" s="754"/>
      <c r="P612" s="754"/>
      <c r="Q612" s="798"/>
      <c r="R612" s="754"/>
      <c r="S612" s="754"/>
      <c r="T612" s="754"/>
      <c r="U612" s="754"/>
      <c r="V612" s="754"/>
      <c r="W612" s="754"/>
      <c r="X612" s="754"/>
      <c r="Y612" s="754"/>
      <c r="Z612" s="754"/>
      <c r="AA612" s="754"/>
      <c r="AB612" s="754"/>
      <c r="AC612" s="754"/>
      <c r="AD612" s="754"/>
      <c r="AE612" s="754"/>
      <c r="AF612" s="754"/>
      <c r="AG612" s="797"/>
      <c r="AH612" s="798"/>
      <c r="AI612" s="754"/>
    </row>
    <row r="613" spans="1:35" ht="36" x14ac:dyDescent="0.2">
      <c r="A613" s="871" t="s">
        <v>511</v>
      </c>
      <c r="B613" s="799">
        <f>+B614+B620+B626+B632+B638</f>
        <v>290</v>
      </c>
      <c r="C613" s="754"/>
      <c r="D613" s="754"/>
      <c r="E613" s="754"/>
      <c r="F613" s="754"/>
      <c r="G613" s="754"/>
      <c r="H613" s="754"/>
      <c r="I613" s="754"/>
      <c r="J613" s="754"/>
      <c r="K613" s="754"/>
      <c r="L613" s="754"/>
      <c r="M613" s="754"/>
      <c r="N613" s="754"/>
      <c r="O613" s="754"/>
      <c r="P613" s="754"/>
      <c r="Q613" s="799">
        <f>+Q614+Q620+Q626+Q632+Q638</f>
        <v>290</v>
      </c>
      <c r="R613" s="754"/>
      <c r="S613" s="754"/>
      <c r="T613" s="754"/>
      <c r="U613" s="754"/>
      <c r="V613" s="754"/>
      <c r="W613" s="754"/>
      <c r="X613" s="754"/>
      <c r="Y613" s="754"/>
      <c r="Z613" s="754"/>
      <c r="AA613" s="754"/>
      <c r="AB613" s="754"/>
      <c r="AC613" s="754"/>
      <c r="AD613" s="754"/>
      <c r="AE613" s="754"/>
      <c r="AF613" s="754"/>
      <c r="AG613" s="797"/>
      <c r="AH613" s="799">
        <f>+AH614+AH620+AH626+AH632+AH638</f>
        <v>291</v>
      </c>
      <c r="AI613" s="754"/>
    </row>
    <row r="614" spans="1:35" x14ac:dyDescent="0.2">
      <c r="A614" s="71" t="s">
        <v>484</v>
      </c>
      <c r="B614" s="799">
        <f>+SUM(B615:B619)</f>
        <v>82</v>
      </c>
      <c r="C614" s="754"/>
      <c r="D614" s="754"/>
      <c r="E614" s="754"/>
      <c r="F614" s="754"/>
      <c r="G614" s="754"/>
      <c r="H614" s="754"/>
      <c r="I614" s="754"/>
      <c r="J614" s="754"/>
      <c r="K614" s="754"/>
      <c r="L614" s="754"/>
      <c r="M614" s="754"/>
      <c r="N614" s="754"/>
      <c r="O614" s="754"/>
      <c r="P614" s="754"/>
      <c r="Q614" s="799">
        <f>+SUM(Q615:Q619)</f>
        <v>82</v>
      </c>
      <c r="R614" s="754"/>
      <c r="S614" s="754"/>
      <c r="T614" s="754"/>
      <c r="U614" s="754"/>
      <c r="V614" s="754"/>
      <c r="W614" s="754"/>
      <c r="X614" s="754"/>
      <c r="Y614" s="754"/>
      <c r="Z614" s="754"/>
      <c r="AA614" s="754"/>
      <c r="AB614" s="754"/>
      <c r="AC614" s="754"/>
      <c r="AD614" s="754"/>
      <c r="AE614" s="754"/>
      <c r="AF614" s="754"/>
      <c r="AG614" s="797"/>
      <c r="AH614" s="799">
        <f>+SUM(AH615:AH619)</f>
        <v>82</v>
      </c>
      <c r="AI614" s="754"/>
    </row>
    <row r="615" spans="1:35" x14ac:dyDescent="0.2">
      <c r="A615" s="862" t="s">
        <v>498</v>
      </c>
      <c r="B615" s="798">
        <v>28</v>
      </c>
      <c r="C615" s="754">
        <v>7266</v>
      </c>
      <c r="D615" s="754"/>
      <c r="E615" s="754"/>
      <c r="F615" s="754"/>
      <c r="G615" s="754"/>
      <c r="H615" s="754"/>
      <c r="I615" s="754">
        <v>1042.8571428571429</v>
      </c>
      <c r="J615" s="754">
        <v>1200</v>
      </c>
      <c r="K615" s="754">
        <f t="shared" ref="K615:K619" si="420">+SUM(C615:J615)</f>
        <v>9508.8571428571431</v>
      </c>
      <c r="L615" s="754">
        <v>1000</v>
      </c>
      <c r="M615" s="754"/>
      <c r="N615" s="754"/>
      <c r="O615" s="754">
        <f t="shared" ref="O615:O619" si="421">+K615*12+L615</f>
        <v>115106.28571428571</v>
      </c>
      <c r="P615" s="754">
        <f t="shared" ref="P615:P619" si="422">(K615*B615)*12+(L615*B615)</f>
        <v>3222976</v>
      </c>
      <c r="Q615" s="798">
        <v>28</v>
      </c>
      <c r="R615" s="754">
        <v>7266</v>
      </c>
      <c r="S615" s="754"/>
      <c r="T615" s="754"/>
      <c r="U615" s="754"/>
      <c r="V615" s="754"/>
      <c r="W615" s="754"/>
      <c r="X615" s="754">
        <v>1042.8571428571429</v>
      </c>
      <c r="Y615" s="754">
        <v>1200</v>
      </c>
      <c r="Z615" s="754">
        <f t="shared" ref="Z615:Z619" si="423">+SUM(R615:Y615)</f>
        <v>9508.8571428571431</v>
      </c>
      <c r="AA615" s="754">
        <v>1000</v>
      </c>
      <c r="AB615" s="754"/>
      <c r="AC615" s="754"/>
      <c r="AD615" s="754">
        <f t="shared" ref="AD615:AD619" si="424">+Z615*12+AA615</f>
        <v>115106.28571428571</v>
      </c>
      <c r="AE615" s="754">
        <f t="shared" ref="AE615:AE619" si="425">(Z615*Q615)*12+(AA615*Q615)</f>
        <v>3222976</v>
      </c>
      <c r="AF615" s="754">
        <f t="shared" ref="AF615:AG619" si="426">+AD615-O615</f>
        <v>0</v>
      </c>
      <c r="AG615" s="797">
        <f t="shared" si="426"/>
        <v>0</v>
      </c>
      <c r="AH615" s="798">
        <v>28</v>
      </c>
      <c r="AI615" s="754">
        <v>3222976</v>
      </c>
    </row>
    <row r="616" spans="1:35" x14ac:dyDescent="0.2">
      <c r="A616" s="862" t="s">
        <v>499</v>
      </c>
      <c r="B616" s="798">
        <v>1</v>
      </c>
      <c r="C616" s="754">
        <v>6826</v>
      </c>
      <c r="D616" s="754"/>
      <c r="E616" s="754"/>
      <c r="F616" s="754"/>
      <c r="G616" s="754"/>
      <c r="H616" s="754"/>
      <c r="I616" s="754">
        <v>450</v>
      </c>
      <c r="J616" s="754">
        <v>980</v>
      </c>
      <c r="K616" s="754">
        <f t="shared" si="420"/>
        <v>8256</v>
      </c>
      <c r="L616" s="754">
        <v>1000</v>
      </c>
      <c r="M616" s="754"/>
      <c r="N616" s="754"/>
      <c r="O616" s="754">
        <f t="shared" si="421"/>
        <v>100072</v>
      </c>
      <c r="P616" s="754">
        <f t="shared" si="422"/>
        <v>100072</v>
      </c>
      <c r="Q616" s="798">
        <v>1</v>
      </c>
      <c r="R616" s="754">
        <v>6826</v>
      </c>
      <c r="S616" s="754"/>
      <c r="T616" s="754"/>
      <c r="U616" s="754"/>
      <c r="V616" s="754"/>
      <c r="W616" s="754"/>
      <c r="X616" s="754">
        <v>450</v>
      </c>
      <c r="Y616" s="754">
        <v>980</v>
      </c>
      <c r="Z616" s="754">
        <f t="shared" si="423"/>
        <v>8256</v>
      </c>
      <c r="AA616" s="754">
        <v>1000</v>
      </c>
      <c r="AB616" s="754"/>
      <c r="AC616" s="754"/>
      <c r="AD616" s="754">
        <f t="shared" si="424"/>
        <v>100072</v>
      </c>
      <c r="AE616" s="754">
        <f t="shared" si="425"/>
        <v>100072</v>
      </c>
      <c r="AF616" s="754">
        <f t="shared" si="426"/>
        <v>0</v>
      </c>
      <c r="AG616" s="797">
        <f t="shared" si="426"/>
        <v>0</v>
      </c>
      <c r="AH616" s="798">
        <v>1</v>
      </c>
      <c r="AI616" s="754">
        <v>100072</v>
      </c>
    </row>
    <row r="617" spans="1:35" x14ac:dyDescent="0.2">
      <c r="A617" s="862" t="s">
        <v>500</v>
      </c>
      <c r="B617" s="798">
        <v>17</v>
      </c>
      <c r="C617" s="754">
        <v>6336</v>
      </c>
      <c r="D617" s="754"/>
      <c r="E617" s="754"/>
      <c r="F617" s="754"/>
      <c r="G617" s="754"/>
      <c r="H617" s="754"/>
      <c r="I617" s="754">
        <v>888.23529411764707</v>
      </c>
      <c r="J617" s="754">
        <v>920</v>
      </c>
      <c r="K617" s="754">
        <f t="shared" si="420"/>
        <v>8144.2352941176468</v>
      </c>
      <c r="L617" s="754">
        <v>1000</v>
      </c>
      <c r="M617" s="754"/>
      <c r="N617" s="754"/>
      <c r="O617" s="754">
        <f t="shared" si="421"/>
        <v>98730.823529411762</v>
      </c>
      <c r="P617" s="754">
        <f t="shared" si="422"/>
        <v>1678424</v>
      </c>
      <c r="Q617" s="798">
        <v>17</v>
      </c>
      <c r="R617" s="754">
        <v>6336</v>
      </c>
      <c r="S617" s="754"/>
      <c r="T617" s="754"/>
      <c r="U617" s="754"/>
      <c r="V617" s="754"/>
      <c r="W617" s="754"/>
      <c r="X617" s="754">
        <v>888.23529411764707</v>
      </c>
      <c r="Y617" s="754">
        <v>920</v>
      </c>
      <c r="Z617" s="754">
        <f t="shared" si="423"/>
        <v>8144.2352941176468</v>
      </c>
      <c r="AA617" s="754">
        <v>1000</v>
      </c>
      <c r="AB617" s="754"/>
      <c r="AC617" s="754"/>
      <c r="AD617" s="754">
        <f t="shared" si="424"/>
        <v>98730.823529411762</v>
      </c>
      <c r="AE617" s="754">
        <f t="shared" si="425"/>
        <v>1678424</v>
      </c>
      <c r="AF617" s="754">
        <f t="shared" si="426"/>
        <v>0</v>
      </c>
      <c r="AG617" s="797">
        <f t="shared" si="426"/>
        <v>0</v>
      </c>
      <c r="AH617" s="798">
        <v>17</v>
      </c>
      <c r="AI617" s="754">
        <v>1678424</v>
      </c>
    </row>
    <row r="618" spans="1:35" x14ac:dyDescent="0.2">
      <c r="A618" s="862" t="s">
        <v>501</v>
      </c>
      <c r="B618" s="798">
        <v>6</v>
      </c>
      <c r="C618" s="754">
        <v>5932</v>
      </c>
      <c r="D618" s="754"/>
      <c r="E618" s="754"/>
      <c r="F618" s="754"/>
      <c r="G618" s="754"/>
      <c r="H618" s="754"/>
      <c r="I618" s="754">
        <v>825</v>
      </c>
      <c r="J618" s="754">
        <v>900</v>
      </c>
      <c r="K618" s="754">
        <f t="shared" si="420"/>
        <v>7657</v>
      </c>
      <c r="L618" s="754">
        <v>1000</v>
      </c>
      <c r="M618" s="754"/>
      <c r="N618" s="754"/>
      <c r="O618" s="754">
        <f t="shared" si="421"/>
        <v>92884</v>
      </c>
      <c r="P618" s="754">
        <f t="shared" si="422"/>
        <v>557304</v>
      </c>
      <c r="Q618" s="798">
        <v>6</v>
      </c>
      <c r="R618" s="754">
        <v>5932</v>
      </c>
      <c r="S618" s="754"/>
      <c r="T618" s="754"/>
      <c r="U618" s="754"/>
      <c r="V618" s="754"/>
      <c r="W618" s="754"/>
      <c r="X618" s="754">
        <v>825</v>
      </c>
      <c r="Y618" s="754">
        <v>900</v>
      </c>
      <c r="Z618" s="754">
        <f t="shared" si="423"/>
        <v>7657</v>
      </c>
      <c r="AA618" s="754">
        <v>1000</v>
      </c>
      <c r="AB618" s="754"/>
      <c r="AC618" s="754"/>
      <c r="AD618" s="754">
        <f t="shared" si="424"/>
        <v>92884</v>
      </c>
      <c r="AE618" s="754">
        <f t="shared" si="425"/>
        <v>557304</v>
      </c>
      <c r="AF618" s="754">
        <f t="shared" si="426"/>
        <v>0</v>
      </c>
      <c r="AG618" s="797">
        <f t="shared" si="426"/>
        <v>0</v>
      </c>
      <c r="AH618" s="798">
        <v>6</v>
      </c>
      <c r="AI618" s="754">
        <v>557304</v>
      </c>
    </row>
    <row r="619" spans="1:35" x14ac:dyDescent="0.2">
      <c r="A619" s="862" t="s">
        <v>502</v>
      </c>
      <c r="B619" s="798">
        <f>27+3</f>
        <v>30</v>
      </c>
      <c r="C619" s="754">
        <v>5532</v>
      </c>
      <c r="D619" s="754"/>
      <c r="E619" s="754"/>
      <c r="F619" s="754"/>
      <c r="G619" s="754"/>
      <c r="H619" s="754"/>
      <c r="I619" s="754">
        <v>356.66666666666669</v>
      </c>
      <c r="J619" s="754">
        <v>840</v>
      </c>
      <c r="K619" s="754">
        <f t="shared" si="420"/>
        <v>6728.666666666667</v>
      </c>
      <c r="L619" s="754">
        <v>1000</v>
      </c>
      <c r="M619" s="754"/>
      <c r="N619" s="754"/>
      <c r="O619" s="754">
        <f t="shared" si="421"/>
        <v>81744</v>
      </c>
      <c r="P619" s="754">
        <f t="shared" si="422"/>
        <v>2452320</v>
      </c>
      <c r="Q619" s="798">
        <f>27+3</f>
        <v>30</v>
      </c>
      <c r="R619" s="754">
        <v>5532</v>
      </c>
      <c r="S619" s="754"/>
      <c r="T619" s="754"/>
      <c r="U619" s="754"/>
      <c r="V619" s="754"/>
      <c r="W619" s="754"/>
      <c r="X619" s="754">
        <v>356.66666666666669</v>
      </c>
      <c r="Y619" s="754">
        <v>840</v>
      </c>
      <c r="Z619" s="754">
        <f t="shared" si="423"/>
        <v>6728.666666666667</v>
      </c>
      <c r="AA619" s="754">
        <v>1000</v>
      </c>
      <c r="AB619" s="754"/>
      <c r="AC619" s="754"/>
      <c r="AD619" s="754">
        <f t="shared" si="424"/>
        <v>81744</v>
      </c>
      <c r="AE619" s="754">
        <f t="shared" si="425"/>
        <v>2452320</v>
      </c>
      <c r="AF619" s="754">
        <f t="shared" si="426"/>
        <v>0</v>
      </c>
      <c r="AG619" s="797">
        <f t="shared" si="426"/>
        <v>0</v>
      </c>
      <c r="AH619" s="798">
        <f>27+3</f>
        <v>30</v>
      </c>
      <c r="AI619" s="754">
        <v>2452320</v>
      </c>
    </row>
    <row r="620" spans="1:35" x14ac:dyDescent="0.2">
      <c r="A620" s="71" t="s">
        <v>503</v>
      </c>
      <c r="B620" s="799">
        <f>+SUM(B621:B625)</f>
        <v>31</v>
      </c>
      <c r="C620" s="754"/>
      <c r="D620" s="754"/>
      <c r="E620" s="754"/>
      <c r="F620" s="754"/>
      <c r="G620" s="754"/>
      <c r="H620" s="754"/>
      <c r="I620" s="754"/>
      <c r="J620" s="754"/>
      <c r="K620" s="754"/>
      <c r="L620" s="754"/>
      <c r="M620" s="754"/>
      <c r="N620" s="754"/>
      <c r="O620" s="754"/>
      <c r="P620" s="754"/>
      <c r="Q620" s="799">
        <f>+SUM(Q621:Q625)</f>
        <v>31</v>
      </c>
      <c r="R620" s="754"/>
      <c r="S620" s="754"/>
      <c r="T620" s="754"/>
      <c r="U620" s="754"/>
      <c r="V620" s="754"/>
      <c r="W620" s="754"/>
      <c r="X620" s="754"/>
      <c r="Y620" s="754"/>
      <c r="Z620" s="754"/>
      <c r="AA620" s="754"/>
      <c r="AB620" s="754"/>
      <c r="AC620" s="754"/>
      <c r="AD620" s="754"/>
      <c r="AE620" s="754"/>
      <c r="AF620" s="754"/>
      <c r="AG620" s="797"/>
      <c r="AH620" s="799">
        <f>+SUM(AH621:AH625)</f>
        <v>31</v>
      </c>
      <c r="AI620" s="754"/>
    </row>
    <row r="621" spans="1:35" x14ac:dyDescent="0.2">
      <c r="A621" s="862" t="s">
        <v>498</v>
      </c>
      <c r="B621" s="796">
        <v>7</v>
      </c>
      <c r="C621" s="754">
        <v>4471</v>
      </c>
      <c r="D621" s="754"/>
      <c r="E621" s="754"/>
      <c r="F621" s="754"/>
      <c r="G621" s="754"/>
      <c r="H621" s="754"/>
      <c r="I621" s="754">
        <v>214.28571428571428</v>
      </c>
      <c r="J621" s="754">
        <v>1250</v>
      </c>
      <c r="K621" s="754">
        <f t="shared" ref="K621:K625" si="427">+SUM(C621:J621)</f>
        <v>5935.2857142857147</v>
      </c>
      <c r="L621" s="754">
        <v>1000</v>
      </c>
      <c r="M621" s="754"/>
      <c r="N621" s="754"/>
      <c r="O621" s="754">
        <f t="shared" ref="O621:O625" si="428">+K621*12+L621</f>
        <v>72223.42857142858</v>
      </c>
      <c r="P621" s="754">
        <f t="shared" ref="P621:P625" si="429">(K621*B621)*12+(L621*B621)</f>
        <v>505564</v>
      </c>
      <c r="Q621" s="796">
        <v>7</v>
      </c>
      <c r="R621" s="754">
        <v>4471</v>
      </c>
      <c r="S621" s="754"/>
      <c r="T621" s="754"/>
      <c r="U621" s="754"/>
      <c r="V621" s="754"/>
      <c r="W621" s="754"/>
      <c r="X621" s="754">
        <v>214.28571428571428</v>
      </c>
      <c r="Y621" s="754">
        <v>1250</v>
      </c>
      <c r="Z621" s="754">
        <f t="shared" ref="Z621:Z625" si="430">+SUM(R621:Y621)</f>
        <v>5935.2857142857147</v>
      </c>
      <c r="AA621" s="754">
        <v>1000</v>
      </c>
      <c r="AB621" s="754"/>
      <c r="AC621" s="754"/>
      <c r="AD621" s="754">
        <f t="shared" ref="AD621:AD625" si="431">+Z621*12+AA621</f>
        <v>72223.42857142858</v>
      </c>
      <c r="AE621" s="754">
        <f t="shared" ref="AE621:AE625" si="432">(Z621*Q621)*12+(AA621*Q621)</f>
        <v>505564</v>
      </c>
      <c r="AF621" s="754">
        <f t="shared" ref="AF621:AG625" si="433">+AD621-O621</f>
        <v>0</v>
      </c>
      <c r="AG621" s="797">
        <f t="shared" si="433"/>
        <v>0</v>
      </c>
      <c r="AH621" s="796">
        <v>7</v>
      </c>
      <c r="AI621" s="754">
        <v>505564</v>
      </c>
    </row>
    <row r="622" spans="1:35" x14ac:dyDescent="0.2">
      <c r="A622" s="862" t="s">
        <v>499</v>
      </c>
      <c r="B622" s="798">
        <v>1</v>
      </c>
      <c r="C622" s="754">
        <v>4158</v>
      </c>
      <c r="D622" s="754"/>
      <c r="E622" s="754"/>
      <c r="F622" s="754"/>
      <c r="G622" s="754"/>
      <c r="H622" s="754"/>
      <c r="I622" s="754">
        <v>750</v>
      </c>
      <c r="J622" s="754">
        <v>1100</v>
      </c>
      <c r="K622" s="754">
        <f t="shared" si="427"/>
        <v>6008</v>
      </c>
      <c r="L622" s="754">
        <v>1000</v>
      </c>
      <c r="M622" s="754"/>
      <c r="N622" s="754"/>
      <c r="O622" s="754">
        <f t="shared" si="428"/>
        <v>73096</v>
      </c>
      <c r="P622" s="754">
        <f t="shared" si="429"/>
        <v>73096</v>
      </c>
      <c r="Q622" s="798">
        <v>1</v>
      </c>
      <c r="R622" s="754">
        <v>4158</v>
      </c>
      <c r="S622" s="754"/>
      <c r="T622" s="754"/>
      <c r="U622" s="754"/>
      <c r="V622" s="754"/>
      <c r="W622" s="754"/>
      <c r="X622" s="754">
        <v>750</v>
      </c>
      <c r="Y622" s="754">
        <v>1100</v>
      </c>
      <c r="Z622" s="754">
        <f t="shared" si="430"/>
        <v>6008</v>
      </c>
      <c r="AA622" s="754">
        <v>1000</v>
      </c>
      <c r="AB622" s="754"/>
      <c r="AC622" s="754"/>
      <c r="AD622" s="754">
        <f t="shared" si="431"/>
        <v>73096</v>
      </c>
      <c r="AE622" s="754">
        <f t="shared" si="432"/>
        <v>73096</v>
      </c>
      <c r="AF622" s="754">
        <f t="shared" si="433"/>
        <v>0</v>
      </c>
      <c r="AG622" s="797">
        <f t="shared" si="433"/>
        <v>0</v>
      </c>
      <c r="AH622" s="798">
        <v>1</v>
      </c>
      <c r="AI622" s="754">
        <v>73096</v>
      </c>
    </row>
    <row r="623" spans="1:35" x14ac:dyDescent="0.2">
      <c r="A623" s="862" t="s">
        <v>500</v>
      </c>
      <c r="B623" s="798">
        <v>1</v>
      </c>
      <c r="C623" s="754">
        <v>3900</v>
      </c>
      <c r="D623" s="754"/>
      <c r="E623" s="754"/>
      <c r="F623" s="754"/>
      <c r="G623" s="754"/>
      <c r="H623" s="754"/>
      <c r="I623" s="754">
        <v>750</v>
      </c>
      <c r="J623" s="754">
        <v>1050</v>
      </c>
      <c r="K623" s="754">
        <f t="shared" si="427"/>
        <v>5700</v>
      </c>
      <c r="L623" s="754">
        <v>1000</v>
      </c>
      <c r="M623" s="754"/>
      <c r="N623" s="754"/>
      <c r="O623" s="754">
        <f t="shared" si="428"/>
        <v>69400</v>
      </c>
      <c r="P623" s="754">
        <f t="shared" si="429"/>
        <v>69400</v>
      </c>
      <c r="Q623" s="798">
        <v>1</v>
      </c>
      <c r="R623" s="754">
        <v>3900</v>
      </c>
      <c r="S623" s="754"/>
      <c r="T623" s="754"/>
      <c r="U623" s="754"/>
      <c r="V623" s="754"/>
      <c r="W623" s="754"/>
      <c r="X623" s="754">
        <v>750</v>
      </c>
      <c r="Y623" s="754">
        <v>1050</v>
      </c>
      <c r="Z623" s="754">
        <f t="shared" si="430"/>
        <v>5700</v>
      </c>
      <c r="AA623" s="754">
        <v>1000</v>
      </c>
      <c r="AB623" s="754"/>
      <c r="AC623" s="754"/>
      <c r="AD623" s="754">
        <f t="shared" si="431"/>
        <v>69400</v>
      </c>
      <c r="AE623" s="754">
        <f t="shared" si="432"/>
        <v>69400</v>
      </c>
      <c r="AF623" s="754">
        <f t="shared" si="433"/>
        <v>0</v>
      </c>
      <c r="AG623" s="797">
        <f t="shared" si="433"/>
        <v>0</v>
      </c>
      <c r="AH623" s="798">
        <v>1</v>
      </c>
      <c r="AI623" s="754">
        <v>69400</v>
      </c>
    </row>
    <row r="624" spans="1:35" x14ac:dyDescent="0.2">
      <c r="A624" s="862" t="s">
        <v>501</v>
      </c>
      <c r="B624" s="798">
        <v>5</v>
      </c>
      <c r="C624" s="754">
        <v>3660</v>
      </c>
      <c r="D624" s="754"/>
      <c r="E624" s="754"/>
      <c r="F624" s="754"/>
      <c r="G624" s="754"/>
      <c r="H624" s="754"/>
      <c r="I624" s="754">
        <v>360</v>
      </c>
      <c r="J624" s="754">
        <v>1000</v>
      </c>
      <c r="K624" s="754">
        <f t="shared" si="427"/>
        <v>5020</v>
      </c>
      <c r="L624" s="754">
        <v>1000</v>
      </c>
      <c r="M624" s="754"/>
      <c r="N624" s="754"/>
      <c r="O624" s="754">
        <f t="shared" si="428"/>
        <v>61240</v>
      </c>
      <c r="P624" s="754">
        <f t="shared" si="429"/>
        <v>306200</v>
      </c>
      <c r="Q624" s="798">
        <v>5</v>
      </c>
      <c r="R624" s="754">
        <v>3660</v>
      </c>
      <c r="S624" s="754"/>
      <c r="T624" s="754"/>
      <c r="U624" s="754"/>
      <c r="V624" s="754"/>
      <c r="W624" s="754"/>
      <c r="X624" s="754">
        <v>360</v>
      </c>
      <c r="Y624" s="754">
        <v>1000</v>
      </c>
      <c r="Z624" s="754">
        <f t="shared" si="430"/>
        <v>5020</v>
      </c>
      <c r="AA624" s="754">
        <v>1000</v>
      </c>
      <c r="AB624" s="754"/>
      <c r="AC624" s="754"/>
      <c r="AD624" s="754">
        <f t="shared" si="431"/>
        <v>61240</v>
      </c>
      <c r="AE624" s="754">
        <f t="shared" si="432"/>
        <v>306200</v>
      </c>
      <c r="AF624" s="754">
        <f t="shared" si="433"/>
        <v>0</v>
      </c>
      <c r="AG624" s="797">
        <f t="shared" si="433"/>
        <v>0</v>
      </c>
      <c r="AH624" s="798">
        <v>5</v>
      </c>
      <c r="AI624" s="754">
        <v>306200</v>
      </c>
    </row>
    <row r="625" spans="1:35" x14ac:dyDescent="0.2">
      <c r="A625" s="862" t="s">
        <v>502</v>
      </c>
      <c r="B625" s="798">
        <f>14+3</f>
        <v>17</v>
      </c>
      <c r="C625" s="754">
        <v>3344</v>
      </c>
      <c r="D625" s="754"/>
      <c r="E625" s="754"/>
      <c r="F625" s="754"/>
      <c r="G625" s="754"/>
      <c r="H625" s="754"/>
      <c r="I625" s="754">
        <v>150</v>
      </c>
      <c r="J625" s="754">
        <v>818</v>
      </c>
      <c r="K625" s="754">
        <f t="shared" si="427"/>
        <v>4312</v>
      </c>
      <c r="L625" s="754">
        <v>1000</v>
      </c>
      <c r="M625" s="754"/>
      <c r="N625" s="754"/>
      <c r="O625" s="754">
        <f t="shared" si="428"/>
        <v>52744</v>
      </c>
      <c r="P625" s="754">
        <f t="shared" si="429"/>
        <v>896648</v>
      </c>
      <c r="Q625" s="798">
        <f>14+3</f>
        <v>17</v>
      </c>
      <c r="R625" s="754">
        <v>3344</v>
      </c>
      <c r="S625" s="754"/>
      <c r="T625" s="754"/>
      <c r="U625" s="754"/>
      <c r="V625" s="754"/>
      <c r="W625" s="754"/>
      <c r="X625" s="754">
        <v>150</v>
      </c>
      <c r="Y625" s="754">
        <v>818</v>
      </c>
      <c r="Z625" s="754">
        <f t="shared" si="430"/>
        <v>4312</v>
      </c>
      <c r="AA625" s="754">
        <v>1000</v>
      </c>
      <c r="AB625" s="754"/>
      <c r="AC625" s="754"/>
      <c r="AD625" s="754">
        <f t="shared" si="431"/>
        <v>52744</v>
      </c>
      <c r="AE625" s="754">
        <f t="shared" si="432"/>
        <v>896648</v>
      </c>
      <c r="AF625" s="754">
        <f t="shared" si="433"/>
        <v>0</v>
      </c>
      <c r="AG625" s="797">
        <f t="shared" si="433"/>
        <v>0</v>
      </c>
      <c r="AH625" s="798">
        <f>14+3</f>
        <v>17</v>
      </c>
      <c r="AI625" s="754">
        <v>896648</v>
      </c>
    </row>
    <row r="626" spans="1:35" x14ac:dyDescent="0.2">
      <c r="A626" s="71" t="s">
        <v>504</v>
      </c>
      <c r="B626" s="799">
        <f>+SUM(B627:B631)</f>
        <v>151</v>
      </c>
      <c r="C626" s="754"/>
      <c r="D626" s="754"/>
      <c r="E626" s="754"/>
      <c r="F626" s="754"/>
      <c r="G626" s="754"/>
      <c r="H626" s="754"/>
      <c r="I626" s="754"/>
      <c r="J626" s="754"/>
      <c r="K626" s="754"/>
      <c r="L626" s="754"/>
      <c r="M626" s="754"/>
      <c r="N626" s="754"/>
      <c r="O626" s="754"/>
      <c r="P626" s="754"/>
      <c r="Q626" s="799">
        <f>+SUM(Q627:Q631)</f>
        <v>151</v>
      </c>
      <c r="R626" s="754"/>
      <c r="S626" s="754"/>
      <c r="T626" s="754"/>
      <c r="U626" s="754"/>
      <c r="V626" s="754"/>
      <c r="W626" s="754"/>
      <c r="X626" s="754"/>
      <c r="Y626" s="754"/>
      <c r="Z626" s="754"/>
      <c r="AA626" s="754"/>
      <c r="AB626" s="754"/>
      <c r="AC626" s="754"/>
      <c r="AD626" s="754"/>
      <c r="AE626" s="754"/>
      <c r="AF626" s="754"/>
      <c r="AG626" s="797"/>
      <c r="AH626" s="799">
        <f>+SUM(AH627:AH631)</f>
        <v>151</v>
      </c>
      <c r="AI626" s="754"/>
    </row>
    <row r="627" spans="1:35" x14ac:dyDescent="0.2">
      <c r="A627" s="862">
        <v>14</v>
      </c>
      <c r="B627" s="798">
        <v>43</v>
      </c>
      <c r="C627" s="754">
        <v>4471</v>
      </c>
      <c r="D627" s="754"/>
      <c r="E627" s="754"/>
      <c r="F627" s="754"/>
      <c r="G627" s="754"/>
      <c r="H627" s="754"/>
      <c r="I627" s="754">
        <v>451.16279069767444</v>
      </c>
      <c r="J627" s="754">
        <v>1250</v>
      </c>
      <c r="K627" s="754">
        <f t="shared" ref="K627:K631" si="434">+SUM(C627:J627)</f>
        <v>6172.1627906976746</v>
      </c>
      <c r="L627" s="754">
        <v>1000</v>
      </c>
      <c r="M627" s="754"/>
      <c r="N627" s="754"/>
      <c r="O627" s="754">
        <f t="shared" ref="O627:O631" si="435">+K627*12+L627</f>
        <v>75065.953488372092</v>
      </c>
      <c r="P627" s="754">
        <f t="shared" ref="P627:P631" si="436">(K627*B627)*12+(L627*B627)</f>
        <v>3227836</v>
      </c>
      <c r="Q627" s="798">
        <v>43</v>
      </c>
      <c r="R627" s="754">
        <v>4471</v>
      </c>
      <c r="S627" s="754"/>
      <c r="T627" s="754"/>
      <c r="U627" s="754"/>
      <c r="V627" s="754"/>
      <c r="W627" s="754"/>
      <c r="X627" s="754">
        <v>451.16279069767444</v>
      </c>
      <c r="Y627" s="754">
        <v>1250</v>
      </c>
      <c r="Z627" s="754">
        <f t="shared" ref="Z627:Z631" si="437">+SUM(R627:Y627)</f>
        <v>6172.1627906976746</v>
      </c>
      <c r="AA627" s="754">
        <v>1000</v>
      </c>
      <c r="AB627" s="754"/>
      <c r="AC627" s="754"/>
      <c r="AD627" s="754">
        <f t="shared" ref="AD627:AD631" si="438">+Z627*12+AA627</f>
        <v>75065.953488372092</v>
      </c>
      <c r="AE627" s="754">
        <f t="shared" ref="AE627:AE631" si="439">(Z627*Q627)*12+(AA627*Q627)</f>
        <v>3227836</v>
      </c>
      <c r="AF627" s="754">
        <f t="shared" ref="AF627:AG631" si="440">+AD627-O627</f>
        <v>0</v>
      </c>
      <c r="AG627" s="797">
        <f t="shared" si="440"/>
        <v>0</v>
      </c>
      <c r="AH627" s="798">
        <v>43</v>
      </c>
      <c r="AI627" s="754">
        <v>3227836</v>
      </c>
    </row>
    <row r="628" spans="1:35" x14ac:dyDescent="0.2">
      <c r="A628" s="862">
        <v>13</v>
      </c>
      <c r="B628" s="798">
        <v>22</v>
      </c>
      <c r="C628" s="754">
        <v>4158</v>
      </c>
      <c r="D628" s="754"/>
      <c r="E628" s="754"/>
      <c r="F628" s="754"/>
      <c r="G628" s="754"/>
      <c r="H628" s="754"/>
      <c r="I628" s="754">
        <v>490.90909090909093</v>
      </c>
      <c r="J628" s="754">
        <v>1100</v>
      </c>
      <c r="K628" s="754">
        <f t="shared" si="434"/>
        <v>5748.909090909091</v>
      </c>
      <c r="L628" s="754">
        <v>1000</v>
      </c>
      <c r="M628" s="754"/>
      <c r="N628" s="754"/>
      <c r="O628" s="754">
        <f t="shared" si="435"/>
        <v>69986.909090909088</v>
      </c>
      <c r="P628" s="754">
        <f t="shared" si="436"/>
        <v>1539712</v>
      </c>
      <c r="Q628" s="798">
        <v>22</v>
      </c>
      <c r="R628" s="754">
        <v>4158</v>
      </c>
      <c r="S628" s="754"/>
      <c r="T628" s="754"/>
      <c r="U628" s="754"/>
      <c r="V628" s="754"/>
      <c r="W628" s="754"/>
      <c r="X628" s="754">
        <v>490.90909090909093</v>
      </c>
      <c r="Y628" s="754">
        <v>1100</v>
      </c>
      <c r="Z628" s="754">
        <f t="shared" si="437"/>
        <v>5748.909090909091</v>
      </c>
      <c r="AA628" s="754">
        <v>1000</v>
      </c>
      <c r="AB628" s="754"/>
      <c r="AC628" s="754"/>
      <c r="AD628" s="754">
        <f t="shared" si="438"/>
        <v>69986.909090909088</v>
      </c>
      <c r="AE628" s="754">
        <f t="shared" si="439"/>
        <v>1539712</v>
      </c>
      <c r="AF628" s="754">
        <f t="shared" si="440"/>
        <v>0</v>
      </c>
      <c r="AG628" s="797">
        <f t="shared" si="440"/>
        <v>0</v>
      </c>
      <c r="AH628" s="798">
        <v>22</v>
      </c>
      <c r="AI628" s="754">
        <v>1539712</v>
      </c>
    </row>
    <row r="629" spans="1:35" x14ac:dyDescent="0.2">
      <c r="A629" s="862">
        <v>12</v>
      </c>
      <c r="B629" s="798">
        <v>31</v>
      </c>
      <c r="C629" s="754">
        <v>3900</v>
      </c>
      <c r="D629" s="754"/>
      <c r="E629" s="754"/>
      <c r="F629" s="754"/>
      <c r="G629" s="754"/>
      <c r="H629" s="754"/>
      <c r="I629" s="754">
        <v>420.96774193548384</v>
      </c>
      <c r="J629" s="754">
        <v>1050</v>
      </c>
      <c r="K629" s="754">
        <f t="shared" si="434"/>
        <v>5370.9677419354839</v>
      </c>
      <c r="L629" s="754">
        <v>1000</v>
      </c>
      <c r="M629" s="754"/>
      <c r="N629" s="754"/>
      <c r="O629" s="754">
        <f t="shared" si="435"/>
        <v>65451.612903225803</v>
      </c>
      <c r="P629" s="754">
        <f t="shared" si="436"/>
        <v>2029000</v>
      </c>
      <c r="Q629" s="798">
        <v>31</v>
      </c>
      <c r="R629" s="754">
        <v>3900</v>
      </c>
      <c r="S629" s="754"/>
      <c r="T629" s="754"/>
      <c r="U629" s="754"/>
      <c r="V629" s="754"/>
      <c r="W629" s="754"/>
      <c r="X629" s="754">
        <v>420.96774193548384</v>
      </c>
      <c r="Y629" s="754">
        <v>1050</v>
      </c>
      <c r="Z629" s="754">
        <f t="shared" si="437"/>
        <v>5370.9677419354839</v>
      </c>
      <c r="AA629" s="754">
        <v>1000</v>
      </c>
      <c r="AB629" s="754"/>
      <c r="AC629" s="754"/>
      <c r="AD629" s="754">
        <f t="shared" si="438"/>
        <v>65451.612903225803</v>
      </c>
      <c r="AE629" s="754">
        <f t="shared" si="439"/>
        <v>2029000</v>
      </c>
      <c r="AF629" s="754">
        <f t="shared" si="440"/>
        <v>0</v>
      </c>
      <c r="AG629" s="797">
        <f t="shared" si="440"/>
        <v>0</v>
      </c>
      <c r="AH629" s="798">
        <v>31</v>
      </c>
      <c r="AI629" s="754">
        <v>2029000</v>
      </c>
    </row>
    <row r="630" spans="1:35" x14ac:dyDescent="0.2">
      <c r="A630" s="862">
        <v>11</v>
      </c>
      <c r="B630" s="798">
        <v>3</v>
      </c>
      <c r="C630" s="754">
        <v>3660</v>
      </c>
      <c r="D630" s="754"/>
      <c r="E630" s="754"/>
      <c r="F630" s="754"/>
      <c r="G630" s="754"/>
      <c r="H630" s="754"/>
      <c r="I630" s="754">
        <v>750</v>
      </c>
      <c r="J630" s="754">
        <v>1000</v>
      </c>
      <c r="K630" s="754">
        <f t="shared" si="434"/>
        <v>5410</v>
      </c>
      <c r="L630" s="754">
        <v>1000</v>
      </c>
      <c r="M630" s="754"/>
      <c r="N630" s="754"/>
      <c r="O630" s="754">
        <f t="shared" si="435"/>
        <v>65920</v>
      </c>
      <c r="P630" s="754">
        <f t="shared" si="436"/>
        <v>197760</v>
      </c>
      <c r="Q630" s="798">
        <v>3</v>
      </c>
      <c r="R630" s="754">
        <v>3660</v>
      </c>
      <c r="S630" s="754"/>
      <c r="T630" s="754"/>
      <c r="U630" s="754"/>
      <c r="V630" s="754"/>
      <c r="W630" s="754"/>
      <c r="X630" s="754">
        <v>750</v>
      </c>
      <c r="Y630" s="754">
        <v>1000</v>
      </c>
      <c r="Z630" s="754">
        <f t="shared" si="437"/>
        <v>5410</v>
      </c>
      <c r="AA630" s="754">
        <v>1000</v>
      </c>
      <c r="AB630" s="754"/>
      <c r="AC630" s="754"/>
      <c r="AD630" s="754">
        <f t="shared" si="438"/>
        <v>65920</v>
      </c>
      <c r="AE630" s="754">
        <f t="shared" si="439"/>
        <v>197760</v>
      </c>
      <c r="AF630" s="754">
        <f t="shared" si="440"/>
        <v>0</v>
      </c>
      <c r="AG630" s="797">
        <f t="shared" si="440"/>
        <v>0</v>
      </c>
      <c r="AH630" s="798">
        <v>3</v>
      </c>
      <c r="AI630" s="754">
        <v>197760</v>
      </c>
    </row>
    <row r="631" spans="1:35" x14ac:dyDescent="0.2">
      <c r="A631" s="862">
        <v>10</v>
      </c>
      <c r="B631" s="798">
        <f>44+8</f>
        <v>52</v>
      </c>
      <c r="C631" s="754">
        <v>3344</v>
      </c>
      <c r="D631" s="754"/>
      <c r="E631" s="754"/>
      <c r="F631" s="754"/>
      <c r="G631" s="754"/>
      <c r="H631" s="754"/>
      <c r="I631" s="754">
        <v>360.57692307692309</v>
      </c>
      <c r="J631" s="754">
        <v>818</v>
      </c>
      <c r="K631" s="754">
        <f t="shared" si="434"/>
        <v>4522.5769230769229</v>
      </c>
      <c r="L631" s="754">
        <v>1000</v>
      </c>
      <c r="M631" s="754"/>
      <c r="N631" s="754"/>
      <c r="O631" s="754">
        <f t="shared" si="435"/>
        <v>55270.923076923078</v>
      </c>
      <c r="P631" s="754">
        <f t="shared" si="436"/>
        <v>2874088</v>
      </c>
      <c r="Q631" s="798">
        <f>44+8</f>
        <v>52</v>
      </c>
      <c r="R631" s="754">
        <v>3344</v>
      </c>
      <c r="S631" s="754"/>
      <c r="T631" s="754"/>
      <c r="U631" s="754"/>
      <c r="V631" s="754"/>
      <c r="W631" s="754"/>
      <c r="X631" s="754">
        <v>360.57692307692309</v>
      </c>
      <c r="Y631" s="754">
        <v>818</v>
      </c>
      <c r="Z631" s="754">
        <f t="shared" si="437"/>
        <v>4522.5769230769229</v>
      </c>
      <c r="AA631" s="754">
        <v>1000</v>
      </c>
      <c r="AB631" s="754"/>
      <c r="AC631" s="754"/>
      <c r="AD631" s="754">
        <f t="shared" si="438"/>
        <v>55270.923076923078</v>
      </c>
      <c r="AE631" s="754">
        <f t="shared" si="439"/>
        <v>2874088</v>
      </c>
      <c r="AF631" s="754">
        <f t="shared" si="440"/>
        <v>0</v>
      </c>
      <c r="AG631" s="797">
        <f t="shared" si="440"/>
        <v>0</v>
      </c>
      <c r="AH631" s="798">
        <f>44+8</f>
        <v>52</v>
      </c>
      <c r="AI631" s="754">
        <v>2874088</v>
      </c>
    </row>
    <row r="632" spans="1:35" ht="24" x14ac:dyDescent="0.2">
      <c r="A632" s="71" t="s">
        <v>477</v>
      </c>
      <c r="B632" s="799">
        <f>+SUM(B633:B637)</f>
        <v>23</v>
      </c>
      <c r="C632" s="754"/>
      <c r="D632" s="754"/>
      <c r="E632" s="754"/>
      <c r="F632" s="754"/>
      <c r="G632" s="754"/>
      <c r="H632" s="754"/>
      <c r="I632" s="754"/>
      <c r="J632" s="754"/>
      <c r="K632" s="754"/>
      <c r="L632" s="754"/>
      <c r="M632" s="754"/>
      <c r="N632" s="754"/>
      <c r="O632" s="754"/>
      <c r="P632" s="754"/>
      <c r="Q632" s="799">
        <f>+SUM(Q633:Q637)</f>
        <v>23</v>
      </c>
      <c r="R632" s="754"/>
      <c r="S632" s="754"/>
      <c r="T632" s="754"/>
      <c r="U632" s="754"/>
      <c r="V632" s="754"/>
      <c r="W632" s="754"/>
      <c r="X632" s="754"/>
      <c r="Y632" s="754"/>
      <c r="Z632" s="754"/>
      <c r="AA632" s="754"/>
      <c r="AB632" s="754"/>
      <c r="AC632" s="754"/>
      <c r="AD632" s="754"/>
      <c r="AE632" s="754"/>
      <c r="AF632" s="754"/>
      <c r="AG632" s="797"/>
      <c r="AH632" s="799">
        <f>+SUM(AH633:AH637)</f>
        <v>24</v>
      </c>
      <c r="AI632" s="754"/>
    </row>
    <row r="633" spans="1:35" x14ac:dyDescent="0.2">
      <c r="A633" s="862" t="s">
        <v>498</v>
      </c>
      <c r="B633" s="798">
        <v>10</v>
      </c>
      <c r="C633" s="754">
        <v>4471</v>
      </c>
      <c r="D633" s="754"/>
      <c r="E633" s="754"/>
      <c r="F633" s="754"/>
      <c r="G633" s="754"/>
      <c r="H633" s="754"/>
      <c r="I633" s="754"/>
      <c r="J633" s="754">
        <v>1250</v>
      </c>
      <c r="K633" s="754">
        <f t="shared" ref="K633:K639" si="441">+SUM(C633:J633)</f>
        <v>5721</v>
      </c>
      <c r="L633" s="754">
        <v>1000</v>
      </c>
      <c r="M633" s="754"/>
      <c r="N633" s="754"/>
      <c r="O633" s="754">
        <f t="shared" ref="O633:O637" si="442">+K633*12+L633</f>
        <v>69652</v>
      </c>
      <c r="P633" s="754">
        <f t="shared" ref="P633:P637" si="443">(K633*B633)*12+(L633*B633)</f>
        <v>696520</v>
      </c>
      <c r="Q633" s="798">
        <v>10</v>
      </c>
      <c r="R633" s="754">
        <v>4471</v>
      </c>
      <c r="S633" s="754"/>
      <c r="T633" s="754"/>
      <c r="U633" s="754"/>
      <c r="V633" s="754"/>
      <c r="W633" s="754"/>
      <c r="X633" s="754"/>
      <c r="Y633" s="754">
        <v>1250</v>
      </c>
      <c r="Z633" s="754">
        <f t="shared" ref="Z633:Z637" si="444">+SUM(R633:Y633)</f>
        <v>5721</v>
      </c>
      <c r="AA633" s="754">
        <v>1000</v>
      </c>
      <c r="AB633" s="754"/>
      <c r="AC633" s="754"/>
      <c r="AD633" s="754">
        <f t="shared" ref="AD633:AD637" si="445">+Z633*12+AA633</f>
        <v>69652</v>
      </c>
      <c r="AE633" s="754">
        <f t="shared" ref="AE633:AE637" si="446">(Z633*Q633)*12+(AA633*Q633)</f>
        <v>696520</v>
      </c>
      <c r="AF633" s="754">
        <f t="shared" ref="AF633:AG637" si="447">+AD633-O633</f>
        <v>0</v>
      </c>
      <c r="AG633" s="797">
        <f t="shared" si="447"/>
        <v>0</v>
      </c>
      <c r="AH633" s="798">
        <v>10</v>
      </c>
      <c r="AI633" s="754">
        <v>696520</v>
      </c>
    </row>
    <row r="634" spans="1:35" x14ac:dyDescent="0.2">
      <c r="A634" s="862" t="s">
        <v>499</v>
      </c>
      <c r="B634" s="799">
        <v>1</v>
      </c>
      <c r="C634" s="754">
        <v>4158</v>
      </c>
      <c r="D634" s="754"/>
      <c r="E634" s="754"/>
      <c r="F634" s="754"/>
      <c r="G634" s="754"/>
      <c r="H634" s="754"/>
      <c r="I634" s="754"/>
      <c r="J634" s="754">
        <v>1100</v>
      </c>
      <c r="K634" s="754">
        <f t="shared" si="441"/>
        <v>5258</v>
      </c>
      <c r="L634" s="754">
        <v>1000</v>
      </c>
      <c r="M634" s="754"/>
      <c r="N634" s="754"/>
      <c r="O634" s="754">
        <f t="shared" si="442"/>
        <v>64096</v>
      </c>
      <c r="P634" s="754">
        <f t="shared" si="443"/>
        <v>64096</v>
      </c>
      <c r="Q634" s="799">
        <v>1</v>
      </c>
      <c r="R634" s="754">
        <v>4158</v>
      </c>
      <c r="S634" s="754"/>
      <c r="T634" s="754"/>
      <c r="U634" s="754"/>
      <c r="V634" s="754"/>
      <c r="W634" s="754"/>
      <c r="X634" s="754"/>
      <c r="Y634" s="754">
        <v>1100</v>
      </c>
      <c r="Z634" s="754">
        <f t="shared" si="444"/>
        <v>5258</v>
      </c>
      <c r="AA634" s="754">
        <v>1000</v>
      </c>
      <c r="AB634" s="754"/>
      <c r="AC634" s="754"/>
      <c r="AD634" s="754">
        <f t="shared" si="445"/>
        <v>64096</v>
      </c>
      <c r="AE634" s="754">
        <f t="shared" si="446"/>
        <v>64096</v>
      </c>
      <c r="AF634" s="754">
        <f t="shared" si="447"/>
        <v>0</v>
      </c>
      <c r="AG634" s="797">
        <f t="shared" si="447"/>
        <v>0</v>
      </c>
      <c r="AH634" s="799">
        <v>1</v>
      </c>
      <c r="AI634" s="754">
        <v>64096</v>
      </c>
    </row>
    <row r="635" spans="1:35" x14ac:dyDescent="0.2">
      <c r="A635" s="862" t="s">
        <v>500</v>
      </c>
      <c r="B635" s="796">
        <v>3</v>
      </c>
      <c r="C635" s="754">
        <v>3900</v>
      </c>
      <c r="D635" s="754"/>
      <c r="E635" s="754"/>
      <c r="F635" s="754"/>
      <c r="G635" s="754"/>
      <c r="H635" s="754"/>
      <c r="I635" s="754">
        <v>416.66666666666669</v>
      </c>
      <c r="J635" s="754">
        <v>1050</v>
      </c>
      <c r="K635" s="754">
        <f t="shared" si="441"/>
        <v>5366.666666666667</v>
      </c>
      <c r="L635" s="754">
        <v>1000</v>
      </c>
      <c r="M635" s="754"/>
      <c r="N635" s="754"/>
      <c r="O635" s="754">
        <f t="shared" si="442"/>
        <v>65400</v>
      </c>
      <c r="P635" s="754">
        <f t="shared" si="443"/>
        <v>196200</v>
      </c>
      <c r="Q635" s="796">
        <v>3</v>
      </c>
      <c r="R635" s="754">
        <v>3900</v>
      </c>
      <c r="S635" s="754"/>
      <c r="T635" s="754"/>
      <c r="U635" s="754"/>
      <c r="V635" s="754"/>
      <c r="W635" s="754"/>
      <c r="X635" s="754">
        <v>416.66666666666669</v>
      </c>
      <c r="Y635" s="754">
        <v>1050</v>
      </c>
      <c r="Z635" s="754">
        <f t="shared" si="444"/>
        <v>5366.666666666667</v>
      </c>
      <c r="AA635" s="754">
        <v>1000</v>
      </c>
      <c r="AB635" s="754"/>
      <c r="AC635" s="754"/>
      <c r="AD635" s="754">
        <f t="shared" si="445"/>
        <v>65400</v>
      </c>
      <c r="AE635" s="754">
        <f t="shared" si="446"/>
        <v>196200</v>
      </c>
      <c r="AF635" s="754">
        <f t="shared" si="447"/>
        <v>0</v>
      </c>
      <c r="AG635" s="797">
        <f t="shared" si="447"/>
        <v>0</v>
      </c>
      <c r="AH635" s="796">
        <v>3</v>
      </c>
      <c r="AI635" s="754">
        <v>196200</v>
      </c>
    </row>
    <row r="636" spans="1:35" x14ac:dyDescent="0.2">
      <c r="A636" s="862" t="s">
        <v>501</v>
      </c>
      <c r="B636" s="798">
        <v>1</v>
      </c>
      <c r="C636" s="754">
        <v>3660</v>
      </c>
      <c r="D636" s="754"/>
      <c r="E636" s="754"/>
      <c r="F636" s="754"/>
      <c r="G636" s="754"/>
      <c r="H636" s="754"/>
      <c r="I636" s="754"/>
      <c r="J636" s="754">
        <v>1000</v>
      </c>
      <c r="K636" s="754">
        <f t="shared" si="441"/>
        <v>4660</v>
      </c>
      <c r="L636" s="754">
        <v>1000</v>
      </c>
      <c r="M636" s="754"/>
      <c r="N636" s="754"/>
      <c r="O636" s="754">
        <f t="shared" si="442"/>
        <v>56920</v>
      </c>
      <c r="P636" s="754">
        <f t="shared" si="443"/>
        <v>56920</v>
      </c>
      <c r="Q636" s="798">
        <v>1</v>
      </c>
      <c r="R636" s="754">
        <v>3660</v>
      </c>
      <c r="S636" s="754"/>
      <c r="T636" s="754"/>
      <c r="U636" s="754"/>
      <c r="V636" s="754"/>
      <c r="W636" s="754"/>
      <c r="X636" s="754"/>
      <c r="Y636" s="754">
        <v>1000</v>
      </c>
      <c r="Z636" s="754">
        <f t="shared" si="444"/>
        <v>4660</v>
      </c>
      <c r="AA636" s="754">
        <v>1000</v>
      </c>
      <c r="AB636" s="754"/>
      <c r="AC636" s="754"/>
      <c r="AD636" s="754">
        <f t="shared" si="445"/>
        <v>56920</v>
      </c>
      <c r="AE636" s="754">
        <f t="shared" si="446"/>
        <v>56920</v>
      </c>
      <c r="AF636" s="754">
        <f t="shared" si="447"/>
        <v>0</v>
      </c>
      <c r="AG636" s="797">
        <f t="shared" si="447"/>
        <v>0</v>
      </c>
      <c r="AH636" s="798">
        <v>1</v>
      </c>
      <c r="AI636" s="754">
        <v>56920</v>
      </c>
    </row>
    <row r="637" spans="1:35" x14ac:dyDescent="0.2">
      <c r="A637" s="862" t="s">
        <v>502</v>
      </c>
      <c r="B637" s="798">
        <f>7+1</f>
        <v>8</v>
      </c>
      <c r="C637" s="754">
        <v>3344</v>
      </c>
      <c r="D637" s="754"/>
      <c r="E637" s="754"/>
      <c r="F637" s="754"/>
      <c r="G637" s="754"/>
      <c r="H637" s="754"/>
      <c r="I637" s="754">
        <v>212.5</v>
      </c>
      <c r="J637" s="754">
        <v>818</v>
      </c>
      <c r="K637" s="754">
        <f t="shared" si="441"/>
        <v>4374.5</v>
      </c>
      <c r="L637" s="754">
        <v>1000</v>
      </c>
      <c r="M637" s="754"/>
      <c r="N637" s="754"/>
      <c r="O637" s="754">
        <f t="shared" si="442"/>
        <v>53494</v>
      </c>
      <c r="P637" s="754">
        <f t="shared" si="443"/>
        <v>427952</v>
      </c>
      <c r="Q637" s="798">
        <f>7+1</f>
        <v>8</v>
      </c>
      <c r="R637" s="754">
        <v>3344</v>
      </c>
      <c r="S637" s="754"/>
      <c r="T637" s="754"/>
      <c r="U637" s="754"/>
      <c r="V637" s="754"/>
      <c r="W637" s="754"/>
      <c r="X637" s="754">
        <v>212.5</v>
      </c>
      <c r="Y637" s="754">
        <v>818</v>
      </c>
      <c r="Z637" s="754">
        <f t="shared" si="444"/>
        <v>4374.5</v>
      </c>
      <c r="AA637" s="754">
        <v>1000</v>
      </c>
      <c r="AB637" s="754"/>
      <c r="AC637" s="754"/>
      <c r="AD637" s="754">
        <f t="shared" si="445"/>
        <v>53494</v>
      </c>
      <c r="AE637" s="754">
        <f t="shared" si="446"/>
        <v>427952</v>
      </c>
      <c r="AF637" s="754">
        <f t="shared" si="447"/>
        <v>0</v>
      </c>
      <c r="AG637" s="797">
        <f t="shared" si="447"/>
        <v>0</v>
      </c>
      <c r="AH637" s="798">
        <f>7+1+1</f>
        <v>9</v>
      </c>
      <c r="AI637" s="754">
        <v>478896</v>
      </c>
    </row>
    <row r="638" spans="1:35" x14ac:dyDescent="0.2">
      <c r="A638" s="71" t="s">
        <v>505</v>
      </c>
      <c r="B638" s="799">
        <f>+SUM(B639:B642)</f>
        <v>3</v>
      </c>
      <c r="C638" s="754"/>
      <c r="D638" s="754"/>
      <c r="E638" s="754"/>
      <c r="F638" s="754"/>
      <c r="G638" s="754"/>
      <c r="H638" s="754"/>
      <c r="I638" s="754"/>
      <c r="J638" s="754"/>
      <c r="K638" s="754"/>
      <c r="L638" s="754"/>
      <c r="M638" s="754"/>
      <c r="N638" s="754"/>
      <c r="O638" s="754"/>
      <c r="P638" s="754"/>
      <c r="Q638" s="799">
        <f>+SUM(Q639:Q642)</f>
        <v>3</v>
      </c>
      <c r="R638" s="754"/>
      <c r="S638" s="754"/>
      <c r="T638" s="754"/>
      <c r="U638" s="754"/>
      <c r="V638" s="754"/>
      <c r="W638" s="754"/>
      <c r="X638" s="754"/>
      <c r="Y638" s="754"/>
      <c r="Z638" s="754"/>
      <c r="AA638" s="754"/>
      <c r="AB638" s="754"/>
      <c r="AC638" s="754"/>
      <c r="AD638" s="754"/>
      <c r="AE638" s="754"/>
      <c r="AF638" s="754"/>
      <c r="AG638" s="797"/>
      <c r="AH638" s="799">
        <f>+SUM(AH639:AH642)</f>
        <v>3</v>
      </c>
      <c r="AI638" s="754"/>
    </row>
    <row r="639" spans="1:35" x14ac:dyDescent="0.2">
      <c r="A639" s="862" t="s">
        <v>498</v>
      </c>
      <c r="B639" s="798">
        <v>1</v>
      </c>
      <c r="C639" s="754">
        <v>2379</v>
      </c>
      <c r="D639" s="754"/>
      <c r="E639" s="754"/>
      <c r="F639" s="754"/>
      <c r="G639" s="754"/>
      <c r="H639" s="754"/>
      <c r="I639" s="754"/>
      <c r="J639" s="754">
        <v>830</v>
      </c>
      <c r="K639" s="754">
        <f t="shared" si="441"/>
        <v>3209</v>
      </c>
      <c r="L639" s="754">
        <v>1000</v>
      </c>
      <c r="M639" s="754"/>
      <c r="N639" s="754"/>
      <c r="O639" s="754">
        <f t="shared" ref="O639" si="448">+K639*12+L639</f>
        <v>39508</v>
      </c>
      <c r="P639" s="754">
        <f t="shared" ref="P639" si="449">(K639*B639)*12+(L639*B639)</f>
        <v>39508</v>
      </c>
      <c r="Q639" s="798">
        <v>1</v>
      </c>
      <c r="R639" s="754">
        <v>2379</v>
      </c>
      <c r="S639" s="754"/>
      <c r="T639" s="754"/>
      <c r="U639" s="754"/>
      <c r="V639" s="754"/>
      <c r="W639" s="754"/>
      <c r="X639" s="754"/>
      <c r="Y639" s="754">
        <v>830</v>
      </c>
      <c r="Z639" s="754">
        <f t="shared" ref="Z639" si="450">+SUM(R639:Y639)</f>
        <v>3209</v>
      </c>
      <c r="AA639" s="754">
        <v>1000</v>
      </c>
      <c r="AB639" s="754"/>
      <c r="AC639" s="754"/>
      <c r="AD639" s="754">
        <f t="shared" ref="AD639" si="451">+Z639*12+AA639</f>
        <v>39508</v>
      </c>
      <c r="AE639" s="754">
        <f t="shared" ref="AE639" si="452">(Z639*Q639)*12+(AA639*Q639)</f>
        <v>39508</v>
      </c>
      <c r="AF639" s="754">
        <f t="shared" ref="AF639:AG639" si="453">+AD639-O639</f>
        <v>0</v>
      </c>
      <c r="AG639" s="797">
        <f t="shared" si="453"/>
        <v>0</v>
      </c>
      <c r="AH639" s="798">
        <v>1</v>
      </c>
      <c r="AI639" s="754">
        <v>38488</v>
      </c>
    </row>
    <row r="640" spans="1:35" x14ac:dyDescent="0.2">
      <c r="A640" s="862" t="s">
        <v>500</v>
      </c>
      <c r="B640" s="798"/>
      <c r="C640" s="754"/>
      <c r="D640" s="754"/>
      <c r="E640" s="754"/>
      <c r="F640" s="754"/>
      <c r="G640" s="754"/>
      <c r="H640" s="754"/>
      <c r="I640" s="754"/>
      <c r="J640" s="754"/>
      <c r="K640" s="754"/>
      <c r="L640" s="754"/>
      <c r="M640" s="754"/>
      <c r="N640" s="754"/>
      <c r="O640" s="754"/>
      <c r="P640" s="754"/>
      <c r="Q640" s="798"/>
      <c r="R640" s="754"/>
      <c r="S640" s="754"/>
      <c r="T640" s="754"/>
      <c r="U640" s="754"/>
      <c r="V640" s="754"/>
      <c r="W640" s="754"/>
      <c r="X640" s="754"/>
      <c r="Y640" s="754"/>
      <c r="Z640" s="754"/>
      <c r="AA640" s="754"/>
      <c r="AB640" s="754"/>
      <c r="AC640" s="754"/>
      <c r="AD640" s="754"/>
      <c r="AE640" s="754"/>
      <c r="AF640" s="754"/>
      <c r="AG640" s="797"/>
      <c r="AH640" s="798"/>
      <c r="AI640" s="754"/>
    </row>
    <row r="641" spans="1:35" x14ac:dyDescent="0.2">
      <c r="A641" s="862" t="s">
        <v>501</v>
      </c>
      <c r="B641" s="798">
        <v>1</v>
      </c>
      <c r="C641" s="754">
        <v>2362</v>
      </c>
      <c r="D641" s="754"/>
      <c r="E641" s="754"/>
      <c r="F641" s="754"/>
      <c r="G641" s="754"/>
      <c r="H641" s="754"/>
      <c r="I641" s="754">
        <v>150</v>
      </c>
      <c r="J641" s="754">
        <v>800</v>
      </c>
      <c r="K641" s="754">
        <f t="shared" ref="K641:K642" si="454">+SUM(C641:J641)</f>
        <v>3312</v>
      </c>
      <c r="L641" s="754">
        <v>1000</v>
      </c>
      <c r="M641" s="754"/>
      <c r="N641" s="754"/>
      <c r="O641" s="754">
        <f t="shared" ref="O641:O642" si="455">+K641*12+L641</f>
        <v>40744</v>
      </c>
      <c r="P641" s="754">
        <f t="shared" ref="P641:P642" si="456">(K641*B641)*12+(L641*B641)</f>
        <v>40744</v>
      </c>
      <c r="Q641" s="798">
        <v>1</v>
      </c>
      <c r="R641" s="754">
        <v>2362</v>
      </c>
      <c r="S641" s="754"/>
      <c r="T641" s="754"/>
      <c r="U641" s="754"/>
      <c r="V641" s="754"/>
      <c r="W641" s="754"/>
      <c r="X641" s="754">
        <v>150</v>
      </c>
      <c r="Y641" s="754">
        <v>800</v>
      </c>
      <c r="Z641" s="754">
        <f t="shared" ref="Z641:Z642" si="457">+SUM(R641:Y641)</f>
        <v>3312</v>
      </c>
      <c r="AA641" s="754">
        <v>1000</v>
      </c>
      <c r="AB641" s="754"/>
      <c r="AC641" s="754"/>
      <c r="AD641" s="754">
        <f t="shared" ref="AD641:AD642" si="458">+Z641*12+AA641</f>
        <v>40744</v>
      </c>
      <c r="AE641" s="754">
        <f t="shared" ref="AE641:AE642" si="459">(Z641*Q641)*12+(AA641*Q641)</f>
        <v>40744</v>
      </c>
      <c r="AF641" s="754">
        <f t="shared" ref="AF641:AG642" si="460">+AD641-O641</f>
        <v>0</v>
      </c>
      <c r="AG641" s="797">
        <f t="shared" si="460"/>
        <v>0</v>
      </c>
      <c r="AH641" s="798">
        <v>1</v>
      </c>
      <c r="AI641" s="754">
        <v>39640</v>
      </c>
    </row>
    <row r="642" spans="1:35" x14ac:dyDescent="0.2">
      <c r="A642" s="862" t="s">
        <v>502</v>
      </c>
      <c r="B642" s="799">
        <v>1</v>
      </c>
      <c r="C642" s="754">
        <v>2354</v>
      </c>
      <c r="D642" s="754"/>
      <c r="E642" s="754"/>
      <c r="F642" s="754"/>
      <c r="G642" s="754"/>
      <c r="H642" s="754"/>
      <c r="I642" s="754"/>
      <c r="J642" s="754">
        <v>790</v>
      </c>
      <c r="K642" s="754">
        <f t="shared" si="454"/>
        <v>3144</v>
      </c>
      <c r="L642" s="754">
        <v>1000</v>
      </c>
      <c r="M642" s="754"/>
      <c r="N642" s="754"/>
      <c r="O642" s="754">
        <f t="shared" si="455"/>
        <v>38728</v>
      </c>
      <c r="P642" s="754">
        <f t="shared" si="456"/>
        <v>38728</v>
      </c>
      <c r="Q642" s="799">
        <v>1</v>
      </c>
      <c r="R642" s="754">
        <v>2354</v>
      </c>
      <c r="S642" s="754"/>
      <c r="T642" s="754"/>
      <c r="U642" s="754"/>
      <c r="V642" s="754"/>
      <c r="W642" s="754"/>
      <c r="X642" s="754"/>
      <c r="Y642" s="754">
        <v>790</v>
      </c>
      <c r="Z642" s="754">
        <f t="shared" si="457"/>
        <v>3144</v>
      </c>
      <c r="AA642" s="754">
        <v>1000</v>
      </c>
      <c r="AB642" s="754"/>
      <c r="AC642" s="754"/>
      <c r="AD642" s="754">
        <f t="shared" si="458"/>
        <v>38728</v>
      </c>
      <c r="AE642" s="754">
        <f t="shared" si="459"/>
        <v>38728</v>
      </c>
      <c r="AF642" s="754">
        <f t="shared" si="460"/>
        <v>0</v>
      </c>
      <c r="AG642" s="797">
        <f t="shared" si="460"/>
        <v>0</v>
      </c>
      <c r="AH642" s="799">
        <v>1</v>
      </c>
      <c r="AI642" s="754">
        <v>37564</v>
      </c>
    </row>
    <row r="643" spans="1:35" x14ac:dyDescent="0.2">
      <c r="A643" s="857"/>
      <c r="B643" s="720"/>
      <c r="C643" s="754"/>
      <c r="D643" s="754"/>
      <c r="E643" s="754"/>
      <c r="F643" s="754"/>
      <c r="G643" s="754"/>
      <c r="H643" s="754"/>
      <c r="I643" s="754"/>
      <c r="J643" s="754"/>
      <c r="K643" s="754"/>
      <c r="L643" s="754"/>
      <c r="M643" s="754"/>
      <c r="N643" s="754"/>
      <c r="O643" s="754"/>
      <c r="P643" s="754"/>
      <c r="Q643" s="708"/>
      <c r="R643" s="754"/>
      <c r="S643" s="754"/>
      <c r="T643" s="754"/>
      <c r="U643" s="754"/>
      <c r="V643" s="754"/>
      <c r="W643" s="754"/>
      <c r="X643" s="754"/>
      <c r="Y643" s="754"/>
      <c r="Z643" s="754"/>
      <c r="AA643" s="754"/>
      <c r="AB643" s="754"/>
      <c r="AC643" s="754"/>
      <c r="AD643" s="754"/>
      <c r="AE643" s="754"/>
      <c r="AF643" s="754"/>
      <c r="AG643" s="720"/>
      <c r="AH643" s="720"/>
      <c r="AI643" s="754"/>
    </row>
    <row r="644" spans="1:35" x14ac:dyDescent="0.2">
      <c r="A644" s="872" t="s">
        <v>169</v>
      </c>
      <c r="B644" s="800">
        <f>+B613+B596+B568</f>
        <v>632</v>
      </c>
      <c r="C644" s="789">
        <f>SUM(C567:C643)</f>
        <v>144203.51</v>
      </c>
      <c r="D644" s="789">
        <f t="shared" ref="D644:AE644" si="461">SUM(D567:D643)</f>
        <v>35544</v>
      </c>
      <c r="E644" s="789">
        <f t="shared" si="461"/>
        <v>0</v>
      </c>
      <c r="F644" s="789">
        <f t="shared" si="461"/>
        <v>0</v>
      </c>
      <c r="G644" s="789">
        <f t="shared" si="461"/>
        <v>0</v>
      </c>
      <c r="H644" s="789">
        <f t="shared" si="461"/>
        <v>0</v>
      </c>
      <c r="I644" s="789">
        <f t="shared" si="461"/>
        <v>11702.319851892329</v>
      </c>
      <c r="J644" s="789">
        <f t="shared" si="461"/>
        <v>29058</v>
      </c>
      <c r="K644" s="789">
        <f t="shared" si="461"/>
        <v>220507.82985189234</v>
      </c>
      <c r="L644" s="789">
        <f t="shared" si="461"/>
        <v>51000</v>
      </c>
      <c r="M644" s="789">
        <f t="shared" si="461"/>
        <v>0</v>
      </c>
      <c r="N644" s="789">
        <f t="shared" si="461"/>
        <v>0</v>
      </c>
      <c r="O644" s="789">
        <f t="shared" si="461"/>
        <v>2697093.9582227082</v>
      </c>
      <c r="P644" s="789">
        <f t="shared" si="461"/>
        <v>32983420.759999998</v>
      </c>
      <c r="Q644" s="800">
        <f>+Q613+Q596+Q568</f>
        <v>632</v>
      </c>
      <c r="R644" s="789">
        <f t="shared" si="461"/>
        <v>144203.51</v>
      </c>
      <c r="S644" s="789">
        <f t="shared" si="461"/>
        <v>35544</v>
      </c>
      <c r="T644" s="789">
        <f t="shared" si="461"/>
        <v>0</v>
      </c>
      <c r="U644" s="789">
        <f t="shared" si="461"/>
        <v>0</v>
      </c>
      <c r="V644" s="789">
        <f t="shared" si="461"/>
        <v>0</v>
      </c>
      <c r="W644" s="789">
        <f t="shared" si="461"/>
        <v>0</v>
      </c>
      <c r="X644" s="789">
        <f t="shared" si="461"/>
        <v>11702.319851892329</v>
      </c>
      <c r="Y644" s="789">
        <f t="shared" si="461"/>
        <v>29058</v>
      </c>
      <c r="Z644" s="789">
        <f t="shared" si="461"/>
        <v>220507.82985189234</v>
      </c>
      <c r="AA644" s="789">
        <f t="shared" si="461"/>
        <v>51000</v>
      </c>
      <c r="AB644" s="789">
        <f t="shared" si="461"/>
        <v>0</v>
      </c>
      <c r="AC644" s="789">
        <f t="shared" si="461"/>
        <v>0</v>
      </c>
      <c r="AD644" s="789">
        <f t="shared" si="461"/>
        <v>2697093.9582227082</v>
      </c>
      <c r="AE644" s="789">
        <f t="shared" si="461"/>
        <v>32983420.759999998</v>
      </c>
      <c r="AF644" s="801">
        <f>+AF613+AF596+AF568</f>
        <v>0</v>
      </c>
      <c r="AG644" s="800">
        <f>+AG613+AG596+AG568</f>
        <v>0</v>
      </c>
      <c r="AH644" s="800">
        <f>+AH613+AH596+AH568</f>
        <v>636</v>
      </c>
      <c r="AI644" s="789">
        <f t="shared" ref="AI644" si="462">SUM(AI567:AI643)</f>
        <v>33125444.759999998</v>
      </c>
    </row>
    <row r="645" spans="1:35" x14ac:dyDescent="0.2">
      <c r="B645" s="17"/>
      <c r="C645" s="17"/>
      <c r="D645" s="17"/>
      <c r="E645" s="17"/>
      <c r="F645" s="17"/>
      <c r="G645" s="17"/>
      <c r="H645" s="17"/>
      <c r="I645" s="17"/>
      <c r="J645" s="17"/>
      <c r="K645" s="17"/>
      <c r="L645" s="17"/>
      <c r="M645" s="17"/>
      <c r="N645" s="17"/>
      <c r="O645" s="17"/>
      <c r="P645" s="17"/>
      <c r="R645" s="17"/>
      <c r="S645" s="17"/>
      <c r="T645" s="17"/>
      <c r="U645" s="17"/>
      <c r="V645" s="17"/>
      <c r="W645" s="17"/>
      <c r="X645" s="17"/>
      <c r="Y645" s="17"/>
      <c r="Z645" s="17"/>
      <c r="AA645" s="17"/>
      <c r="AB645" s="17"/>
      <c r="AC645" s="17"/>
      <c r="AD645" s="17"/>
      <c r="AE645" s="17"/>
      <c r="AF645" s="17"/>
      <c r="AG645" s="17"/>
      <c r="AH645" s="17"/>
      <c r="AI645" s="17"/>
    </row>
    <row r="646" spans="1:35" x14ac:dyDescent="0.2">
      <c r="B646" s="17"/>
      <c r="C646" s="17"/>
      <c r="D646" s="17"/>
      <c r="E646" s="17"/>
      <c r="F646" s="17"/>
      <c r="G646" s="17"/>
      <c r="H646" s="17"/>
      <c r="I646" s="17"/>
      <c r="J646" s="17"/>
      <c r="K646" s="17"/>
      <c r="L646" s="17"/>
      <c r="M646" s="17"/>
      <c r="N646" s="17"/>
      <c r="O646" s="17"/>
      <c r="P646" s="17"/>
      <c r="R646" s="17"/>
      <c r="S646" s="17"/>
      <c r="T646" s="17"/>
      <c r="U646" s="17"/>
      <c r="V646" s="17"/>
      <c r="W646" s="17"/>
      <c r="X646" s="17"/>
      <c r="Y646" s="17"/>
      <c r="Z646" s="17"/>
      <c r="AA646" s="17"/>
      <c r="AB646" s="17"/>
      <c r="AC646" s="17"/>
      <c r="AD646" s="17"/>
      <c r="AE646" s="17"/>
      <c r="AF646" s="17"/>
      <c r="AG646" s="17"/>
      <c r="AH646" s="17"/>
      <c r="AI646" s="17"/>
    </row>
    <row r="647" spans="1:35" ht="24" x14ac:dyDescent="0.2">
      <c r="A647" s="706" t="s">
        <v>630</v>
      </c>
      <c r="B647" s="743"/>
      <c r="C647" s="742"/>
      <c r="D647" s="742"/>
      <c r="E647" s="742"/>
      <c r="F647" s="742"/>
      <c r="G647" s="742"/>
      <c r="H647" s="742"/>
      <c r="I647" s="742"/>
      <c r="J647" s="742"/>
      <c r="K647" s="742"/>
      <c r="L647" s="742"/>
      <c r="M647" s="742"/>
      <c r="N647" s="742"/>
      <c r="O647" s="742"/>
      <c r="P647" s="742"/>
      <c r="Q647" s="712"/>
      <c r="R647" s="742"/>
      <c r="S647" s="742"/>
      <c r="T647" s="742"/>
      <c r="U647" s="742"/>
      <c r="V647" s="742"/>
      <c r="W647" s="742"/>
      <c r="X647" s="742"/>
      <c r="Y647" s="742"/>
      <c r="Z647" s="742"/>
      <c r="AA647" s="742"/>
      <c r="AB647" s="742"/>
      <c r="AC647" s="742"/>
      <c r="AD647" s="742"/>
      <c r="AE647" s="742"/>
      <c r="AF647" s="742"/>
      <c r="AG647" s="743"/>
      <c r="AH647" s="743"/>
      <c r="AI647" s="742"/>
    </row>
    <row r="648" spans="1:35" x14ac:dyDescent="0.2">
      <c r="A648" s="1485" t="s">
        <v>644</v>
      </c>
      <c r="B648" s="1487" t="s">
        <v>645</v>
      </c>
      <c r="C648" s="1487"/>
      <c r="D648" s="1487"/>
      <c r="E648" s="1487"/>
      <c r="F648" s="1487"/>
      <c r="G648" s="1487"/>
      <c r="H648" s="1487"/>
      <c r="I648" s="1487"/>
      <c r="J648" s="1487"/>
      <c r="K648" s="1487"/>
      <c r="L648" s="1487"/>
      <c r="M648" s="1487"/>
      <c r="N648" s="1487"/>
      <c r="O648" s="1487"/>
      <c r="P648" s="1487"/>
      <c r="Q648" s="1487" t="s">
        <v>646</v>
      </c>
      <c r="R648" s="1487"/>
      <c r="S648" s="1487"/>
      <c r="T648" s="1487"/>
      <c r="U648" s="1487"/>
      <c r="V648" s="1487"/>
      <c r="W648" s="1487"/>
      <c r="X648" s="1487"/>
      <c r="Y648" s="1487"/>
      <c r="Z648" s="1487"/>
      <c r="AA648" s="1487"/>
      <c r="AB648" s="1487"/>
      <c r="AC648" s="1487"/>
      <c r="AD648" s="1487"/>
      <c r="AE648" s="1487"/>
      <c r="AF648" s="1487" t="s">
        <v>647</v>
      </c>
      <c r="AG648" s="1487"/>
      <c r="AH648" s="1487" t="s">
        <v>648</v>
      </c>
      <c r="AI648" s="1487"/>
    </row>
    <row r="649" spans="1:35" ht="120" customHeight="1" x14ac:dyDescent="0.2">
      <c r="A649" s="1485"/>
      <c r="B649" s="691" t="s">
        <v>649</v>
      </c>
      <c r="C649" s="692" t="s">
        <v>650</v>
      </c>
      <c r="D649" s="692" t="s">
        <v>684</v>
      </c>
      <c r="E649" s="692" t="s">
        <v>652</v>
      </c>
      <c r="F649" s="692" t="s">
        <v>653</v>
      </c>
      <c r="G649" s="692" t="s">
        <v>654</v>
      </c>
      <c r="H649" s="692" t="s">
        <v>655</v>
      </c>
      <c r="I649" s="692" t="s">
        <v>656</v>
      </c>
      <c r="J649" s="692" t="s">
        <v>657</v>
      </c>
      <c r="K649" s="692" t="s">
        <v>658</v>
      </c>
      <c r="L649" s="692" t="s">
        <v>659</v>
      </c>
      <c r="M649" s="692" t="s">
        <v>660</v>
      </c>
      <c r="N649" s="692" t="s">
        <v>661</v>
      </c>
      <c r="O649" s="698" t="s">
        <v>662</v>
      </c>
      <c r="P649" s="692" t="s">
        <v>685</v>
      </c>
      <c r="Q649" s="691" t="s">
        <v>649</v>
      </c>
      <c r="R649" s="692" t="s">
        <v>650</v>
      </c>
      <c r="S649" s="692" t="s">
        <v>651</v>
      </c>
      <c r="T649" s="692" t="s">
        <v>652</v>
      </c>
      <c r="U649" s="692" t="s">
        <v>653</v>
      </c>
      <c r="V649" s="692" t="s">
        <v>654</v>
      </c>
      <c r="W649" s="692" t="s">
        <v>655</v>
      </c>
      <c r="X649" s="692" t="s">
        <v>656</v>
      </c>
      <c r="Y649" s="692" t="s">
        <v>657</v>
      </c>
      <c r="Z649" s="692" t="s">
        <v>658</v>
      </c>
      <c r="AA649" s="692" t="s">
        <v>659</v>
      </c>
      <c r="AB649" s="692" t="s">
        <v>660</v>
      </c>
      <c r="AC649" s="692" t="s">
        <v>661</v>
      </c>
      <c r="AD649" s="692" t="s">
        <v>662</v>
      </c>
      <c r="AE649" s="692" t="s">
        <v>686</v>
      </c>
      <c r="AF649" s="692" t="s">
        <v>664</v>
      </c>
      <c r="AG649" s="691" t="s">
        <v>665</v>
      </c>
      <c r="AH649" s="691" t="s">
        <v>649</v>
      </c>
      <c r="AI649" s="692" t="s">
        <v>687</v>
      </c>
    </row>
    <row r="650" spans="1:35" x14ac:dyDescent="0.2">
      <c r="A650" s="1486"/>
      <c r="B650" s="555" t="s">
        <v>667</v>
      </c>
      <c r="C650" s="733" t="s">
        <v>668</v>
      </c>
      <c r="D650" s="733" t="s">
        <v>669</v>
      </c>
      <c r="E650" s="733" t="s">
        <v>670</v>
      </c>
      <c r="F650" s="734" t="s">
        <v>671</v>
      </c>
      <c r="G650" s="734" t="s">
        <v>672</v>
      </c>
      <c r="H650" s="734" t="s">
        <v>673</v>
      </c>
      <c r="I650" s="734" t="s">
        <v>674</v>
      </c>
      <c r="J650" s="734" t="s">
        <v>675</v>
      </c>
      <c r="K650" s="734" t="s">
        <v>676</v>
      </c>
      <c r="L650" s="734" t="s">
        <v>677</v>
      </c>
      <c r="M650" s="734" t="s">
        <v>678</v>
      </c>
      <c r="N650" s="734" t="s">
        <v>679</v>
      </c>
      <c r="O650" s="802" t="s">
        <v>680</v>
      </c>
      <c r="P650" s="734" t="s">
        <v>681</v>
      </c>
      <c r="Q650" s="555" t="s">
        <v>667</v>
      </c>
      <c r="R650" s="733" t="s">
        <v>668</v>
      </c>
      <c r="S650" s="733" t="s">
        <v>669</v>
      </c>
      <c r="T650" s="733" t="s">
        <v>670</v>
      </c>
      <c r="U650" s="734" t="s">
        <v>671</v>
      </c>
      <c r="V650" s="734" t="s">
        <v>672</v>
      </c>
      <c r="W650" s="734" t="s">
        <v>673</v>
      </c>
      <c r="X650" s="734" t="s">
        <v>674</v>
      </c>
      <c r="Y650" s="734" t="s">
        <v>675</v>
      </c>
      <c r="Z650" s="734" t="s">
        <v>676</v>
      </c>
      <c r="AA650" s="734" t="s">
        <v>677</v>
      </c>
      <c r="AB650" s="734" t="s">
        <v>678</v>
      </c>
      <c r="AC650" s="734" t="s">
        <v>679</v>
      </c>
      <c r="AD650" s="734" t="s">
        <v>680</v>
      </c>
      <c r="AE650" s="734" t="s">
        <v>681</v>
      </c>
      <c r="AF650" s="733"/>
      <c r="AG650" s="555"/>
      <c r="AH650" s="555"/>
      <c r="AI650" s="733"/>
    </row>
    <row r="651" spans="1:35" x14ac:dyDescent="0.2">
      <c r="A651" s="704"/>
      <c r="B651" s="711"/>
      <c r="C651" s="735"/>
      <c r="D651" s="735"/>
      <c r="E651" s="735"/>
      <c r="F651" s="735"/>
      <c r="G651" s="735"/>
      <c r="H651" s="735"/>
      <c r="I651" s="735"/>
      <c r="J651" s="735"/>
      <c r="K651" s="735"/>
      <c r="L651" s="735"/>
      <c r="M651" s="735"/>
      <c r="N651" s="735"/>
      <c r="O651" s="735"/>
      <c r="P651" s="735"/>
      <c r="Q651" s="421"/>
      <c r="R651" s="735"/>
      <c r="S651" s="735"/>
      <c r="T651" s="735"/>
      <c r="U651" s="735"/>
      <c r="V651" s="735"/>
      <c r="W651" s="735"/>
      <c r="X651" s="735"/>
      <c r="Y651" s="735"/>
      <c r="Z651" s="735"/>
      <c r="AA651" s="735"/>
      <c r="AB651" s="735"/>
      <c r="AC651" s="735"/>
      <c r="AD651" s="735"/>
      <c r="AE651" s="735"/>
      <c r="AF651" s="735"/>
      <c r="AG651" s="711"/>
      <c r="AH651" s="711"/>
      <c r="AI651" s="735"/>
    </row>
    <row r="652" spans="1:35" x14ac:dyDescent="0.2">
      <c r="A652" s="873" t="s">
        <v>378</v>
      </c>
      <c r="B652" s="722"/>
      <c r="C652" s="784"/>
      <c r="D652" s="784"/>
      <c r="E652" s="784"/>
      <c r="F652" s="784"/>
      <c r="G652" s="784"/>
      <c r="H652" s="784"/>
      <c r="I652" s="784"/>
      <c r="J652" s="784"/>
      <c r="K652" s="784"/>
      <c r="L652" s="784"/>
      <c r="M652" s="784"/>
      <c r="N652" s="784"/>
      <c r="O652" s="784"/>
      <c r="P652" s="784"/>
      <c r="Q652" s="785"/>
      <c r="R652" s="784"/>
      <c r="S652" s="784"/>
      <c r="T652" s="784"/>
      <c r="U652" s="784"/>
      <c r="V652" s="784"/>
      <c r="W652" s="784"/>
      <c r="X652" s="784"/>
      <c r="Y652" s="784"/>
      <c r="Z652" s="784"/>
      <c r="AA652" s="784"/>
      <c r="AB652" s="784"/>
      <c r="AC652" s="784"/>
      <c r="AD652" s="784"/>
      <c r="AE652" s="784"/>
      <c r="AF652" s="784"/>
      <c r="AG652" s="722"/>
      <c r="AH652" s="722"/>
      <c r="AI652" s="784"/>
    </row>
    <row r="653" spans="1:35" x14ac:dyDescent="0.2">
      <c r="A653" s="862" t="s">
        <v>382</v>
      </c>
      <c r="B653" s="713">
        <v>1</v>
      </c>
      <c r="C653" s="735">
        <v>1483.3000000000002</v>
      </c>
      <c r="D653" s="735"/>
      <c r="E653" s="735"/>
      <c r="F653" s="803">
        <v>4267</v>
      </c>
      <c r="G653" s="804"/>
      <c r="H653" s="735"/>
      <c r="I653" s="735"/>
      <c r="J653" s="735"/>
      <c r="K653" s="735">
        <f>SUM(C653:F653)</f>
        <v>5750.3</v>
      </c>
      <c r="L653" s="735">
        <v>1000</v>
      </c>
      <c r="M653" s="735"/>
      <c r="N653" s="735"/>
      <c r="O653" s="735">
        <f>K653*12+L653</f>
        <v>70003.600000000006</v>
      </c>
      <c r="P653" s="805">
        <v>1</v>
      </c>
      <c r="Q653" s="806">
        <v>1</v>
      </c>
      <c r="R653" s="735">
        <v>1483.3000000000002</v>
      </c>
      <c r="S653" s="735"/>
      <c r="T653" s="735"/>
      <c r="U653" s="807">
        <v>4267</v>
      </c>
      <c r="V653" s="804"/>
      <c r="W653" s="735"/>
      <c r="X653" s="735"/>
      <c r="Y653" s="735"/>
      <c r="Z653" s="735">
        <f>SUM(R653:U653)</f>
        <v>5750.3</v>
      </c>
      <c r="AA653" s="735">
        <v>1000</v>
      </c>
      <c r="AB653" s="735"/>
      <c r="AC653" s="735"/>
      <c r="AD653" s="735">
        <f>Z653*12+AA653</f>
        <v>70003.600000000006</v>
      </c>
      <c r="AE653" s="735"/>
      <c r="AF653" s="735">
        <f>O653-AD653</f>
        <v>0</v>
      </c>
      <c r="AG653" s="711"/>
      <c r="AH653" s="713">
        <v>1</v>
      </c>
      <c r="AI653" s="735">
        <v>70003.600000000006</v>
      </c>
    </row>
    <row r="654" spans="1:35" x14ac:dyDescent="0.2">
      <c r="A654" s="862" t="s">
        <v>383</v>
      </c>
      <c r="B654" s="713">
        <v>2</v>
      </c>
      <c r="C654" s="735">
        <v>2847.9599999999991</v>
      </c>
      <c r="D654" s="735"/>
      <c r="E654" s="735"/>
      <c r="F654" s="803">
        <v>6000</v>
      </c>
      <c r="G654" s="804"/>
      <c r="H654" s="735"/>
      <c r="I654" s="735"/>
      <c r="J654" s="735"/>
      <c r="K654" s="735">
        <f t="shared" ref="K654:K657" si="463">SUM(C654:F654)</f>
        <v>8847.9599999999991</v>
      </c>
      <c r="L654" s="735">
        <v>2000</v>
      </c>
      <c r="M654" s="735"/>
      <c r="N654" s="735"/>
      <c r="O654" s="735">
        <f t="shared" ref="O654:O667" si="464">K654*12+L654</f>
        <v>108175.51999999999</v>
      </c>
      <c r="P654" s="805">
        <v>2</v>
      </c>
      <c r="Q654" s="806">
        <v>2</v>
      </c>
      <c r="R654" s="735">
        <v>2847.9599999999991</v>
      </c>
      <c r="S654" s="735"/>
      <c r="T654" s="735"/>
      <c r="U654" s="807">
        <v>6000</v>
      </c>
      <c r="V654" s="804"/>
      <c r="W654" s="735"/>
      <c r="X654" s="735"/>
      <c r="Y654" s="735"/>
      <c r="Z654" s="735">
        <f t="shared" ref="Z654:Z655" si="465">SUM(R654:U654)</f>
        <v>8847.9599999999991</v>
      </c>
      <c r="AA654" s="735">
        <v>2000</v>
      </c>
      <c r="AB654" s="735"/>
      <c r="AC654" s="735"/>
      <c r="AD654" s="735">
        <f t="shared" ref="AD654:AD655" si="466">Z654*12+AA654</f>
        <v>108175.51999999999</v>
      </c>
      <c r="AE654" s="735"/>
      <c r="AF654" s="735">
        <f t="shared" ref="AF654:AF655" si="467">O654-AD654</f>
        <v>0</v>
      </c>
      <c r="AG654" s="711"/>
      <c r="AH654" s="713">
        <v>2</v>
      </c>
      <c r="AI654" s="735">
        <v>108175.51999999999</v>
      </c>
    </row>
    <row r="655" spans="1:35" x14ac:dyDescent="0.2">
      <c r="A655" s="862" t="s">
        <v>406</v>
      </c>
      <c r="B655" s="713">
        <v>1</v>
      </c>
      <c r="C655" s="735">
        <v>1141.0300000000002</v>
      </c>
      <c r="D655" s="735"/>
      <c r="E655" s="735"/>
      <c r="F655" s="803">
        <v>1210</v>
      </c>
      <c r="G655" s="804"/>
      <c r="H655" s="735"/>
      <c r="I655" s="735"/>
      <c r="J655" s="735"/>
      <c r="K655" s="735">
        <f t="shared" si="463"/>
        <v>2351.0300000000002</v>
      </c>
      <c r="L655" s="735">
        <v>1000</v>
      </c>
      <c r="M655" s="735"/>
      <c r="N655" s="735"/>
      <c r="O655" s="735">
        <f t="shared" si="464"/>
        <v>29212.36</v>
      </c>
      <c r="P655" s="805">
        <v>1</v>
      </c>
      <c r="Q655" s="806">
        <v>1</v>
      </c>
      <c r="R655" s="735">
        <v>1141.0300000000002</v>
      </c>
      <c r="S655" s="735"/>
      <c r="T655" s="735"/>
      <c r="U655" s="807">
        <v>1210</v>
      </c>
      <c r="V655" s="804"/>
      <c r="W655" s="735"/>
      <c r="X655" s="735"/>
      <c r="Y655" s="735"/>
      <c r="Z655" s="735">
        <f t="shared" si="465"/>
        <v>2351.0300000000002</v>
      </c>
      <c r="AA655" s="735">
        <v>1000</v>
      </c>
      <c r="AB655" s="735"/>
      <c r="AC655" s="735"/>
      <c r="AD655" s="735">
        <f t="shared" si="466"/>
        <v>29212.36</v>
      </c>
      <c r="AE655" s="735"/>
      <c r="AF655" s="735">
        <f t="shared" si="467"/>
        <v>0</v>
      </c>
      <c r="AG655" s="711"/>
      <c r="AH655" s="713">
        <v>1</v>
      </c>
      <c r="AI655" s="735">
        <v>29212.36</v>
      </c>
    </row>
    <row r="656" spans="1:35" x14ac:dyDescent="0.2">
      <c r="A656" s="873" t="s">
        <v>385</v>
      </c>
      <c r="B656" s="721"/>
      <c r="C656" s="784"/>
      <c r="D656" s="784"/>
      <c r="E656" s="784"/>
      <c r="F656" s="808"/>
      <c r="G656" s="809"/>
      <c r="H656" s="784"/>
      <c r="I656" s="784"/>
      <c r="J656" s="784"/>
      <c r="K656" s="784"/>
      <c r="L656" s="784"/>
      <c r="M656" s="784"/>
      <c r="N656" s="784"/>
      <c r="O656" s="784"/>
      <c r="P656" s="810"/>
      <c r="Q656" s="811"/>
      <c r="R656" s="784"/>
      <c r="S656" s="784"/>
      <c r="T656" s="784"/>
      <c r="U656" s="808"/>
      <c r="V656" s="809"/>
      <c r="W656" s="784"/>
      <c r="X656" s="784"/>
      <c r="Y656" s="784"/>
      <c r="Z656" s="784"/>
      <c r="AA656" s="784"/>
      <c r="AB656" s="784"/>
      <c r="AC656" s="784"/>
      <c r="AD656" s="784"/>
      <c r="AE656" s="784"/>
      <c r="AF656" s="784"/>
      <c r="AG656" s="722"/>
      <c r="AH656" s="812"/>
      <c r="AI656" s="784"/>
    </row>
    <row r="657" spans="1:35" x14ac:dyDescent="0.2">
      <c r="A657" s="862" t="s">
        <v>408</v>
      </c>
      <c r="B657" s="713">
        <v>2</v>
      </c>
      <c r="C657" s="735">
        <v>2028.42</v>
      </c>
      <c r="D657" s="735"/>
      <c r="E657" s="735"/>
      <c r="F657" s="803">
        <v>2220</v>
      </c>
      <c r="G657" s="804"/>
      <c r="H657" s="735"/>
      <c r="I657" s="735"/>
      <c r="J657" s="735"/>
      <c r="K657" s="735">
        <f t="shared" si="463"/>
        <v>4248.42</v>
      </c>
      <c r="L657" s="735">
        <v>2000</v>
      </c>
      <c r="M657" s="735"/>
      <c r="N657" s="735"/>
      <c r="O657" s="735">
        <f t="shared" si="464"/>
        <v>52981.04</v>
      </c>
      <c r="P657" s="805">
        <v>2</v>
      </c>
      <c r="Q657" s="806">
        <v>2</v>
      </c>
      <c r="R657" s="735">
        <v>2028.42</v>
      </c>
      <c r="S657" s="735"/>
      <c r="T657" s="735"/>
      <c r="U657" s="807">
        <v>2220</v>
      </c>
      <c r="V657" s="804"/>
      <c r="W657" s="735"/>
      <c r="X657" s="735"/>
      <c r="Y657" s="735"/>
      <c r="Z657" s="735">
        <f t="shared" ref="Z657" si="468">SUM(R657:U657)</f>
        <v>4248.42</v>
      </c>
      <c r="AA657" s="735">
        <v>2000</v>
      </c>
      <c r="AB657" s="735"/>
      <c r="AC657" s="735"/>
      <c r="AD657" s="735">
        <f t="shared" ref="AD657:AD658" si="469">Z657*12+AA657</f>
        <v>52981.04</v>
      </c>
      <c r="AE657" s="735"/>
      <c r="AF657" s="735">
        <f t="shared" ref="AF657:AF658" si="470">O657-AD657</f>
        <v>0</v>
      </c>
      <c r="AG657" s="711"/>
      <c r="AH657" s="713">
        <v>2</v>
      </c>
      <c r="AI657" s="735">
        <v>52981.04</v>
      </c>
    </row>
    <row r="658" spans="1:35" x14ac:dyDescent="0.2">
      <c r="A658" s="862" t="s">
        <v>437</v>
      </c>
      <c r="B658" s="713">
        <v>1</v>
      </c>
      <c r="C658" s="737">
        <v>1039</v>
      </c>
      <c r="D658" s="735"/>
      <c r="E658" s="735"/>
      <c r="F658" s="803">
        <v>1110</v>
      </c>
      <c r="G658" s="804"/>
      <c r="H658" s="735"/>
      <c r="I658" s="735"/>
      <c r="J658" s="735"/>
      <c r="K658" s="735">
        <f>SUM(C658:F658)</f>
        <v>2149</v>
      </c>
      <c r="L658" s="735">
        <v>1000</v>
      </c>
      <c r="M658" s="735"/>
      <c r="N658" s="735"/>
      <c r="O658" s="735">
        <f t="shared" si="464"/>
        <v>26788</v>
      </c>
      <c r="P658" s="805">
        <v>1</v>
      </c>
      <c r="Q658" s="806">
        <v>1</v>
      </c>
      <c r="R658" s="735">
        <v>1039</v>
      </c>
      <c r="S658" s="735"/>
      <c r="T658" s="735"/>
      <c r="U658" s="807">
        <v>1110</v>
      </c>
      <c r="V658" s="804"/>
      <c r="W658" s="735"/>
      <c r="X658" s="735"/>
      <c r="Y658" s="735"/>
      <c r="Z658" s="735">
        <f>SUM(R658:U658)</f>
        <v>2149</v>
      </c>
      <c r="AA658" s="735">
        <v>1000</v>
      </c>
      <c r="AB658" s="735"/>
      <c r="AC658" s="735"/>
      <c r="AD658" s="735">
        <f t="shared" si="469"/>
        <v>26788</v>
      </c>
      <c r="AE658" s="735"/>
      <c r="AF658" s="735">
        <f t="shared" si="470"/>
        <v>0</v>
      </c>
      <c r="AG658" s="711"/>
      <c r="AH658" s="713">
        <v>1</v>
      </c>
      <c r="AI658" s="735">
        <v>26789.32</v>
      </c>
    </row>
    <row r="659" spans="1:35" x14ac:dyDescent="0.2">
      <c r="A659" s="873" t="s">
        <v>389</v>
      </c>
      <c r="B659" s="721"/>
      <c r="C659" s="784"/>
      <c r="D659" s="784"/>
      <c r="E659" s="784"/>
      <c r="F659" s="808"/>
      <c r="G659" s="809"/>
      <c r="H659" s="784"/>
      <c r="I659" s="784"/>
      <c r="J659" s="784"/>
      <c r="K659" s="784"/>
      <c r="L659" s="784"/>
      <c r="M659" s="784"/>
      <c r="N659" s="784"/>
      <c r="O659" s="784"/>
      <c r="P659" s="810"/>
      <c r="Q659" s="811"/>
      <c r="R659" s="784"/>
      <c r="S659" s="784"/>
      <c r="T659" s="784"/>
      <c r="U659" s="808"/>
      <c r="V659" s="809"/>
      <c r="W659" s="784"/>
      <c r="X659" s="784"/>
      <c r="Y659" s="784"/>
      <c r="Z659" s="784"/>
      <c r="AA659" s="784"/>
      <c r="AB659" s="784"/>
      <c r="AC659" s="784"/>
      <c r="AD659" s="784"/>
      <c r="AE659" s="784"/>
      <c r="AF659" s="784"/>
      <c r="AG659" s="722"/>
      <c r="AH659" s="812"/>
      <c r="AI659" s="784"/>
    </row>
    <row r="660" spans="1:35" x14ac:dyDescent="0.2">
      <c r="A660" s="862" t="s">
        <v>391</v>
      </c>
      <c r="B660" s="713">
        <v>10</v>
      </c>
      <c r="C660" s="735">
        <v>9511.9000000000015</v>
      </c>
      <c r="D660" s="735"/>
      <c r="E660" s="735"/>
      <c r="F660" s="803">
        <v>10700</v>
      </c>
      <c r="G660" s="813"/>
      <c r="H660" s="735"/>
      <c r="I660" s="735"/>
      <c r="J660" s="735"/>
      <c r="K660" s="735">
        <f t="shared" ref="K660:K667" si="471">SUM(C660:F660)</f>
        <v>20211.900000000001</v>
      </c>
      <c r="L660" s="735">
        <v>10000</v>
      </c>
      <c r="M660" s="735"/>
      <c r="N660" s="735"/>
      <c r="O660" s="735">
        <f>K660*12+L660</f>
        <v>252542.80000000002</v>
      </c>
      <c r="P660" s="805">
        <v>10</v>
      </c>
      <c r="Q660" s="806">
        <v>10</v>
      </c>
      <c r="R660" s="735">
        <v>9511.9000000000015</v>
      </c>
      <c r="S660" s="735"/>
      <c r="T660" s="735"/>
      <c r="U660" s="807">
        <v>10700</v>
      </c>
      <c r="V660" s="813"/>
      <c r="W660" s="735"/>
      <c r="X660" s="735"/>
      <c r="Y660" s="735"/>
      <c r="Z660" s="735">
        <f t="shared" ref="Z660:Z663" si="472">SUM(R660:U660)</f>
        <v>20211.900000000001</v>
      </c>
      <c r="AA660" s="735">
        <v>10000</v>
      </c>
      <c r="AB660" s="735"/>
      <c r="AC660" s="735"/>
      <c r="AD660" s="735">
        <f>Z660*12+AA660</f>
        <v>252542.80000000002</v>
      </c>
      <c r="AE660" s="735"/>
      <c r="AF660" s="735">
        <f t="shared" ref="AF660:AF663" si="473">O660-AD660</f>
        <v>0</v>
      </c>
      <c r="AG660" s="711"/>
      <c r="AH660" s="713">
        <v>10</v>
      </c>
      <c r="AI660" s="735">
        <v>252542.80000000002</v>
      </c>
    </row>
    <row r="661" spans="1:35" x14ac:dyDescent="0.2">
      <c r="A661" s="862" t="s">
        <v>392</v>
      </c>
      <c r="B661" s="713">
        <v>14</v>
      </c>
      <c r="C661" s="735">
        <v>13207.740000000002</v>
      </c>
      <c r="D661" s="735"/>
      <c r="E661" s="735"/>
      <c r="F661" s="803">
        <v>14980</v>
      </c>
      <c r="G661" s="804"/>
      <c r="H661" s="735"/>
      <c r="I661" s="735"/>
      <c r="J661" s="735"/>
      <c r="K661" s="735">
        <f t="shared" si="471"/>
        <v>28187.74</v>
      </c>
      <c r="L661" s="735">
        <v>14000</v>
      </c>
      <c r="M661" s="735"/>
      <c r="N661" s="735"/>
      <c r="O661" s="735">
        <f t="shared" si="464"/>
        <v>352252.88</v>
      </c>
      <c r="P661" s="805">
        <v>14</v>
      </c>
      <c r="Q661" s="806">
        <v>14</v>
      </c>
      <c r="R661" s="735">
        <v>13207.740000000002</v>
      </c>
      <c r="S661" s="735"/>
      <c r="T661" s="735"/>
      <c r="U661" s="807">
        <v>14980</v>
      </c>
      <c r="V661" s="804"/>
      <c r="W661" s="735"/>
      <c r="X661" s="735"/>
      <c r="Y661" s="735"/>
      <c r="Z661" s="735">
        <f t="shared" si="472"/>
        <v>28187.74</v>
      </c>
      <c r="AA661" s="735">
        <v>14000</v>
      </c>
      <c r="AB661" s="735"/>
      <c r="AC661" s="735"/>
      <c r="AD661" s="735">
        <f t="shared" ref="AD661:AD663" si="474">Z661*12+AA661</f>
        <v>352252.88</v>
      </c>
      <c r="AE661" s="735"/>
      <c r="AF661" s="735">
        <f t="shared" si="473"/>
        <v>0</v>
      </c>
      <c r="AG661" s="711"/>
      <c r="AH661" s="713">
        <v>14</v>
      </c>
      <c r="AI661" s="735">
        <v>352252.88</v>
      </c>
    </row>
    <row r="662" spans="1:35" x14ac:dyDescent="0.2">
      <c r="A662" s="862" t="s">
        <v>439</v>
      </c>
      <c r="B662" s="713">
        <v>7</v>
      </c>
      <c r="C662" s="735">
        <v>6570.9</v>
      </c>
      <c r="D662" s="735"/>
      <c r="E662" s="735"/>
      <c r="F662" s="803">
        <v>7490</v>
      </c>
      <c r="G662" s="804"/>
      <c r="H662" s="735"/>
      <c r="I662" s="735"/>
      <c r="J662" s="735"/>
      <c r="K662" s="735">
        <f t="shared" si="471"/>
        <v>14060.9</v>
      </c>
      <c r="L662" s="735">
        <v>7000</v>
      </c>
      <c r="M662" s="735"/>
      <c r="N662" s="735"/>
      <c r="O662" s="735">
        <f t="shared" si="464"/>
        <v>175730.8</v>
      </c>
      <c r="P662" s="805">
        <v>7</v>
      </c>
      <c r="Q662" s="806">
        <v>7</v>
      </c>
      <c r="R662" s="735">
        <v>6570.9</v>
      </c>
      <c r="S662" s="735"/>
      <c r="T662" s="735"/>
      <c r="U662" s="807">
        <v>7490</v>
      </c>
      <c r="V662" s="804"/>
      <c r="W662" s="735"/>
      <c r="X662" s="735"/>
      <c r="Y662" s="735"/>
      <c r="Z662" s="735">
        <f t="shared" si="472"/>
        <v>14060.9</v>
      </c>
      <c r="AA662" s="735">
        <v>7000</v>
      </c>
      <c r="AB662" s="735"/>
      <c r="AC662" s="735"/>
      <c r="AD662" s="735">
        <f t="shared" si="474"/>
        <v>175730.8</v>
      </c>
      <c r="AE662" s="735"/>
      <c r="AF662" s="735">
        <f t="shared" si="473"/>
        <v>0</v>
      </c>
      <c r="AG662" s="711"/>
      <c r="AH662" s="713">
        <v>7</v>
      </c>
      <c r="AI662" s="735">
        <v>175730.8</v>
      </c>
    </row>
    <row r="663" spans="1:35" x14ac:dyDescent="0.2">
      <c r="A663" s="862" t="s">
        <v>440</v>
      </c>
      <c r="B663" s="713">
        <v>3</v>
      </c>
      <c r="C663" s="735">
        <v>2810.1000000000004</v>
      </c>
      <c r="D663" s="735"/>
      <c r="E663" s="735"/>
      <c r="F663" s="803">
        <v>3210</v>
      </c>
      <c r="G663" s="804"/>
      <c r="H663" s="735"/>
      <c r="I663" s="735"/>
      <c r="J663" s="735"/>
      <c r="K663" s="735">
        <f t="shared" si="471"/>
        <v>6020.1</v>
      </c>
      <c r="L663" s="735">
        <v>3000</v>
      </c>
      <c r="M663" s="735"/>
      <c r="N663" s="735"/>
      <c r="O663" s="735">
        <f t="shared" si="464"/>
        <v>75241.200000000012</v>
      </c>
      <c r="P663" s="805">
        <v>3</v>
      </c>
      <c r="Q663" s="806">
        <v>3</v>
      </c>
      <c r="R663" s="735">
        <v>2810.1000000000004</v>
      </c>
      <c r="S663" s="735"/>
      <c r="T663" s="735"/>
      <c r="U663" s="807">
        <v>3210</v>
      </c>
      <c r="V663" s="804"/>
      <c r="W663" s="735"/>
      <c r="X663" s="735"/>
      <c r="Y663" s="735"/>
      <c r="Z663" s="735">
        <f t="shared" si="472"/>
        <v>6020.1</v>
      </c>
      <c r="AA663" s="735">
        <v>3000</v>
      </c>
      <c r="AB663" s="735"/>
      <c r="AC663" s="735"/>
      <c r="AD663" s="735">
        <f t="shared" si="474"/>
        <v>75241.200000000012</v>
      </c>
      <c r="AE663" s="735"/>
      <c r="AF663" s="735">
        <f t="shared" si="473"/>
        <v>0</v>
      </c>
      <c r="AG663" s="711"/>
      <c r="AH663" s="713">
        <v>3</v>
      </c>
      <c r="AI663" s="735">
        <v>75241.200000000012</v>
      </c>
    </row>
    <row r="664" spans="1:35" x14ac:dyDescent="0.2">
      <c r="A664" s="873" t="s">
        <v>393</v>
      </c>
      <c r="B664" s="721"/>
      <c r="C664" s="784"/>
      <c r="D664" s="784"/>
      <c r="E664" s="784"/>
      <c r="F664" s="808"/>
      <c r="G664" s="809"/>
      <c r="H664" s="784"/>
      <c r="I664" s="784"/>
      <c r="J664" s="784"/>
      <c r="K664" s="784"/>
      <c r="L664" s="784"/>
      <c r="M664" s="784"/>
      <c r="N664" s="784"/>
      <c r="O664" s="784"/>
      <c r="P664" s="810"/>
      <c r="Q664" s="811"/>
      <c r="R664" s="784"/>
      <c r="S664" s="784"/>
      <c r="T664" s="784"/>
      <c r="U664" s="808"/>
      <c r="V664" s="809"/>
      <c r="W664" s="784"/>
      <c r="X664" s="784"/>
      <c r="Y664" s="784"/>
      <c r="Z664" s="784"/>
      <c r="AA664" s="784"/>
      <c r="AB664" s="784"/>
      <c r="AC664" s="784"/>
      <c r="AD664" s="784"/>
      <c r="AE664" s="784"/>
      <c r="AF664" s="784"/>
      <c r="AG664" s="722"/>
      <c r="AH664" s="812"/>
      <c r="AI664" s="784"/>
    </row>
    <row r="665" spans="1:35" x14ac:dyDescent="0.2">
      <c r="A665" s="862" t="s">
        <v>441</v>
      </c>
      <c r="B665" s="713">
        <v>4</v>
      </c>
      <c r="C665" s="735">
        <v>3649.24</v>
      </c>
      <c r="D665" s="735"/>
      <c r="E665" s="735"/>
      <c r="F665" s="803">
        <v>4280</v>
      </c>
      <c r="G665" s="804"/>
      <c r="H665" s="735"/>
      <c r="I665" s="735"/>
      <c r="J665" s="735"/>
      <c r="K665" s="735">
        <f t="shared" si="471"/>
        <v>7929.24</v>
      </c>
      <c r="L665" s="735">
        <v>4000</v>
      </c>
      <c r="M665" s="735"/>
      <c r="N665" s="735"/>
      <c r="O665" s="735">
        <f t="shared" si="464"/>
        <v>99150.88</v>
      </c>
      <c r="P665" s="805">
        <v>4</v>
      </c>
      <c r="Q665" s="806">
        <v>4</v>
      </c>
      <c r="R665" s="735">
        <v>3649.24</v>
      </c>
      <c r="S665" s="735"/>
      <c r="T665" s="735"/>
      <c r="U665" s="807">
        <v>4280</v>
      </c>
      <c r="V665" s="804"/>
      <c r="W665" s="735"/>
      <c r="X665" s="735"/>
      <c r="Y665" s="735"/>
      <c r="Z665" s="735">
        <f t="shared" ref="Z665:Z667" si="475">SUM(R665:U665)</f>
        <v>7929.24</v>
      </c>
      <c r="AA665" s="735">
        <v>4000</v>
      </c>
      <c r="AB665" s="735"/>
      <c r="AC665" s="735"/>
      <c r="AD665" s="735">
        <f t="shared" ref="AD665:AD667" si="476">Z665*12+AA665</f>
        <v>99150.88</v>
      </c>
      <c r="AE665" s="735"/>
      <c r="AF665" s="735">
        <f t="shared" ref="AF665:AF667" si="477">O665-AD665</f>
        <v>0</v>
      </c>
      <c r="AG665" s="711"/>
      <c r="AH665" s="713">
        <v>4</v>
      </c>
      <c r="AI665" s="735">
        <v>99150.88</v>
      </c>
    </row>
    <row r="666" spans="1:35" x14ac:dyDescent="0.2">
      <c r="A666" s="862" t="s">
        <v>442</v>
      </c>
      <c r="B666" s="713">
        <v>1</v>
      </c>
      <c r="C666" s="735">
        <v>904.53</v>
      </c>
      <c r="D666" s="735"/>
      <c r="E666" s="735"/>
      <c r="F666" s="803">
        <v>1070</v>
      </c>
      <c r="G666" s="804"/>
      <c r="H666" s="735"/>
      <c r="I666" s="735"/>
      <c r="J666" s="735"/>
      <c r="K666" s="735">
        <f t="shared" si="471"/>
        <v>1974.53</v>
      </c>
      <c r="L666" s="735">
        <v>1000</v>
      </c>
      <c r="M666" s="735"/>
      <c r="N666" s="735"/>
      <c r="O666" s="735">
        <f t="shared" si="464"/>
        <v>24694.36</v>
      </c>
      <c r="P666" s="805">
        <v>1</v>
      </c>
      <c r="Q666" s="806">
        <v>1</v>
      </c>
      <c r="R666" s="735">
        <v>904.53</v>
      </c>
      <c r="S666" s="735"/>
      <c r="T666" s="735"/>
      <c r="U666" s="807">
        <v>1070</v>
      </c>
      <c r="V666" s="804"/>
      <c r="W666" s="735"/>
      <c r="X666" s="735"/>
      <c r="Y666" s="735"/>
      <c r="Z666" s="735">
        <f t="shared" si="475"/>
        <v>1974.53</v>
      </c>
      <c r="AA666" s="735">
        <v>1000</v>
      </c>
      <c r="AB666" s="735"/>
      <c r="AC666" s="735"/>
      <c r="AD666" s="735">
        <f t="shared" si="476"/>
        <v>24694.36</v>
      </c>
      <c r="AE666" s="735"/>
      <c r="AF666" s="735">
        <f t="shared" si="477"/>
        <v>0</v>
      </c>
      <c r="AG666" s="711"/>
      <c r="AH666" s="713">
        <v>1</v>
      </c>
      <c r="AI666" s="735">
        <v>24694.36</v>
      </c>
    </row>
    <row r="667" spans="1:35" x14ac:dyDescent="0.2">
      <c r="A667" s="862" t="s">
        <v>443</v>
      </c>
      <c r="B667" s="713">
        <v>1</v>
      </c>
      <c r="C667" s="735">
        <v>896.75</v>
      </c>
      <c r="D667" s="735"/>
      <c r="E667" s="735"/>
      <c r="F667" s="803">
        <v>1070</v>
      </c>
      <c r="G667" s="804"/>
      <c r="H667" s="735"/>
      <c r="I667" s="735"/>
      <c r="J667" s="735"/>
      <c r="K667" s="735">
        <f t="shared" si="471"/>
        <v>1966.75</v>
      </c>
      <c r="L667" s="735">
        <v>1000</v>
      </c>
      <c r="M667" s="735"/>
      <c r="N667" s="735"/>
      <c r="O667" s="735">
        <f t="shared" si="464"/>
        <v>24601</v>
      </c>
      <c r="P667" s="805">
        <v>1</v>
      </c>
      <c r="Q667" s="806">
        <v>1</v>
      </c>
      <c r="R667" s="735">
        <v>896.75</v>
      </c>
      <c r="S667" s="735"/>
      <c r="T667" s="735"/>
      <c r="U667" s="807">
        <v>1070</v>
      </c>
      <c r="V667" s="804"/>
      <c r="W667" s="735"/>
      <c r="X667" s="735"/>
      <c r="Y667" s="735"/>
      <c r="Z667" s="735">
        <f t="shared" si="475"/>
        <v>1966.75</v>
      </c>
      <c r="AA667" s="735">
        <v>1000</v>
      </c>
      <c r="AB667" s="735"/>
      <c r="AC667" s="735"/>
      <c r="AD667" s="735">
        <f t="shared" si="476"/>
        <v>24601</v>
      </c>
      <c r="AE667" s="735"/>
      <c r="AF667" s="735">
        <f t="shared" si="477"/>
        <v>0</v>
      </c>
      <c r="AG667" s="711"/>
      <c r="AH667" s="713">
        <v>1</v>
      </c>
      <c r="AI667" s="735">
        <v>24601</v>
      </c>
    </row>
    <row r="668" spans="1:35" ht="36" x14ac:dyDescent="0.2">
      <c r="A668" s="71" t="s">
        <v>511</v>
      </c>
      <c r="B668" s="713"/>
      <c r="C668" s="735"/>
      <c r="D668" s="735"/>
      <c r="E668" s="735"/>
      <c r="F668" s="803"/>
      <c r="G668" s="804"/>
      <c r="H668" s="735"/>
      <c r="I668" s="735"/>
      <c r="J668" s="735"/>
      <c r="K668" s="735"/>
      <c r="L668" s="735"/>
      <c r="M668" s="735"/>
      <c r="N668" s="735"/>
      <c r="O668" s="735"/>
      <c r="P668" s="805"/>
      <c r="Q668" s="806"/>
      <c r="R668" s="735"/>
      <c r="S668" s="735"/>
      <c r="T668" s="735"/>
      <c r="U668" s="807"/>
      <c r="V668" s="804"/>
      <c r="W668" s="735"/>
      <c r="X668" s="735"/>
      <c r="Y668" s="735"/>
      <c r="Z668" s="735"/>
      <c r="AA668" s="735"/>
      <c r="AB668" s="735"/>
      <c r="AC668" s="735"/>
      <c r="AD668" s="735"/>
      <c r="AE668" s="735"/>
      <c r="AF668" s="735"/>
      <c r="AG668" s="711"/>
      <c r="AH668" s="713"/>
      <c r="AI668" s="735"/>
    </row>
    <row r="669" spans="1:35" x14ac:dyDescent="0.2">
      <c r="A669" s="873" t="s">
        <v>484</v>
      </c>
      <c r="B669" s="814"/>
      <c r="C669" s="784"/>
      <c r="D669" s="784"/>
      <c r="E669" s="784"/>
      <c r="F669" s="808"/>
      <c r="G669" s="815"/>
      <c r="H669" s="784"/>
      <c r="I669" s="784"/>
      <c r="J669" s="784"/>
      <c r="K669" s="784"/>
      <c r="L669" s="784"/>
      <c r="M669" s="784"/>
      <c r="N669" s="784"/>
      <c r="O669" s="784"/>
      <c r="P669" s="816"/>
      <c r="Q669" s="817"/>
      <c r="R669" s="784"/>
      <c r="S669" s="784"/>
      <c r="T669" s="784"/>
      <c r="U669" s="808"/>
      <c r="V669" s="815"/>
      <c r="W669" s="784"/>
      <c r="X669" s="784"/>
      <c r="Y669" s="784"/>
      <c r="Z669" s="784"/>
      <c r="AA669" s="784"/>
      <c r="AB669" s="784"/>
      <c r="AC669" s="784"/>
      <c r="AD669" s="784"/>
      <c r="AE669" s="784"/>
      <c r="AF669" s="784"/>
      <c r="AG669" s="722"/>
      <c r="AH669" s="814"/>
      <c r="AI669" s="784"/>
    </row>
    <row r="670" spans="1:35" x14ac:dyDescent="0.2">
      <c r="A670" s="862" t="s">
        <v>512</v>
      </c>
      <c r="B670" s="713">
        <v>9</v>
      </c>
      <c r="C670" s="804">
        <v>85841.49</v>
      </c>
      <c r="D670" s="735"/>
      <c r="E670" s="735"/>
      <c r="F670" s="803"/>
      <c r="G670" s="804"/>
      <c r="H670" s="735"/>
      <c r="I670" s="735"/>
      <c r="J670" s="735"/>
      <c r="K670" s="735">
        <f>C670</f>
        <v>85841.49</v>
      </c>
      <c r="L670" s="735">
        <v>9000</v>
      </c>
      <c r="M670" s="735"/>
      <c r="N670" s="735"/>
      <c r="O670" s="735">
        <f t="shared" ref="O670:O678" si="478">K670*12+L670</f>
        <v>1039097.8800000001</v>
      </c>
      <c r="P670" s="805">
        <v>9</v>
      </c>
      <c r="Q670" s="806">
        <v>9</v>
      </c>
      <c r="R670" s="804">
        <v>85841.49</v>
      </c>
      <c r="S670" s="735"/>
      <c r="T670" s="735"/>
      <c r="U670" s="807"/>
      <c r="V670" s="804"/>
      <c r="W670" s="735"/>
      <c r="X670" s="735"/>
      <c r="Y670" s="735"/>
      <c r="Z670" s="735">
        <f>R670</f>
        <v>85841.49</v>
      </c>
      <c r="AA670" s="735">
        <v>9000</v>
      </c>
      <c r="AB670" s="735"/>
      <c r="AC670" s="735"/>
      <c r="AD670" s="735">
        <f t="shared" ref="AD670:AD673" si="479">Z670*12+AA670</f>
        <v>1039097.8800000001</v>
      </c>
      <c r="AE670" s="735"/>
      <c r="AF670" s="735">
        <f t="shared" ref="AF670:AF673" si="480">O670-AD670</f>
        <v>0</v>
      </c>
      <c r="AG670" s="711"/>
      <c r="AH670" s="713">
        <v>9</v>
      </c>
      <c r="AI670" s="735">
        <v>1039097.8800000001</v>
      </c>
    </row>
    <row r="671" spans="1:35" x14ac:dyDescent="0.2">
      <c r="A671" s="862" t="s">
        <v>513</v>
      </c>
      <c r="B671" s="713">
        <v>7</v>
      </c>
      <c r="C671" s="804">
        <v>64095.32</v>
      </c>
      <c r="D671" s="735"/>
      <c r="E671" s="735"/>
      <c r="F671" s="735"/>
      <c r="G671" s="804"/>
      <c r="H671" s="735"/>
      <c r="I671" s="735"/>
      <c r="J671" s="735"/>
      <c r="K671" s="735">
        <f t="shared" ref="K671:K692" si="481">C671</f>
        <v>64095.32</v>
      </c>
      <c r="L671" s="735">
        <v>7000</v>
      </c>
      <c r="M671" s="735"/>
      <c r="N671" s="735"/>
      <c r="O671" s="735">
        <f t="shared" si="478"/>
        <v>776143.84</v>
      </c>
      <c r="P671" s="805">
        <v>7</v>
      </c>
      <c r="Q671" s="806">
        <v>7</v>
      </c>
      <c r="R671" s="804">
        <v>64095.32</v>
      </c>
      <c r="S671" s="735"/>
      <c r="T671" s="735"/>
      <c r="U671" s="735"/>
      <c r="V671" s="804"/>
      <c r="W671" s="735"/>
      <c r="X671" s="735"/>
      <c r="Y671" s="735"/>
      <c r="Z671" s="735">
        <f t="shared" ref="Z671:Z673" si="482">R671</f>
        <v>64095.32</v>
      </c>
      <c r="AA671" s="735">
        <v>7000</v>
      </c>
      <c r="AB671" s="735"/>
      <c r="AC671" s="735"/>
      <c r="AD671" s="735">
        <f t="shared" si="479"/>
        <v>776143.84</v>
      </c>
      <c r="AE671" s="735"/>
      <c r="AF671" s="735">
        <f t="shared" si="480"/>
        <v>0</v>
      </c>
      <c r="AG671" s="711"/>
      <c r="AH671" s="713">
        <v>7</v>
      </c>
      <c r="AI671" s="735">
        <v>776143.84</v>
      </c>
    </row>
    <row r="672" spans="1:35" x14ac:dyDescent="0.2">
      <c r="A672" s="862" t="s">
        <v>514</v>
      </c>
      <c r="B672" s="713">
        <v>6</v>
      </c>
      <c r="C672" s="804">
        <v>54451.07</v>
      </c>
      <c r="D672" s="735"/>
      <c r="E672" s="735"/>
      <c r="F672" s="735"/>
      <c r="G672" s="804"/>
      <c r="H672" s="735"/>
      <c r="I672" s="735"/>
      <c r="J672" s="735"/>
      <c r="K672" s="735">
        <f t="shared" si="481"/>
        <v>54451.07</v>
      </c>
      <c r="L672" s="735">
        <v>6000</v>
      </c>
      <c r="M672" s="735"/>
      <c r="N672" s="735"/>
      <c r="O672" s="735">
        <f t="shared" si="478"/>
        <v>659412.84</v>
      </c>
      <c r="P672" s="805">
        <v>6</v>
      </c>
      <c r="Q672" s="806">
        <v>6</v>
      </c>
      <c r="R672" s="804">
        <v>54451.07</v>
      </c>
      <c r="S672" s="735"/>
      <c r="T672" s="735"/>
      <c r="U672" s="735"/>
      <c r="V672" s="804"/>
      <c r="W672" s="735"/>
      <c r="X672" s="735"/>
      <c r="Y672" s="735"/>
      <c r="Z672" s="735">
        <f t="shared" si="482"/>
        <v>54451.07</v>
      </c>
      <c r="AA672" s="735">
        <v>6000</v>
      </c>
      <c r="AB672" s="735"/>
      <c r="AC672" s="735"/>
      <c r="AD672" s="735">
        <f t="shared" si="479"/>
        <v>659412.84</v>
      </c>
      <c r="AE672" s="735"/>
      <c r="AF672" s="735">
        <f t="shared" si="480"/>
        <v>0</v>
      </c>
      <c r="AG672" s="711"/>
      <c r="AH672" s="713">
        <v>6</v>
      </c>
      <c r="AI672" s="735">
        <v>659412.84</v>
      </c>
    </row>
    <row r="673" spans="1:35" x14ac:dyDescent="0.2">
      <c r="A673" s="862" t="s">
        <v>515</v>
      </c>
      <c r="B673" s="713">
        <v>29</v>
      </c>
      <c r="C673" s="804">
        <f>206476.45</f>
        <v>206476.45</v>
      </c>
      <c r="D673" s="735"/>
      <c r="E673" s="735"/>
      <c r="F673" s="735"/>
      <c r="G673" s="804"/>
      <c r="H673" s="735"/>
      <c r="I673" s="735"/>
      <c r="J673" s="735"/>
      <c r="K673" s="735">
        <f t="shared" si="481"/>
        <v>206476.45</v>
      </c>
      <c r="L673" s="735">
        <v>29000</v>
      </c>
      <c r="M673" s="735"/>
      <c r="N673" s="735"/>
      <c r="O673" s="735">
        <f t="shared" si="478"/>
        <v>2506717.4000000004</v>
      </c>
      <c r="P673" s="805">
        <v>29</v>
      </c>
      <c r="Q673" s="806">
        <v>29</v>
      </c>
      <c r="R673" s="804">
        <f>206476.45</f>
        <v>206476.45</v>
      </c>
      <c r="S673" s="735"/>
      <c r="T673" s="735"/>
      <c r="U673" s="735"/>
      <c r="V673" s="804"/>
      <c r="W673" s="735"/>
      <c r="X673" s="735"/>
      <c r="Y673" s="735"/>
      <c r="Z673" s="735">
        <f t="shared" si="482"/>
        <v>206476.45</v>
      </c>
      <c r="AA673" s="735">
        <v>29000</v>
      </c>
      <c r="AB673" s="735"/>
      <c r="AC673" s="735"/>
      <c r="AD673" s="735">
        <f t="shared" si="479"/>
        <v>2506717.4000000004</v>
      </c>
      <c r="AE673" s="735"/>
      <c r="AF673" s="735">
        <f t="shared" si="480"/>
        <v>0</v>
      </c>
      <c r="AG673" s="711"/>
      <c r="AH673" s="713">
        <v>31</v>
      </c>
      <c r="AI673" s="735">
        <v>2683708.84</v>
      </c>
    </row>
    <row r="674" spans="1:35" x14ac:dyDescent="0.2">
      <c r="A674" s="71" t="s">
        <v>516</v>
      </c>
      <c r="B674" s="713"/>
      <c r="C674" s="735"/>
      <c r="D674" s="735"/>
      <c r="E674" s="735"/>
      <c r="F674" s="735"/>
      <c r="G674" s="804"/>
      <c r="H674" s="735"/>
      <c r="I674" s="735"/>
      <c r="J674" s="735"/>
      <c r="K674" s="735"/>
      <c r="L674" s="735"/>
      <c r="M674" s="735"/>
      <c r="N674" s="735"/>
      <c r="O674" s="735"/>
      <c r="P674" s="805"/>
      <c r="Q674" s="806"/>
      <c r="R674" s="735"/>
      <c r="S674" s="735"/>
      <c r="T674" s="735"/>
      <c r="U674" s="735"/>
      <c r="V674" s="804"/>
      <c r="W674" s="735"/>
      <c r="X674" s="735"/>
      <c r="Y674" s="735"/>
      <c r="Z674" s="735"/>
      <c r="AA674" s="735"/>
      <c r="AB674" s="735"/>
      <c r="AC674" s="735"/>
      <c r="AD674" s="735"/>
      <c r="AE674" s="735"/>
      <c r="AF674" s="735"/>
      <c r="AG674" s="711"/>
      <c r="AH674" s="713"/>
      <c r="AI674" s="735"/>
    </row>
    <row r="675" spans="1:35" x14ac:dyDescent="0.2">
      <c r="A675" s="862" t="s">
        <v>498</v>
      </c>
      <c r="B675" s="713">
        <v>3</v>
      </c>
      <c r="C675" s="804">
        <v>19603.650000000001</v>
      </c>
      <c r="D675" s="735"/>
      <c r="E675" s="735"/>
      <c r="F675" s="735"/>
      <c r="G675" s="804"/>
      <c r="H675" s="735"/>
      <c r="I675" s="735"/>
      <c r="J675" s="735"/>
      <c r="K675" s="735">
        <f t="shared" si="481"/>
        <v>19603.650000000001</v>
      </c>
      <c r="L675" s="735">
        <v>3000</v>
      </c>
      <c r="M675" s="735"/>
      <c r="N675" s="735"/>
      <c r="O675" s="735">
        <f t="shared" si="478"/>
        <v>238243.80000000002</v>
      </c>
      <c r="P675" s="805">
        <v>3</v>
      </c>
      <c r="Q675" s="806">
        <v>3</v>
      </c>
      <c r="R675" s="804">
        <v>19603.650000000001</v>
      </c>
      <c r="S675" s="735"/>
      <c r="T675" s="735"/>
      <c r="U675" s="735"/>
      <c r="V675" s="804"/>
      <c r="W675" s="735"/>
      <c r="X675" s="735"/>
      <c r="Y675" s="735"/>
      <c r="Z675" s="735">
        <f t="shared" ref="Z675:Z679" si="483">R675</f>
        <v>19603.650000000001</v>
      </c>
      <c r="AA675" s="735">
        <v>3000</v>
      </c>
      <c r="AB675" s="735"/>
      <c r="AC675" s="735"/>
      <c r="AD675" s="735">
        <f t="shared" ref="AD675:AD678" si="484">Z675*12+AA675</f>
        <v>238243.80000000002</v>
      </c>
      <c r="AE675" s="735"/>
      <c r="AF675" s="735">
        <f t="shared" ref="AF675:AF679" si="485">O675-AD675</f>
        <v>0</v>
      </c>
      <c r="AG675" s="711"/>
      <c r="AH675" s="713">
        <v>3</v>
      </c>
      <c r="AI675" s="735">
        <v>238243.80000000002</v>
      </c>
    </row>
    <row r="676" spans="1:35" x14ac:dyDescent="0.2">
      <c r="A676" s="862" t="s">
        <v>499</v>
      </c>
      <c r="B676" s="713">
        <v>3</v>
      </c>
      <c r="C676" s="804">
        <v>17475.72</v>
      </c>
      <c r="D676" s="735"/>
      <c r="E676" s="735"/>
      <c r="F676" s="735"/>
      <c r="G676" s="804"/>
      <c r="H676" s="735"/>
      <c r="I676" s="735"/>
      <c r="J676" s="735"/>
      <c r="K676" s="735">
        <f t="shared" si="481"/>
        <v>17475.72</v>
      </c>
      <c r="L676" s="735">
        <v>3000</v>
      </c>
      <c r="M676" s="735"/>
      <c r="N676" s="735"/>
      <c r="O676" s="735">
        <f t="shared" si="478"/>
        <v>212708.64</v>
      </c>
      <c r="P676" s="805">
        <v>3</v>
      </c>
      <c r="Q676" s="806">
        <v>3</v>
      </c>
      <c r="R676" s="804">
        <v>17475.72</v>
      </c>
      <c r="S676" s="735"/>
      <c r="T676" s="735"/>
      <c r="U676" s="735"/>
      <c r="V676" s="804"/>
      <c r="W676" s="735"/>
      <c r="X676" s="735"/>
      <c r="Y676" s="735"/>
      <c r="Z676" s="735">
        <f t="shared" si="483"/>
        <v>17475.72</v>
      </c>
      <c r="AA676" s="735">
        <v>3000</v>
      </c>
      <c r="AB676" s="735"/>
      <c r="AC676" s="735"/>
      <c r="AD676" s="735">
        <f t="shared" si="484"/>
        <v>212708.64</v>
      </c>
      <c r="AE676" s="735"/>
      <c r="AF676" s="735">
        <f t="shared" si="485"/>
        <v>0</v>
      </c>
      <c r="AG676" s="711"/>
      <c r="AH676" s="713">
        <v>3</v>
      </c>
      <c r="AI676" s="735">
        <v>212708.64</v>
      </c>
    </row>
    <row r="677" spans="1:35" x14ac:dyDescent="0.2">
      <c r="A677" s="862" t="s">
        <v>500</v>
      </c>
      <c r="B677" s="713">
        <v>4</v>
      </c>
      <c r="C677" s="804">
        <v>22954.6</v>
      </c>
      <c r="D677" s="735"/>
      <c r="E677" s="735"/>
      <c r="F677" s="735"/>
      <c r="G677" s="804"/>
      <c r="H677" s="735"/>
      <c r="I677" s="735"/>
      <c r="J677" s="735"/>
      <c r="K677" s="735">
        <f t="shared" si="481"/>
        <v>22954.6</v>
      </c>
      <c r="L677" s="735">
        <v>4000</v>
      </c>
      <c r="M677" s="735"/>
      <c r="N677" s="735"/>
      <c r="O677" s="735">
        <f t="shared" si="478"/>
        <v>279455.19999999995</v>
      </c>
      <c r="P677" s="805">
        <v>4</v>
      </c>
      <c r="Q677" s="806">
        <v>4</v>
      </c>
      <c r="R677" s="804">
        <v>22954.6</v>
      </c>
      <c r="S677" s="735"/>
      <c r="T677" s="735"/>
      <c r="U677" s="735"/>
      <c r="V677" s="804"/>
      <c r="W677" s="735"/>
      <c r="X677" s="735"/>
      <c r="Y677" s="735"/>
      <c r="Z677" s="735">
        <f t="shared" si="483"/>
        <v>22954.6</v>
      </c>
      <c r="AA677" s="735">
        <v>4000</v>
      </c>
      <c r="AB677" s="735"/>
      <c r="AC677" s="735"/>
      <c r="AD677" s="735">
        <f t="shared" si="484"/>
        <v>279455.19999999995</v>
      </c>
      <c r="AE677" s="735"/>
      <c r="AF677" s="735">
        <f t="shared" si="485"/>
        <v>0</v>
      </c>
      <c r="AG677" s="711"/>
      <c r="AH677" s="713">
        <v>4</v>
      </c>
      <c r="AI677" s="735">
        <v>279455.19999999995</v>
      </c>
    </row>
    <row r="678" spans="1:35" x14ac:dyDescent="0.2">
      <c r="A678" s="862" t="s">
        <v>501</v>
      </c>
      <c r="B678" s="713">
        <v>2</v>
      </c>
      <c r="C678" s="804">
        <v>11075.62</v>
      </c>
      <c r="D678" s="735"/>
      <c r="E678" s="735"/>
      <c r="F678" s="735"/>
      <c r="G678" s="804"/>
      <c r="H678" s="735"/>
      <c r="I678" s="735"/>
      <c r="J678" s="735"/>
      <c r="K678" s="735">
        <f t="shared" si="481"/>
        <v>11075.62</v>
      </c>
      <c r="L678" s="735">
        <v>2000</v>
      </c>
      <c r="M678" s="735"/>
      <c r="N678" s="735"/>
      <c r="O678" s="735">
        <f t="shared" si="478"/>
        <v>134907.44</v>
      </c>
      <c r="P678" s="805">
        <v>2</v>
      </c>
      <c r="Q678" s="806">
        <v>2</v>
      </c>
      <c r="R678" s="804">
        <v>11075.62</v>
      </c>
      <c r="S678" s="735"/>
      <c r="T678" s="735"/>
      <c r="U678" s="735"/>
      <c r="V678" s="804"/>
      <c r="W678" s="735"/>
      <c r="X678" s="735"/>
      <c r="Y678" s="735"/>
      <c r="Z678" s="735">
        <f t="shared" si="483"/>
        <v>11075.62</v>
      </c>
      <c r="AA678" s="735">
        <v>2000</v>
      </c>
      <c r="AB678" s="735"/>
      <c r="AC678" s="735"/>
      <c r="AD678" s="735">
        <f t="shared" si="484"/>
        <v>134907.44</v>
      </c>
      <c r="AE678" s="735"/>
      <c r="AF678" s="735">
        <f t="shared" si="485"/>
        <v>0</v>
      </c>
      <c r="AG678" s="711"/>
      <c r="AH678" s="713">
        <v>2</v>
      </c>
      <c r="AI678" s="735">
        <v>134907.44</v>
      </c>
    </row>
    <row r="679" spans="1:35" x14ac:dyDescent="0.2">
      <c r="A679" s="862" t="s">
        <v>502</v>
      </c>
      <c r="B679" s="713">
        <v>24</v>
      </c>
      <c r="C679" s="804">
        <f>109182.33</f>
        <v>109182.33</v>
      </c>
      <c r="D679" s="735"/>
      <c r="E679" s="735"/>
      <c r="F679" s="735"/>
      <c r="G679" s="804"/>
      <c r="H679" s="735"/>
      <c r="I679" s="735"/>
      <c r="J679" s="735"/>
      <c r="K679" s="735">
        <f t="shared" si="481"/>
        <v>109182.33</v>
      </c>
      <c r="L679" s="735">
        <v>24000</v>
      </c>
      <c r="M679" s="735"/>
      <c r="N679" s="735"/>
      <c r="O679" s="735">
        <f>K679*12+L679</f>
        <v>1334187.96</v>
      </c>
      <c r="P679" s="805">
        <v>24</v>
      </c>
      <c r="Q679" s="806">
        <v>24</v>
      </c>
      <c r="R679" s="804">
        <f>109182.33</f>
        <v>109182.33</v>
      </c>
      <c r="S679" s="735"/>
      <c r="T679" s="735"/>
      <c r="U679" s="735"/>
      <c r="V679" s="804"/>
      <c r="W679" s="735"/>
      <c r="X679" s="735"/>
      <c r="Y679" s="735"/>
      <c r="Z679" s="735">
        <f t="shared" si="483"/>
        <v>109182.33</v>
      </c>
      <c r="AA679" s="735">
        <v>24000</v>
      </c>
      <c r="AB679" s="735"/>
      <c r="AC679" s="735"/>
      <c r="AD679" s="735">
        <f>Z679*12+AA679</f>
        <v>1334187.96</v>
      </c>
      <c r="AE679" s="735"/>
      <c r="AF679" s="735">
        <f t="shared" si="485"/>
        <v>0</v>
      </c>
      <c r="AG679" s="711"/>
      <c r="AH679" s="713">
        <v>25</v>
      </c>
      <c r="AI679" s="735">
        <v>1381263.4</v>
      </c>
    </row>
    <row r="680" spans="1:35" x14ac:dyDescent="0.2">
      <c r="A680" s="71" t="s">
        <v>517</v>
      </c>
      <c r="B680" s="713"/>
      <c r="C680" s="735"/>
      <c r="D680" s="735"/>
      <c r="E680" s="735"/>
      <c r="F680" s="735"/>
      <c r="G680" s="804"/>
      <c r="H680" s="735"/>
      <c r="I680" s="735"/>
      <c r="J680" s="735"/>
      <c r="K680" s="735"/>
      <c r="L680" s="735"/>
      <c r="M680" s="735"/>
      <c r="N680" s="735"/>
      <c r="O680" s="735"/>
      <c r="P680" s="805"/>
      <c r="Q680" s="806"/>
      <c r="R680" s="735"/>
      <c r="S680" s="735"/>
      <c r="T680" s="735"/>
      <c r="U680" s="735"/>
      <c r="V680" s="804"/>
      <c r="W680" s="735"/>
      <c r="X680" s="735"/>
      <c r="Y680" s="735"/>
      <c r="Z680" s="735"/>
      <c r="AA680" s="735"/>
      <c r="AB680" s="735"/>
      <c r="AC680" s="735"/>
      <c r="AD680" s="735"/>
      <c r="AE680" s="735"/>
      <c r="AF680" s="735"/>
      <c r="AG680" s="711"/>
      <c r="AH680" s="713"/>
      <c r="AI680" s="735"/>
    </row>
    <row r="681" spans="1:35" x14ac:dyDescent="0.2">
      <c r="A681" s="862">
        <v>14</v>
      </c>
      <c r="B681" s="713">
        <v>9</v>
      </c>
      <c r="C681" s="804">
        <v>60673.95</v>
      </c>
      <c r="D681" s="735"/>
      <c r="E681" s="735"/>
      <c r="F681" s="735"/>
      <c r="G681" s="804"/>
      <c r="H681" s="735"/>
      <c r="I681" s="735"/>
      <c r="J681" s="735"/>
      <c r="K681" s="735">
        <f t="shared" si="481"/>
        <v>60673.95</v>
      </c>
      <c r="L681" s="735">
        <v>9000</v>
      </c>
      <c r="M681" s="735"/>
      <c r="N681" s="735"/>
      <c r="O681" s="735">
        <f>K681*12+L681</f>
        <v>737087.39999999991</v>
      </c>
      <c r="P681" s="805">
        <v>9</v>
      </c>
      <c r="Q681" s="806">
        <v>9</v>
      </c>
      <c r="R681" s="804">
        <v>60673.95</v>
      </c>
      <c r="S681" s="735"/>
      <c r="T681" s="735"/>
      <c r="U681" s="735"/>
      <c r="V681" s="804"/>
      <c r="W681" s="735"/>
      <c r="X681" s="735"/>
      <c r="Y681" s="735"/>
      <c r="Z681" s="735">
        <f t="shared" ref="Z681:Z685" si="486">R681</f>
        <v>60673.95</v>
      </c>
      <c r="AA681" s="735">
        <v>9000</v>
      </c>
      <c r="AB681" s="735"/>
      <c r="AC681" s="735"/>
      <c r="AD681" s="735">
        <f>Z681*12+AA681</f>
        <v>737087.39999999991</v>
      </c>
      <c r="AE681" s="735"/>
      <c r="AF681" s="735">
        <f t="shared" ref="AF681:AF685" si="487">O681-AD681</f>
        <v>0</v>
      </c>
      <c r="AG681" s="711"/>
      <c r="AH681" s="713">
        <v>9</v>
      </c>
      <c r="AI681" s="735">
        <v>737087.39999999991</v>
      </c>
    </row>
    <row r="682" spans="1:35" x14ac:dyDescent="0.2">
      <c r="A682" s="862">
        <v>13</v>
      </c>
      <c r="B682" s="713">
        <v>3</v>
      </c>
      <c r="C682" s="804">
        <v>20171.52</v>
      </c>
      <c r="D682" s="735"/>
      <c r="E682" s="735"/>
      <c r="F682" s="735"/>
      <c r="G682" s="804"/>
      <c r="H682" s="735"/>
      <c r="I682" s="735"/>
      <c r="J682" s="735"/>
      <c r="K682" s="735">
        <f t="shared" si="481"/>
        <v>20171.52</v>
      </c>
      <c r="L682" s="735">
        <v>3000</v>
      </c>
      <c r="M682" s="735"/>
      <c r="N682" s="735"/>
      <c r="O682" s="735">
        <f t="shared" ref="O682:O692" si="488">K682*12+L682</f>
        <v>245058.24</v>
      </c>
      <c r="P682" s="805">
        <v>3</v>
      </c>
      <c r="Q682" s="806">
        <v>3</v>
      </c>
      <c r="R682" s="804">
        <v>20171.52</v>
      </c>
      <c r="S682" s="735"/>
      <c r="T682" s="735"/>
      <c r="U682" s="735"/>
      <c r="V682" s="804"/>
      <c r="W682" s="735"/>
      <c r="X682" s="735"/>
      <c r="Y682" s="735"/>
      <c r="Z682" s="735">
        <f t="shared" si="486"/>
        <v>20171.52</v>
      </c>
      <c r="AA682" s="735">
        <v>3000</v>
      </c>
      <c r="AB682" s="735"/>
      <c r="AC682" s="735"/>
      <c r="AD682" s="735">
        <f t="shared" ref="AD682:AD685" si="489">Z682*12+AA682</f>
        <v>245058.24</v>
      </c>
      <c r="AE682" s="735"/>
      <c r="AF682" s="735">
        <f t="shared" si="487"/>
        <v>0</v>
      </c>
      <c r="AG682" s="711"/>
      <c r="AH682" s="713">
        <v>3</v>
      </c>
      <c r="AI682" s="735">
        <v>245058.24</v>
      </c>
    </row>
    <row r="683" spans="1:35" x14ac:dyDescent="0.2">
      <c r="A683" s="862">
        <v>12</v>
      </c>
      <c r="B683" s="713">
        <v>9</v>
      </c>
      <c r="C683" s="804">
        <v>56092.95</v>
      </c>
      <c r="D683" s="735"/>
      <c r="E683" s="735"/>
      <c r="F683" s="735"/>
      <c r="G683" s="804"/>
      <c r="H683" s="735"/>
      <c r="I683" s="735"/>
      <c r="J683" s="735"/>
      <c r="K683" s="735">
        <f t="shared" si="481"/>
        <v>56092.95</v>
      </c>
      <c r="L683" s="735">
        <v>9000</v>
      </c>
      <c r="M683" s="735"/>
      <c r="N683" s="735"/>
      <c r="O683" s="735">
        <f t="shared" si="488"/>
        <v>682115.39999999991</v>
      </c>
      <c r="P683" s="805">
        <v>9</v>
      </c>
      <c r="Q683" s="806">
        <v>9</v>
      </c>
      <c r="R683" s="804">
        <v>56092.95</v>
      </c>
      <c r="S683" s="735"/>
      <c r="T683" s="735"/>
      <c r="U683" s="735"/>
      <c r="V683" s="804"/>
      <c r="W683" s="735"/>
      <c r="X683" s="735"/>
      <c r="Y683" s="735"/>
      <c r="Z683" s="735">
        <f t="shared" si="486"/>
        <v>56092.95</v>
      </c>
      <c r="AA683" s="735">
        <v>9000</v>
      </c>
      <c r="AB683" s="735"/>
      <c r="AC683" s="735"/>
      <c r="AD683" s="735">
        <f t="shared" si="489"/>
        <v>682115.39999999991</v>
      </c>
      <c r="AE683" s="735"/>
      <c r="AF683" s="735">
        <f t="shared" si="487"/>
        <v>0</v>
      </c>
      <c r="AG683" s="711"/>
      <c r="AH683" s="713">
        <v>9</v>
      </c>
      <c r="AI683" s="735">
        <v>682115.39999999991</v>
      </c>
    </row>
    <row r="684" spans="1:35" x14ac:dyDescent="0.2">
      <c r="A684" s="862">
        <v>11</v>
      </c>
      <c r="B684" s="713">
        <v>7</v>
      </c>
      <c r="C684" s="804">
        <v>40385.57</v>
      </c>
      <c r="D684" s="735"/>
      <c r="E684" s="735"/>
      <c r="F684" s="735"/>
      <c r="G684" s="804"/>
      <c r="H684" s="735"/>
      <c r="I684" s="735"/>
      <c r="J684" s="735"/>
      <c r="K684" s="735">
        <f t="shared" si="481"/>
        <v>40385.57</v>
      </c>
      <c r="L684" s="735">
        <v>7000</v>
      </c>
      <c r="M684" s="735"/>
      <c r="N684" s="735"/>
      <c r="O684" s="735">
        <f t="shared" si="488"/>
        <v>491626.83999999997</v>
      </c>
      <c r="P684" s="805">
        <v>7</v>
      </c>
      <c r="Q684" s="806">
        <v>7</v>
      </c>
      <c r="R684" s="804">
        <v>40385.57</v>
      </c>
      <c r="S684" s="735"/>
      <c r="T684" s="735"/>
      <c r="U684" s="735"/>
      <c r="V684" s="804"/>
      <c r="W684" s="735"/>
      <c r="X684" s="735"/>
      <c r="Y684" s="735"/>
      <c r="Z684" s="735">
        <f t="shared" si="486"/>
        <v>40385.57</v>
      </c>
      <c r="AA684" s="735">
        <v>7000</v>
      </c>
      <c r="AB684" s="735"/>
      <c r="AC684" s="735"/>
      <c r="AD684" s="735">
        <f t="shared" si="489"/>
        <v>491626.83999999997</v>
      </c>
      <c r="AE684" s="735"/>
      <c r="AF684" s="735">
        <f t="shared" si="487"/>
        <v>0</v>
      </c>
      <c r="AG684" s="711"/>
      <c r="AH684" s="713">
        <v>7</v>
      </c>
      <c r="AI684" s="735">
        <v>491626.83999999997</v>
      </c>
    </row>
    <row r="685" spans="1:35" x14ac:dyDescent="0.2">
      <c r="A685" s="862">
        <v>10</v>
      </c>
      <c r="B685" s="713">
        <v>63</v>
      </c>
      <c r="C685" s="804">
        <f>295879.03</f>
        <v>295879.03000000003</v>
      </c>
      <c r="D685" s="735"/>
      <c r="E685" s="735"/>
      <c r="F685" s="735"/>
      <c r="G685" s="804"/>
      <c r="H685" s="735"/>
      <c r="I685" s="735"/>
      <c r="J685" s="735"/>
      <c r="K685" s="735">
        <f t="shared" si="481"/>
        <v>295879.03000000003</v>
      </c>
      <c r="L685" s="735">
        <v>63000</v>
      </c>
      <c r="M685" s="735"/>
      <c r="N685" s="735"/>
      <c r="O685" s="735">
        <f t="shared" si="488"/>
        <v>3613548.3600000003</v>
      </c>
      <c r="P685" s="805">
        <v>63</v>
      </c>
      <c r="Q685" s="806">
        <v>63</v>
      </c>
      <c r="R685" s="804">
        <f>295879.03</f>
        <v>295879.03000000003</v>
      </c>
      <c r="S685" s="735"/>
      <c r="T685" s="735"/>
      <c r="U685" s="735"/>
      <c r="V685" s="804"/>
      <c r="W685" s="735"/>
      <c r="X685" s="735"/>
      <c r="Y685" s="735"/>
      <c r="Z685" s="735">
        <f t="shared" si="486"/>
        <v>295879.03000000003</v>
      </c>
      <c r="AA685" s="735">
        <v>63000</v>
      </c>
      <c r="AB685" s="735"/>
      <c r="AC685" s="735"/>
      <c r="AD685" s="735">
        <f t="shared" si="489"/>
        <v>3613548.3600000003</v>
      </c>
      <c r="AE685" s="735"/>
      <c r="AF685" s="735">
        <f t="shared" si="487"/>
        <v>0</v>
      </c>
      <c r="AG685" s="711"/>
      <c r="AH685" s="713">
        <v>64</v>
      </c>
      <c r="AI685" s="735">
        <v>3660623.8000000003</v>
      </c>
    </row>
    <row r="686" spans="1:35" ht="24" x14ac:dyDescent="0.2">
      <c r="A686" s="71" t="s">
        <v>518</v>
      </c>
      <c r="B686" s="713"/>
      <c r="C686" s="735"/>
      <c r="D686" s="735"/>
      <c r="E686" s="735"/>
      <c r="F686" s="735"/>
      <c r="G686" s="804"/>
      <c r="H686" s="735"/>
      <c r="I686" s="735"/>
      <c r="J686" s="735"/>
      <c r="K686" s="735"/>
      <c r="L686" s="735"/>
      <c r="M686" s="735"/>
      <c r="N686" s="735"/>
      <c r="O686" s="735"/>
      <c r="P686" s="805"/>
      <c r="Q686" s="806"/>
      <c r="R686" s="735"/>
      <c r="S686" s="735"/>
      <c r="T686" s="735"/>
      <c r="U686" s="735"/>
      <c r="V686" s="804"/>
      <c r="W686" s="735"/>
      <c r="X686" s="735"/>
      <c r="Y686" s="735"/>
      <c r="Z686" s="735"/>
      <c r="AA686" s="735"/>
      <c r="AB686" s="735"/>
      <c r="AC686" s="735"/>
      <c r="AD686" s="735"/>
      <c r="AE686" s="735"/>
      <c r="AF686" s="735"/>
      <c r="AG686" s="711"/>
      <c r="AH686" s="713"/>
      <c r="AI686" s="735"/>
    </row>
    <row r="687" spans="1:35" x14ac:dyDescent="0.2">
      <c r="A687" s="862" t="s">
        <v>519</v>
      </c>
      <c r="B687" s="713">
        <v>4</v>
      </c>
      <c r="C687" s="804">
        <v>24926</v>
      </c>
      <c r="D687" s="735"/>
      <c r="E687" s="735"/>
      <c r="F687" s="735"/>
      <c r="G687" s="804"/>
      <c r="H687" s="735"/>
      <c r="I687" s="735"/>
      <c r="J687" s="735"/>
      <c r="K687" s="735">
        <f t="shared" si="481"/>
        <v>24926</v>
      </c>
      <c r="L687" s="735">
        <v>4000</v>
      </c>
      <c r="M687" s="735"/>
      <c r="N687" s="735"/>
      <c r="O687" s="735">
        <f t="shared" si="488"/>
        <v>303112</v>
      </c>
      <c r="P687" s="805">
        <v>4</v>
      </c>
      <c r="Q687" s="806">
        <v>4</v>
      </c>
      <c r="R687" s="804">
        <v>24926</v>
      </c>
      <c r="S687" s="735"/>
      <c r="T687" s="735"/>
      <c r="U687" s="735"/>
      <c r="V687" s="804"/>
      <c r="W687" s="735"/>
      <c r="X687" s="735"/>
      <c r="Y687" s="735"/>
      <c r="Z687" s="735">
        <f t="shared" ref="Z687:Z692" si="490">R687</f>
        <v>24926</v>
      </c>
      <c r="AA687" s="735">
        <v>4000</v>
      </c>
      <c r="AB687" s="735"/>
      <c r="AC687" s="735"/>
      <c r="AD687" s="735">
        <f t="shared" ref="AD687:AD692" si="491">Z687*12+AA687</f>
        <v>303112</v>
      </c>
      <c r="AE687" s="735"/>
      <c r="AF687" s="735">
        <f t="shared" ref="AF687:AF692" si="492">O687-AD687</f>
        <v>0</v>
      </c>
      <c r="AG687" s="711"/>
      <c r="AH687" s="713">
        <v>4</v>
      </c>
      <c r="AI687" s="735">
        <v>303112</v>
      </c>
    </row>
    <row r="688" spans="1:35" x14ac:dyDescent="0.2">
      <c r="A688" s="862" t="s">
        <v>520</v>
      </c>
      <c r="B688" s="713">
        <v>3</v>
      </c>
      <c r="C688" s="804">
        <v>17290.25</v>
      </c>
      <c r="D688" s="735"/>
      <c r="E688" s="735"/>
      <c r="F688" s="735"/>
      <c r="G688" s="804"/>
      <c r="H688" s="735"/>
      <c r="I688" s="735"/>
      <c r="J688" s="735"/>
      <c r="K688" s="735">
        <f t="shared" si="481"/>
        <v>17290.25</v>
      </c>
      <c r="L688" s="735">
        <v>3000</v>
      </c>
      <c r="M688" s="735"/>
      <c r="N688" s="735"/>
      <c r="O688" s="735">
        <f t="shared" si="488"/>
        <v>210483</v>
      </c>
      <c r="P688" s="805">
        <v>3</v>
      </c>
      <c r="Q688" s="806">
        <v>3</v>
      </c>
      <c r="R688" s="804">
        <v>17290.25</v>
      </c>
      <c r="S688" s="735"/>
      <c r="T688" s="735"/>
      <c r="U688" s="735"/>
      <c r="V688" s="804"/>
      <c r="W688" s="735"/>
      <c r="X688" s="735"/>
      <c r="Y688" s="735"/>
      <c r="Z688" s="735">
        <f t="shared" si="490"/>
        <v>17290.25</v>
      </c>
      <c r="AA688" s="735">
        <v>3000</v>
      </c>
      <c r="AB688" s="735"/>
      <c r="AC688" s="735"/>
      <c r="AD688" s="735">
        <f t="shared" si="491"/>
        <v>210483</v>
      </c>
      <c r="AE688" s="735"/>
      <c r="AF688" s="735">
        <f t="shared" si="492"/>
        <v>0</v>
      </c>
      <c r="AG688" s="711"/>
      <c r="AH688" s="713">
        <v>3</v>
      </c>
      <c r="AI688" s="735">
        <v>210483</v>
      </c>
    </row>
    <row r="689" spans="1:35" x14ac:dyDescent="0.2">
      <c r="A689" s="862" t="s">
        <v>499</v>
      </c>
      <c r="B689" s="713">
        <v>3</v>
      </c>
      <c r="C689" s="804">
        <v>12751.65</v>
      </c>
      <c r="D689" s="735"/>
      <c r="E689" s="735"/>
      <c r="F689" s="735"/>
      <c r="G689" s="804"/>
      <c r="H689" s="735"/>
      <c r="I689" s="735"/>
      <c r="J689" s="735"/>
      <c r="K689" s="735">
        <f t="shared" si="481"/>
        <v>12751.65</v>
      </c>
      <c r="L689" s="735">
        <v>3000</v>
      </c>
      <c r="M689" s="735"/>
      <c r="N689" s="735"/>
      <c r="O689" s="735">
        <f t="shared" si="488"/>
        <v>156019.79999999999</v>
      </c>
      <c r="P689" s="805">
        <v>3</v>
      </c>
      <c r="Q689" s="806">
        <v>3</v>
      </c>
      <c r="R689" s="804">
        <v>12751.65</v>
      </c>
      <c r="S689" s="735"/>
      <c r="T689" s="735"/>
      <c r="U689" s="735"/>
      <c r="V689" s="804"/>
      <c r="W689" s="735"/>
      <c r="X689" s="735"/>
      <c r="Y689" s="735"/>
      <c r="Z689" s="735">
        <f t="shared" si="490"/>
        <v>12751.65</v>
      </c>
      <c r="AA689" s="735">
        <v>3000</v>
      </c>
      <c r="AB689" s="735"/>
      <c r="AC689" s="735"/>
      <c r="AD689" s="735">
        <f t="shared" si="491"/>
        <v>156019.79999999999</v>
      </c>
      <c r="AE689" s="735"/>
      <c r="AF689" s="735">
        <f t="shared" si="492"/>
        <v>0</v>
      </c>
      <c r="AG689" s="711"/>
      <c r="AH689" s="713">
        <v>3</v>
      </c>
      <c r="AI689" s="735">
        <v>156019.79999999999</v>
      </c>
    </row>
    <row r="690" spans="1:35" x14ac:dyDescent="0.2">
      <c r="A690" s="862" t="s">
        <v>501</v>
      </c>
      <c r="B690" s="713">
        <v>1</v>
      </c>
      <c r="C690" s="804">
        <v>4998.91</v>
      </c>
      <c r="D690" s="735"/>
      <c r="E690" s="735"/>
      <c r="F690" s="735"/>
      <c r="G690" s="804"/>
      <c r="H690" s="735"/>
      <c r="I690" s="735"/>
      <c r="J690" s="735"/>
      <c r="K690" s="735">
        <f t="shared" si="481"/>
        <v>4998.91</v>
      </c>
      <c r="L690" s="735">
        <v>1000</v>
      </c>
      <c r="M690" s="735"/>
      <c r="N690" s="735"/>
      <c r="O690" s="735">
        <f t="shared" si="488"/>
        <v>60986.92</v>
      </c>
      <c r="P690" s="805">
        <v>1</v>
      </c>
      <c r="Q690" s="806">
        <v>1</v>
      </c>
      <c r="R690" s="804">
        <v>4998.91</v>
      </c>
      <c r="S690" s="735"/>
      <c r="T690" s="735"/>
      <c r="U690" s="735"/>
      <c r="V690" s="804"/>
      <c r="W690" s="735"/>
      <c r="X690" s="735"/>
      <c r="Y690" s="735"/>
      <c r="Z690" s="735">
        <f t="shared" si="490"/>
        <v>4998.91</v>
      </c>
      <c r="AA690" s="735">
        <v>1000</v>
      </c>
      <c r="AB690" s="735"/>
      <c r="AC690" s="735"/>
      <c r="AD690" s="735">
        <f t="shared" si="491"/>
        <v>60986.92</v>
      </c>
      <c r="AE690" s="735"/>
      <c r="AF690" s="735">
        <f t="shared" si="492"/>
        <v>0</v>
      </c>
      <c r="AG690" s="711"/>
      <c r="AH690" s="713">
        <v>1</v>
      </c>
      <c r="AI690" s="735">
        <v>60986.92</v>
      </c>
    </row>
    <row r="691" spans="1:35" x14ac:dyDescent="0.2">
      <c r="A691" s="862" t="s">
        <v>502</v>
      </c>
      <c r="B691" s="713">
        <v>1</v>
      </c>
      <c r="C691" s="804">
        <f>4339.62</f>
        <v>4339.62</v>
      </c>
      <c r="D691" s="735"/>
      <c r="E691" s="735"/>
      <c r="F691" s="735"/>
      <c r="G691" s="804"/>
      <c r="H691" s="735"/>
      <c r="I691" s="735"/>
      <c r="J691" s="735"/>
      <c r="K691" s="735">
        <f t="shared" si="481"/>
        <v>4339.62</v>
      </c>
      <c r="L691" s="735">
        <v>1000</v>
      </c>
      <c r="M691" s="735"/>
      <c r="N691" s="735"/>
      <c r="O691" s="735">
        <f t="shared" si="488"/>
        <v>53075.44</v>
      </c>
      <c r="P691" s="805">
        <v>1</v>
      </c>
      <c r="Q691" s="806">
        <v>1</v>
      </c>
      <c r="R691" s="804">
        <f>4339.62</f>
        <v>4339.62</v>
      </c>
      <c r="S691" s="735"/>
      <c r="T691" s="735"/>
      <c r="U691" s="735"/>
      <c r="V691" s="804"/>
      <c r="W691" s="735"/>
      <c r="X691" s="735"/>
      <c r="Y691" s="735"/>
      <c r="Z691" s="735">
        <f t="shared" si="490"/>
        <v>4339.62</v>
      </c>
      <c r="AA691" s="735">
        <v>1000</v>
      </c>
      <c r="AB691" s="735"/>
      <c r="AC691" s="735"/>
      <c r="AD691" s="735">
        <f t="shared" si="491"/>
        <v>53075.44</v>
      </c>
      <c r="AE691" s="735"/>
      <c r="AF691" s="735">
        <f t="shared" si="492"/>
        <v>0</v>
      </c>
      <c r="AG691" s="711"/>
      <c r="AH691" s="713">
        <v>1</v>
      </c>
      <c r="AI691" s="735">
        <v>53075.44</v>
      </c>
    </row>
    <row r="692" spans="1:35" x14ac:dyDescent="0.2">
      <c r="A692" s="862" t="s">
        <v>521</v>
      </c>
      <c r="B692" s="713">
        <v>1</v>
      </c>
      <c r="C692" s="804">
        <v>5438.62</v>
      </c>
      <c r="D692" s="735"/>
      <c r="E692" s="735"/>
      <c r="F692" s="735"/>
      <c r="G692" s="804"/>
      <c r="H692" s="735"/>
      <c r="I692" s="735"/>
      <c r="J692" s="735"/>
      <c r="K692" s="735">
        <f t="shared" si="481"/>
        <v>5438.62</v>
      </c>
      <c r="L692" s="735">
        <v>1000</v>
      </c>
      <c r="M692" s="735"/>
      <c r="N692" s="735"/>
      <c r="O692" s="735">
        <f t="shared" si="488"/>
        <v>66263.44</v>
      </c>
      <c r="P692" s="805">
        <v>1</v>
      </c>
      <c r="Q692" s="806">
        <v>1</v>
      </c>
      <c r="R692" s="804">
        <v>5438.62</v>
      </c>
      <c r="S692" s="735"/>
      <c r="T692" s="735"/>
      <c r="U692" s="735"/>
      <c r="V692" s="804"/>
      <c r="W692" s="735"/>
      <c r="X692" s="735"/>
      <c r="Y692" s="735"/>
      <c r="Z692" s="735">
        <f t="shared" si="490"/>
        <v>5438.62</v>
      </c>
      <c r="AA692" s="735">
        <v>1000</v>
      </c>
      <c r="AB692" s="735"/>
      <c r="AC692" s="735"/>
      <c r="AD692" s="735">
        <f t="shared" si="491"/>
        <v>66263.44</v>
      </c>
      <c r="AE692" s="735"/>
      <c r="AF692" s="735">
        <f t="shared" si="492"/>
        <v>0</v>
      </c>
      <c r="AG692" s="711"/>
      <c r="AH692" s="713">
        <v>1</v>
      </c>
      <c r="AI692" s="735">
        <v>66263.44</v>
      </c>
    </row>
    <row r="693" spans="1:35" ht="21.75" customHeight="1" x14ac:dyDescent="0.2">
      <c r="A693" s="71" t="s">
        <v>448</v>
      </c>
      <c r="B693" s="713"/>
      <c r="C693" s="735"/>
      <c r="D693" s="735"/>
      <c r="E693" s="735"/>
      <c r="F693" s="735"/>
      <c r="G693" s="804"/>
      <c r="H693" s="735"/>
      <c r="I693" s="735"/>
      <c r="J693" s="735"/>
      <c r="K693" s="735"/>
      <c r="L693" s="735"/>
      <c r="M693" s="735"/>
      <c r="N693" s="735"/>
      <c r="O693" s="735"/>
      <c r="P693" s="805"/>
      <c r="Q693" s="806"/>
      <c r="R693" s="735"/>
      <c r="S693" s="735"/>
      <c r="T693" s="735"/>
      <c r="U693" s="735"/>
      <c r="V693" s="804"/>
      <c r="W693" s="735"/>
      <c r="X693" s="735"/>
      <c r="Y693" s="735"/>
      <c r="Z693" s="735"/>
      <c r="AA693" s="735"/>
      <c r="AB693" s="735"/>
      <c r="AC693" s="735"/>
      <c r="AD693" s="735"/>
      <c r="AE693" s="735"/>
      <c r="AF693" s="735"/>
      <c r="AG693" s="711"/>
      <c r="AH693" s="713"/>
      <c r="AI693" s="735"/>
    </row>
    <row r="694" spans="1:35" x14ac:dyDescent="0.2">
      <c r="A694" s="71" t="s">
        <v>522</v>
      </c>
      <c r="B694" s="713"/>
      <c r="C694" s="735"/>
      <c r="D694" s="735"/>
      <c r="E694" s="735"/>
      <c r="F694" s="735"/>
      <c r="G694" s="804"/>
      <c r="H694" s="735"/>
      <c r="I694" s="735"/>
      <c r="J694" s="735"/>
      <c r="K694" s="735"/>
      <c r="L694" s="735"/>
      <c r="M694" s="735"/>
      <c r="N694" s="735"/>
      <c r="O694" s="735"/>
      <c r="P694" s="805"/>
      <c r="Q694" s="806"/>
      <c r="R694" s="735"/>
      <c r="S694" s="735"/>
      <c r="T694" s="735"/>
      <c r="U694" s="735"/>
      <c r="V694" s="804"/>
      <c r="W694" s="735"/>
      <c r="X694" s="735"/>
      <c r="Y694" s="735"/>
      <c r="Z694" s="735"/>
      <c r="AA694" s="735"/>
      <c r="AB694" s="735"/>
      <c r="AC694" s="735"/>
      <c r="AD694" s="735"/>
      <c r="AE694" s="735"/>
      <c r="AF694" s="735"/>
      <c r="AG694" s="711"/>
      <c r="AH694" s="713"/>
      <c r="AI694" s="735"/>
    </row>
    <row r="695" spans="1:35" x14ac:dyDescent="0.2">
      <c r="A695" s="862" t="s">
        <v>390</v>
      </c>
      <c r="B695" s="713">
        <v>14</v>
      </c>
      <c r="C695" s="804">
        <v>39488.720000000001</v>
      </c>
      <c r="D695" s="735"/>
      <c r="E695" s="735"/>
      <c r="F695" s="735"/>
      <c r="G695" s="804"/>
      <c r="H695" s="735"/>
      <c r="I695" s="735"/>
      <c r="J695" s="735"/>
      <c r="K695" s="735">
        <f t="shared" ref="K695:K706" si="493">C695</f>
        <v>39488.720000000001</v>
      </c>
      <c r="L695" s="735">
        <v>14000</v>
      </c>
      <c r="M695" s="735"/>
      <c r="N695" s="735"/>
      <c r="O695" s="735">
        <f t="shared" ref="O695:O699" si="494">K695*12+L695</f>
        <v>487864.64</v>
      </c>
      <c r="P695" s="805">
        <v>14</v>
      </c>
      <c r="Q695" s="806">
        <v>14</v>
      </c>
      <c r="R695" s="804">
        <v>39488.720000000001</v>
      </c>
      <c r="S695" s="735"/>
      <c r="T695" s="735"/>
      <c r="U695" s="735"/>
      <c r="V695" s="804"/>
      <c r="W695" s="735"/>
      <c r="X695" s="735"/>
      <c r="Y695" s="735"/>
      <c r="Z695" s="735">
        <f t="shared" ref="Z695:Z700" si="495">R695</f>
        <v>39488.720000000001</v>
      </c>
      <c r="AA695" s="735">
        <v>14000</v>
      </c>
      <c r="AB695" s="735"/>
      <c r="AC695" s="735"/>
      <c r="AD695" s="735">
        <f t="shared" ref="AD695:AD699" si="496">Z695*12+AA695</f>
        <v>487864.64</v>
      </c>
      <c r="AE695" s="735"/>
      <c r="AF695" s="735">
        <f t="shared" ref="AF695:AF700" si="497">O695-AD695</f>
        <v>0</v>
      </c>
      <c r="AG695" s="711"/>
      <c r="AH695" s="713">
        <v>14</v>
      </c>
      <c r="AI695" s="735">
        <v>487864.64</v>
      </c>
    </row>
    <row r="696" spans="1:35" x14ac:dyDescent="0.2">
      <c r="A696" s="862" t="s">
        <v>391</v>
      </c>
      <c r="B696" s="713">
        <v>15</v>
      </c>
      <c r="C696" s="804">
        <v>41304.85</v>
      </c>
      <c r="D696" s="735"/>
      <c r="E696" s="735"/>
      <c r="F696" s="735"/>
      <c r="G696" s="804"/>
      <c r="H696" s="735"/>
      <c r="I696" s="735"/>
      <c r="J696" s="735"/>
      <c r="K696" s="735">
        <f t="shared" si="493"/>
        <v>41304.85</v>
      </c>
      <c r="L696" s="735">
        <v>15000</v>
      </c>
      <c r="M696" s="735"/>
      <c r="N696" s="735"/>
      <c r="O696" s="735">
        <f t="shared" si="494"/>
        <v>510658.19999999995</v>
      </c>
      <c r="P696" s="805">
        <v>15</v>
      </c>
      <c r="Q696" s="806">
        <v>15</v>
      </c>
      <c r="R696" s="804">
        <v>41304.85</v>
      </c>
      <c r="S696" s="735"/>
      <c r="T696" s="735"/>
      <c r="U696" s="735"/>
      <c r="V696" s="804"/>
      <c r="W696" s="735"/>
      <c r="X696" s="735"/>
      <c r="Y696" s="735"/>
      <c r="Z696" s="735">
        <f t="shared" si="495"/>
        <v>41304.85</v>
      </c>
      <c r="AA696" s="735">
        <v>15000</v>
      </c>
      <c r="AB696" s="735"/>
      <c r="AC696" s="735"/>
      <c r="AD696" s="735">
        <f t="shared" si="496"/>
        <v>510658.19999999995</v>
      </c>
      <c r="AE696" s="735"/>
      <c r="AF696" s="735">
        <f t="shared" si="497"/>
        <v>0</v>
      </c>
      <c r="AG696" s="711"/>
      <c r="AH696" s="713">
        <v>15</v>
      </c>
      <c r="AI696" s="735">
        <v>510658.19999999995</v>
      </c>
    </row>
    <row r="697" spans="1:35" x14ac:dyDescent="0.2">
      <c r="A697" s="862" t="s">
        <v>392</v>
      </c>
      <c r="B697" s="713">
        <v>48</v>
      </c>
      <c r="C697" s="804">
        <v>132679.67000000001</v>
      </c>
      <c r="D697" s="735"/>
      <c r="E697" s="735"/>
      <c r="F697" s="735"/>
      <c r="G697" s="804"/>
      <c r="H697" s="735"/>
      <c r="I697" s="735"/>
      <c r="J697" s="735"/>
      <c r="K697" s="735">
        <f t="shared" si="493"/>
        <v>132679.67000000001</v>
      </c>
      <c r="L697" s="735">
        <v>48000</v>
      </c>
      <c r="M697" s="735"/>
      <c r="N697" s="735"/>
      <c r="O697" s="735">
        <f t="shared" si="494"/>
        <v>1640156.04</v>
      </c>
      <c r="P697" s="805">
        <v>48</v>
      </c>
      <c r="Q697" s="806">
        <v>48</v>
      </c>
      <c r="R697" s="804">
        <v>132679.67000000001</v>
      </c>
      <c r="S697" s="735"/>
      <c r="T697" s="735"/>
      <c r="U697" s="735"/>
      <c r="V697" s="804"/>
      <c r="W697" s="735"/>
      <c r="X697" s="735"/>
      <c r="Y697" s="735"/>
      <c r="Z697" s="735">
        <f t="shared" si="495"/>
        <v>132679.67000000001</v>
      </c>
      <c r="AA697" s="735">
        <v>48000</v>
      </c>
      <c r="AB697" s="735"/>
      <c r="AC697" s="735"/>
      <c r="AD697" s="735">
        <f t="shared" si="496"/>
        <v>1640156.04</v>
      </c>
      <c r="AE697" s="735"/>
      <c r="AF697" s="735">
        <f t="shared" si="497"/>
        <v>0</v>
      </c>
      <c r="AG697" s="711"/>
      <c r="AH697" s="713">
        <v>48</v>
      </c>
      <c r="AI697" s="735">
        <v>1640156.04</v>
      </c>
    </row>
    <row r="698" spans="1:35" x14ac:dyDescent="0.2">
      <c r="A698" s="862" t="s">
        <v>439</v>
      </c>
      <c r="B698" s="713">
        <v>2</v>
      </c>
      <c r="C698" s="804">
        <v>5442.64</v>
      </c>
      <c r="D698" s="735"/>
      <c r="E698" s="735"/>
      <c r="F698" s="735"/>
      <c r="G698" s="804"/>
      <c r="H698" s="735"/>
      <c r="I698" s="735"/>
      <c r="J698" s="735"/>
      <c r="K698" s="735">
        <f t="shared" si="493"/>
        <v>5442.64</v>
      </c>
      <c r="L698" s="735">
        <v>2000</v>
      </c>
      <c r="M698" s="735"/>
      <c r="N698" s="735"/>
      <c r="O698" s="735">
        <f t="shared" si="494"/>
        <v>67311.680000000008</v>
      </c>
      <c r="P698" s="805">
        <v>2</v>
      </c>
      <c r="Q698" s="806">
        <v>2</v>
      </c>
      <c r="R698" s="804">
        <v>5442.64</v>
      </c>
      <c r="S698" s="735"/>
      <c r="T698" s="735"/>
      <c r="U698" s="735"/>
      <c r="V698" s="804"/>
      <c r="W698" s="735"/>
      <c r="X698" s="735"/>
      <c r="Y698" s="735"/>
      <c r="Z698" s="735">
        <f t="shared" si="495"/>
        <v>5442.64</v>
      </c>
      <c r="AA698" s="735">
        <v>2000</v>
      </c>
      <c r="AB698" s="735"/>
      <c r="AC698" s="735"/>
      <c r="AD698" s="735">
        <f t="shared" si="496"/>
        <v>67311.680000000008</v>
      </c>
      <c r="AE698" s="735"/>
      <c r="AF698" s="735">
        <f t="shared" si="497"/>
        <v>0</v>
      </c>
      <c r="AG698" s="711"/>
      <c r="AH698" s="713">
        <v>2</v>
      </c>
      <c r="AI698" s="735">
        <v>67311.680000000008</v>
      </c>
    </row>
    <row r="699" spans="1:35" x14ac:dyDescent="0.2">
      <c r="A699" s="862" t="s">
        <v>409</v>
      </c>
      <c r="B699" s="713">
        <v>5</v>
      </c>
      <c r="C699" s="804">
        <v>13537.8</v>
      </c>
      <c r="D699" s="735"/>
      <c r="E699" s="735"/>
      <c r="F699" s="735"/>
      <c r="G699" s="804"/>
      <c r="H699" s="735"/>
      <c r="I699" s="735"/>
      <c r="J699" s="735"/>
      <c r="K699" s="735">
        <f t="shared" si="493"/>
        <v>13537.8</v>
      </c>
      <c r="L699" s="735">
        <v>5000</v>
      </c>
      <c r="M699" s="735"/>
      <c r="N699" s="735"/>
      <c r="O699" s="735">
        <f t="shared" si="494"/>
        <v>167453.59999999998</v>
      </c>
      <c r="P699" s="805">
        <v>5</v>
      </c>
      <c r="Q699" s="806">
        <v>5</v>
      </c>
      <c r="R699" s="804">
        <v>13537.8</v>
      </c>
      <c r="S699" s="735"/>
      <c r="T699" s="735"/>
      <c r="U699" s="735"/>
      <c r="V699" s="804"/>
      <c r="W699" s="735"/>
      <c r="X699" s="735"/>
      <c r="Y699" s="735"/>
      <c r="Z699" s="735">
        <f t="shared" si="495"/>
        <v>13537.8</v>
      </c>
      <c r="AA699" s="735">
        <v>5000</v>
      </c>
      <c r="AB699" s="735"/>
      <c r="AC699" s="735"/>
      <c r="AD699" s="735">
        <f t="shared" si="496"/>
        <v>167453.59999999998</v>
      </c>
      <c r="AE699" s="735"/>
      <c r="AF699" s="735">
        <f t="shared" si="497"/>
        <v>0</v>
      </c>
      <c r="AG699" s="711"/>
      <c r="AH699" s="713">
        <v>5</v>
      </c>
      <c r="AI699" s="735">
        <v>167453.59999999998</v>
      </c>
    </row>
    <row r="700" spans="1:35" x14ac:dyDescent="0.2">
      <c r="A700" s="862" t="s">
        <v>440</v>
      </c>
      <c r="B700" s="713">
        <v>49</v>
      </c>
      <c r="C700" s="804">
        <f>131672.72</f>
        <v>131672.72</v>
      </c>
      <c r="D700" s="735"/>
      <c r="E700" s="735"/>
      <c r="F700" s="735"/>
      <c r="G700" s="804"/>
      <c r="H700" s="735"/>
      <c r="I700" s="735"/>
      <c r="J700" s="735"/>
      <c r="K700" s="735">
        <f t="shared" si="493"/>
        <v>131672.72</v>
      </c>
      <c r="L700" s="735">
        <v>49000</v>
      </c>
      <c r="M700" s="735"/>
      <c r="N700" s="735"/>
      <c r="O700" s="735">
        <f>K700*12+L700</f>
        <v>1629072.6400000001</v>
      </c>
      <c r="P700" s="805">
        <v>49</v>
      </c>
      <c r="Q700" s="806">
        <v>49</v>
      </c>
      <c r="R700" s="804">
        <f>131672.72</f>
        <v>131672.72</v>
      </c>
      <c r="S700" s="735"/>
      <c r="T700" s="735"/>
      <c r="U700" s="735"/>
      <c r="V700" s="804"/>
      <c r="W700" s="735"/>
      <c r="X700" s="735"/>
      <c r="Y700" s="735"/>
      <c r="Z700" s="735">
        <f t="shared" si="495"/>
        <v>131672.72</v>
      </c>
      <c r="AA700" s="735">
        <v>49000</v>
      </c>
      <c r="AB700" s="735"/>
      <c r="AC700" s="735"/>
      <c r="AD700" s="735">
        <f>Z700*12+AA700</f>
        <v>1629072.6400000001</v>
      </c>
      <c r="AE700" s="735"/>
      <c r="AF700" s="735">
        <f t="shared" si="497"/>
        <v>0</v>
      </c>
      <c r="AG700" s="711"/>
      <c r="AH700" s="713">
        <v>52</v>
      </c>
      <c r="AI700" s="735">
        <v>1724555.2000000002</v>
      </c>
    </row>
    <row r="701" spans="1:35" x14ac:dyDescent="0.2">
      <c r="A701" s="71" t="s">
        <v>523</v>
      </c>
      <c r="B701" s="713"/>
      <c r="C701" s="735"/>
      <c r="D701" s="735"/>
      <c r="E701" s="735"/>
      <c r="F701" s="735"/>
      <c r="G701" s="804"/>
      <c r="H701" s="735"/>
      <c r="I701" s="735"/>
      <c r="J701" s="735"/>
      <c r="K701" s="735"/>
      <c r="L701" s="735"/>
      <c r="M701" s="735"/>
      <c r="N701" s="735"/>
      <c r="O701" s="735"/>
      <c r="P701" s="805"/>
      <c r="Q701" s="806"/>
      <c r="R701" s="735"/>
      <c r="S701" s="735"/>
      <c r="T701" s="735"/>
      <c r="U701" s="735"/>
      <c r="V701" s="804"/>
      <c r="W701" s="735"/>
      <c r="X701" s="735"/>
      <c r="Y701" s="735"/>
      <c r="Z701" s="735"/>
      <c r="AA701" s="735"/>
      <c r="AB701" s="735"/>
      <c r="AC701" s="735"/>
      <c r="AD701" s="735"/>
      <c r="AE701" s="735"/>
      <c r="AF701" s="735"/>
      <c r="AG701" s="711"/>
      <c r="AH701" s="713"/>
      <c r="AI701" s="735"/>
    </row>
    <row r="702" spans="1:35" x14ac:dyDescent="0.2">
      <c r="A702" s="862" t="s">
        <v>394</v>
      </c>
      <c r="B702" s="713">
        <v>3</v>
      </c>
      <c r="C702" s="804">
        <v>8298.09</v>
      </c>
      <c r="D702" s="735"/>
      <c r="E702" s="735"/>
      <c r="F702" s="735"/>
      <c r="G702" s="804"/>
      <c r="H702" s="735"/>
      <c r="I702" s="735"/>
      <c r="J702" s="735"/>
      <c r="K702" s="735">
        <f t="shared" si="493"/>
        <v>8298.09</v>
      </c>
      <c r="L702" s="735">
        <v>3000</v>
      </c>
      <c r="M702" s="735"/>
      <c r="N702" s="735"/>
      <c r="O702" s="735">
        <f>K702*12+L702</f>
        <v>102577.08</v>
      </c>
      <c r="P702" s="805">
        <v>3</v>
      </c>
      <c r="Q702" s="806">
        <v>3</v>
      </c>
      <c r="R702" s="804">
        <v>8298.09</v>
      </c>
      <c r="S702" s="735"/>
      <c r="T702" s="735"/>
      <c r="U702" s="735"/>
      <c r="V702" s="804"/>
      <c r="W702" s="735"/>
      <c r="X702" s="735"/>
      <c r="Y702" s="735"/>
      <c r="Z702" s="735">
        <f t="shared" ref="Z702:Z706" si="498">R702</f>
        <v>8298.09</v>
      </c>
      <c r="AA702" s="735">
        <v>3000</v>
      </c>
      <c r="AB702" s="735"/>
      <c r="AC702" s="735"/>
      <c r="AD702" s="735">
        <f>Z702*12+AA702</f>
        <v>102577.08</v>
      </c>
      <c r="AE702" s="735"/>
      <c r="AF702" s="735">
        <f t="shared" ref="AF702:AF706" si="499">O702-AD702</f>
        <v>0</v>
      </c>
      <c r="AG702" s="711"/>
      <c r="AH702" s="713">
        <v>3</v>
      </c>
      <c r="AI702" s="735">
        <v>102577.08</v>
      </c>
    </row>
    <row r="703" spans="1:35" x14ac:dyDescent="0.2">
      <c r="A703" s="862" t="s">
        <v>441</v>
      </c>
      <c r="B703" s="713">
        <v>19</v>
      </c>
      <c r="C703" s="804">
        <v>51518.87</v>
      </c>
      <c r="D703" s="735"/>
      <c r="E703" s="735"/>
      <c r="F703" s="735"/>
      <c r="G703" s="804"/>
      <c r="H703" s="735"/>
      <c r="I703" s="735"/>
      <c r="J703" s="735"/>
      <c r="K703" s="735">
        <f t="shared" si="493"/>
        <v>51518.87</v>
      </c>
      <c r="L703" s="735">
        <v>19000</v>
      </c>
      <c r="M703" s="735"/>
      <c r="N703" s="735"/>
      <c r="O703" s="735">
        <f t="shared" ref="O703:O706" si="500">K703*12+L703</f>
        <v>637226.44000000006</v>
      </c>
      <c r="P703" s="805">
        <v>19</v>
      </c>
      <c r="Q703" s="806">
        <v>19</v>
      </c>
      <c r="R703" s="804">
        <v>51518.87</v>
      </c>
      <c r="S703" s="735"/>
      <c r="T703" s="735"/>
      <c r="U703" s="735"/>
      <c r="V703" s="804"/>
      <c r="W703" s="735"/>
      <c r="X703" s="735"/>
      <c r="Y703" s="735"/>
      <c r="Z703" s="735">
        <f t="shared" si="498"/>
        <v>51518.87</v>
      </c>
      <c r="AA703" s="735">
        <v>19000</v>
      </c>
      <c r="AB703" s="735"/>
      <c r="AC703" s="735"/>
      <c r="AD703" s="735">
        <f t="shared" ref="AD703:AD706" si="501">Z703*12+AA703</f>
        <v>637226.44000000006</v>
      </c>
      <c r="AE703" s="735"/>
      <c r="AF703" s="735">
        <f t="shared" si="499"/>
        <v>0</v>
      </c>
      <c r="AG703" s="711"/>
      <c r="AH703" s="713">
        <v>19</v>
      </c>
      <c r="AI703" s="735">
        <v>637226.44000000006</v>
      </c>
    </row>
    <row r="704" spans="1:35" x14ac:dyDescent="0.2">
      <c r="A704" s="862" t="s">
        <v>442</v>
      </c>
      <c r="B704" s="713">
        <v>8</v>
      </c>
      <c r="C704" s="804">
        <v>20877.13</v>
      </c>
      <c r="D704" s="735"/>
      <c r="E704" s="735"/>
      <c r="F704" s="735"/>
      <c r="G704" s="804"/>
      <c r="H704" s="735"/>
      <c r="I704" s="735"/>
      <c r="J704" s="735"/>
      <c r="K704" s="735">
        <f t="shared" si="493"/>
        <v>20877.13</v>
      </c>
      <c r="L704" s="735">
        <v>8000</v>
      </c>
      <c r="M704" s="735"/>
      <c r="N704" s="735"/>
      <c r="O704" s="735">
        <f t="shared" si="500"/>
        <v>258525.56</v>
      </c>
      <c r="P704" s="805">
        <v>8</v>
      </c>
      <c r="Q704" s="806">
        <v>8</v>
      </c>
      <c r="R704" s="804">
        <v>20877.13</v>
      </c>
      <c r="S704" s="735"/>
      <c r="T704" s="735"/>
      <c r="U704" s="735"/>
      <c r="V704" s="804"/>
      <c r="W704" s="735"/>
      <c r="X704" s="735"/>
      <c r="Y704" s="735"/>
      <c r="Z704" s="735">
        <f t="shared" si="498"/>
        <v>20877.13</v>
      </c>
      <c r="AA704" s="735">
        <v>8000</v>
      </c>
      <c r="AB704" s="735"/>
      <c r="AC704" s="735"/>
      <c r="AD704" s="735">
        <f t="shared" si="501"/>
        <v>258525.56</v>
      </c>
      <c r="AE704" s="735"/>
      <c r="AF704" s="735">
        <f t="shared" si="499"/>
        <v>0</v>
      </c>
      <c r="AG704" s="711"/>
      <c r="AH704" s="713">
        <v>8</v>
      </c>
      <c r="AI704" s="735">
        <v>258525.56</v>
      </c>
    </row>
    <row r="705" spans="1:35" x14ac:dyDescent="0.2">
      <c r="A705" s="862" t="s">
        <v>443</v>
      </c>
      <c r="B705" s="713">
        <v>1</v>
      </c>
      <c r="C705" s="804">
        <v>2687.45</v>
      </c>
      <c r="D705" s="735"/>
      <c r="E705" s="735"/>
      <c r="F705" s="735"/>
      <c r="G705" s="804"/>
      <c r="H705" s="735"/>
      <c r="I705" s="735"/>
      <c r="J705" s="735"/>
      <c r="K705" s="735">
        <f t="shared" si="493"/>
        <v>2687.45</v>
      </c>
      <c r="L705" s="735">
        <v>1000</v>
      </c>
      <c r="M705" s="735"/>
      <c r="N705" s="735"/>
      <c r="O705" s="735">
        <f t="shared" si="500"/>
        <v>33249.399999999994</v>
      </c>
      <c r="P705" s="805">
        <v>1</v>
      </c>
      <c r="Q705" s="806">
        <v>1</v>
      </c>
      <c r="R705" s="804">
        <v>2687.45</v>
      </c>
      <c r="S705" s="735"/>
      <c r="T705" s="735"/>
      <c r="U705" s="735"/>
      <c r="V705" s="804"/>
      <c r="W705" s="735"/>
      <c r="X705" s="735"/>
      <c r="Y705" s="735"/>
      <c r="Z705" s="735">
        <f t="shared" si="498"/>
        <v>2687.45</v>
      </c>
      <c r="AA705" s="735">
        <v>1000</v>
      </c>
      <c r="AB705" s="735"/>
      <c r="AC705" s="735"/>
      <c r="AD705" s="735">
        <f t="shared" si="501"/>
        <v>33249.399999999994</v>
      </c>
      <c r="AE705" s="735"/>
      <c r="AF705" s="735">
        <f t="shared" si="499"/>
        <v>0</v>
      </c>
      <c r="AG705" s="711"/>
      <c r="AH705" s="713">
        <v>1</v>
      </c>
      <c r="AI705" s="735">
        <v>33249.399999999994</v>
      </c>
    </row>
    <row r="706" spans="1:35" x14ac:dyDescent="0.2">
      <c r="A706" s="862" t="s">
        <v>451</v>
      </c>
      <c r="B706" s="713">
        <v>8</v>
      </c>
      <c r="C706" s="804">
        <f>20917.82</f>
        <v>20917.82</v>
      </c>
      <c r="D706" s="735"/>
      <c r="E706" s="735"/>
      <c r="F706" s="735"/>
      <c r="G706" s="804"/>
      <c r="H706" s="735"/>
      <c r="I706" s="735"/>
      <c r="J706" s="735"/>
      <c r="K706" s="735">
        <f t="shared" si="493"/>
        <v>20917.82</v>
      </c>
      <c r="L706" s="735">
        <v>8000</v>
      </c>
      <c r="M706" s="735"/>
      <c r="N706" s="735"/>
      <c r="O706" s="735">
        <f t="shared" si="500"/>
        <v>259013.84</v>
      </c>
      <c r="P706" s="805">
        <v>8</v>
      </c>
      <c r="Q706" s="806">
        <v>8</v>
      </c>
      <c r="R706" s="804">
        <f>20917.82</f>
        <v>20917.82</v>
      </c>
      <c r="S706" s="735"/>
      <c r="T706" s="735"/>
      <c r="U706" s="735"/>
      <c r="V706" s="804"/>
      <c r="W706" s="735"/>
      <c r="X706" s="735"/>
      <c r="Y706" s="735"/>
      <c r="Z706" s="735">
        <f t="shared" si="498"/>
        <v>20917.82</v>
      </c>
      <c r="AA706" s="735">
        <v>8000</v>
      </c>
      <c r="AB706" s="735"/>
      <c r="AC706" s="735"/>
      <c r="AD706" s="735">
        <f t="shared" si="501"/>
        <v>259013.84</v>
      </c>
      <c r="AE706" s="735"/>
      <c r="AF706" s="735">
        <f t="shared" si="499"/>
        <v>0</v>
      </c>
      <c r="AG706" s="711"/>
      <c r="AH706" s="713">
        <v>14</v>
      </c>
      <c r="AI706" s="735">
        <v>439536.07999999996</v>
      </c>
    </row>
    <row r="707" spans="1:35" x14ac:dyDescent="0.2">
      <c r="A707" s="862"/>
      <c r="B707" s="711"/>
      <c r="C707" s="735"/>
      <c r="D707" s="735"/>
      <c r="E707" s="735"/>
      <c r="F707" s="735"/>
      <c r="G707" s="804"/>
      <c r="H707" s="735"/>
      <c r="I707" s="735"/>
      <c r="J707" s="735"/>
      <c r="K707" s="735"/>
      <c r="L707" s="735"/>
      <c r="M707" s="735"/>
      <c r="N707" s="735"/>
      <c r="O707" s="735"/>
      <c r="P707" s="735"/>
      <c r="Q707" s="421"/>
      <c r="R707" s="735"/>
      <c r="S707" s="735"/>
      <c r="T707" s="735"/>
      <c r="U707" s="735"/>
      <c r="V707" s="735"/>
      <c r="W707" s="735"/>
      <c r="X707" s="735"/>
      <c r="Y707" s="735"/>
      <c r="Z707" s="735"/>
      <c r="AA707" s="735"/>
      <c r="AB707" s="735"/>
      <c r="AC707" s="735"/>
      <c r="AD707" s="735"/>
      <c r="AE707" s="735"/>
      <c r="AF707" s="735"/>
      <c r="AG707" s="711"/>
      <c r="AH707" s="818"/>
      <c r="AI707" s="735"/>
    </row>
    <row r="708" spans="1:35" x14ac:dyDescent="0.2">
      <c r="A708" s="706" t="s">
        <v>169</v>
      </c>
      <c r="B708" s="555">
        <f>SUM(B652:B706)</f>
        <v>410</v>
      </c>
      <c r="C708" s="731">
        <f>SUM(C652:C706)</f>
        <v>1648620.95</v>
      </c>
      <c r="D708" s="731"/>
      <c r="E708" s="731"/>
      <c r="F708" s="731">
        <f t="shared" ref="F708:AI708" si="502">SUM(F652:F706)</f>
        <v>57607</v>
      </c>
      <c r="G708" s="731"/>
      <c r="H708" s="731"/>
      <c r="I708" s="731"/>
      <c r="J708" s="731"/>
      <c r="K708" s="731">
        <f t="shared" si="502"/>
        <v>1706227.9499999997</v>
      </c>
      <c r="L708" s="731">
        <f t="shared" si="502"/>
        <v>410000</v>
      </c>
      <c r="M708" s="731"/>
      <c r="N708" s="731"/>
      <c r="O708" s="731">
        <f>SUM(O652:O706)</f>
        <v>20884735.400000002</v>
      </c>
      <c r="P708" s="731"/>
      <c r="Q708" s="703">
        <f t="shared" si="502"/>
        <v>410</v>
      </c>
      <c r="R708" s="731">
        <f t="shared" si="502"/>
        <v>1648620.95</v>
      </c>
      <c r="S708" s="731"/>
      <c r="T708" s="731"/>
      <c r="U708" s="731">
        <f t="shared" si="502"/>
        <v>57607</v>
      </c>
      <c r="V708" s="731"/>
      <c r="W708" s="731"/>
      <c r="X708" s="731"/>
      <c r="Y708" s="731"/>
      <c r="Z708" s="731">
        <f t="shared" si="502"/>
        <v>1706227.9499999997</v>
      </c>
      <c r="AA708" s="731">
        <f t="shared" si="502"/>
        <v>410000</v>
      </c>
      <c r="AB708" s="731"/>
      <c r="AC708" s="731"/>
      <c r="AD708" s="731">
        <f t="shared" si="502"/>
        <v>20884735.400000002</v>
      </c>
      <c r="AE708" s="731">
        <f t="shared" si="502"/>
        <v>0</v>
      </c>
      <c r="AF708" s="731"/>
      <c r="AG708" s="555">
        <f t="shared" si="502"/>
        <v>0</v>
      </c>
      <c r="AH708" s="555">
        <f t="shared" si="502"/>
        <v>423</v>
      </c>
      <c r="AI708" s="731">
        <f t="shared" si="502"/>
        <v>21431883.839999996</v>
      </c>
    </row>
    <row r="709" spans="1:35" x14ac:dyDescent="0.2">
      <c r="B709" s="17"/>
      <c r="C709" s="17"/>
      <c r="D709" s="17"/>
      <c r="E709" s="17"/>
      <c r="F709" s="17"/>
      <c r="G709" s="17"/>
      <c r="H709" s="17"/>
      <c r="I709" s="17"/>
      <c r="J709" s="17"/>
      <c r="K709" s="17"/>
      <c r="L709" s="17"/>
      <c r="M709" s="17"/>
      <c r="N709" s="17"/>
      <c r="O709" s="17"/>
      <c r="P709" s="17"/>
      <c r="R709" s="17"/>
      <c r="S709" s="17"/>
      <c r="T709" s="17"/>
      <c r="U709" s="17"/>
      <c r="V709" s="17"/>
      <c r="W709" s="17"/>
      <c r="X709" s="17"/>
      <c r="Y709" s="17"/>
      <c r="Z709" s="17"/>
      <c r="AA709" s="17"/>
      <c r="AB709" s="17"/>
      <c r="AC709" s="17"/>
      <c r="AD709" s="17"/>
      <c r="AE709" s="17"/>
      <c r="AF709" s="17"/>
      <c r="AG709" s="17"/>
      <c r="AH709" s="17"/>
      <c r="AI709" s="17"/>
    </row>
    <row r="710" spans="1:35" x14ac:dyDescent="0.2">
      <c r="B710" s="17"/>
      <c r="C710" s="17"/>
      <c r="D710" s="17"/>
      <c r="E710" s="17"/>
      <c r="F710" s="17"/>
      <c r="G710" s="17"/>
      <c r="H710" s="17"/>
      <c r="I710" s="17"/>
      <c r="J710" s="17"/>
      <c r="K710" s="17"/>
      <c r="L710" s="17"/>
      <c r="M710" s="17"/>
      <c r="N710" s="17"/>
      <c r="O710" s="17"/>
      <c r="P710" s="17"/>
      <c r="R710" s="17"/>
      <c r="S710" s="17"/>
      <c r="T710" s="17"/>
      <c r="U710" s="17"/>
      <c r="V710" s="17"/>
      <c r="W710" s="17"/>
      <c r="X710" s="17"/>
      <c r="Y710" s="17"/>
      <c r="Z710" s="17"/>
      <c r="AA710" s="17"/>
      <c r="AB710" s="17"/>
      <c r="AC710" s="17"/>
      <c r="AD710" s="17"/>
      <c r="AE710" s="17"/>
      <c r="AF710" s="17"/>
      <c r="AG710" s="17"/>
      <c r="AH710" s="17"/>
      <c r="AI710" s="17"/>
    </row>
    <row r="711" spans="1:35" x14ac:dyDescent="0.2">
      <c r="A711" s="706" t="s">
        <v>784</v>
      </c>
      <c r="B711" s="743"/>
      <c r="C711" s="742"/>
      <c r="D711" s="742"/>
      <c r="E711" s="742"/>
      <c r="F711" s="742"/>
      <c r="G711" s="742"/>
      <c r="H711" s="742"/>
      <c r="I711" s="742"/>
      <c r="J711" s="742"/>
      <c r="K711" s="742"/>
      <c r="L711" s="742"/>
      <c r="M711" s="742"/>
      <c r="N711" s="742"/>
      <c r="O711" s="742"/>
      <c r="P711" s="742"/>
      <c r="Q711" s="712"/>
      <c r="R711" s="742"/>
      <c r="S711" s="742"/>
      <c r="T711" s="742"/>
      <c r="U711" s="742"/>
      <c r="V711" s="742"/>
      <c r="W711" s="742"/>
      <c r="X711" s="742"/>
      <c r="Y711" s="742"/>
      <c r="Z711" s="742"/>
      <c r="AA711" s="742"/>
      <c r="AB711" s="742"/>
      <c r="AC711" s="742"/>
      <c r="AD711" s="742"/>
      <c r="AE711" s="742"/>
      <c r="AF711" s="742"/>
      <c r="AG711" s="743"/>
      <c r="AH711" s="743"/>
      <c r="AI711" s="742"/>
    </row>
    <row r="712" spans="1:35" ht="120" customHeight="1" x14ac:dyDescent="0.2">
      <c r="A712" s="1485"/>
      <c r="B712" s="691" t="s">
        <v>649</v>
      </c>
      <c r="C712" s="692" t="s">
        <v>650</v>
      </c>
      <c r="D712" s="692" t="s">
        <v>684</v>
      </c>
      <c r="E712" s="692" t="s">
        <v>652</v>
      </c>
      <c r="F712" s="692" t="s">
        <v>653</v>
      </c>
      <c r="G712" s="692" t="s">
        <v>654</v>
      </c>
      <c r="H712" s="692" t="s">
        <v>655</v>
      </c>
      <c r="I712" s="692" t="s">
        <v>656</v>
      </c>
      <c r="J712" s="692" t="s">
        <v>657</v>
      </c>
      <c r="K712" s="692" t="s">
        <v>658</v>
      </c>
      <c r="L712" s="692" t="s">
        <v>659</v>
      </c>
      <c r="M712" s="692" t="s">
        <v>660</v>
      </c>
      <c r="N712" s="692" t="s">
        <v>661</v>
      </c>
      <c r="O712" s="692" t="s">
        <v>662</v>
      </c>
      <c r="P712" s="692" t="s">
        <v>685</v>
      </c>
      <c r="Q712" s="691" t="s">
        <v>649</v>
      </c>
      <c r="R712" s="692" t="s">
        <v>650</v>
      </c>
      <c r="S712" s="692" t="s">
        <v>651</v>
      </c>
      <c r="T712" s="692" t="s">
        <v>652</v>
      </c>
      <c r="U712" s="692" t="s">
        <v>653</v>
      </c>
      <c r="V712" s="692" t="s">
        <v>654</v>
      </c>
      <c r="W712" s="692" t="s">
        <v>655</v>
      </c>
      <c r="X712" s="692" t="s">
        <v>656</v>
      </c>
      <c r="Y712" s="692" t="s">
        <v>657</v>
      </c>
      <c r="Z712" s="692" t="s">
        <v>658</v>
      </c>
      <c r="AA712" s="692" t="s">
        <v>659</v>
      </c>
      <c r="AB712" s="692" t="s">
        <v>660</v>
      </c>
      <c r="AC712" s="692" t="s">
        <v>661</v>
      </c>
      <c r="AD712" s="692" t="s">
        <v>662</v>
      </c>
      <c r="AE712" s="692" t="s">
        <v>686</v>
      </c>
      <c r="AF712" s="692" t="s">
        <v>664</v>
      </c>
      <c r="AG712" s="691" t="s">
        <v>665</v>
      </c>
      <c r="AH712" s="691" t="s">
        <v>649</v>
      </c>
      <c r="AI712" s="692" t="s">
        <v>687</v>
      </c>
    </row>
    <row r="713" spans="1:35" x14ac:dyDescent="0.2">
      <c r="A713" s="1486"/>
      <c r="B713" s="555" t="s">
        <v>667</v>
      </c>
      <c r="C713" s="733" t="s">
        <v>668</v>
      </c>
      <c r="D713" s="733" t="s">
        <v>669</v>
      </c>
      <c r="E713" s="733" t="s">
        <v>670</v>
      </c>
      <c r="F713" s="734" t="s">
        <v>671</v>
      </c>
      <c r="G713" s="734" t="s">
        <v>672</v>
      </c>
      <c r="H713" s="734" t="s">
        <v>673</v>
      </c>
      <c r="I713" s="734" t="s">
        <v>674</v>
      </c>
      <c r="J713" s="734" t="s">
        <v>675</v>
      </c>
      <c r="K713" s="734" t="s">
        <v>676</v>
      </c>
      <c r="L713" s="734" t="s">
        <v>677</v>
      </c>
      <c r="M713" s="734" t="s">
        <v>678</v>
      </c>
      <c r="N713" s="734" t="s">
        <v>679</v>
      </c>
      <c r="O713" s="734" t="s">
        <v>680</v>
      </c>
      <c r="P713" s="734" t="s">
        <v>681</v>
      </c>
      <c r="Q713" s="555" t="s">
        <v>667</v>
      </c>
      <c r="R713" s="733" t="s">
        <v>668</v>
      </c>
      <c r="S713" s="733" t="s">
        <v>669</v>
      </c>
      <c r="T713" s="733" t="s">
        <v>670</v>
      </c>
      <c r="U713" s="734" t="s">
        <v>671</v>
      </c>
      <c r="V713" s="734" t="s">
        <v>672</v>
      </c>
      <c r="W713" s="734" t="s">
        <v>673</v>
      </c>
      <c r="X713" s="734" t="s">
        <v>674</v>
      </c>
      <c r="Y713" s="734" t="s">
        <v>675</v>
      </c>
      <c r="Z713" s="734" t="s">
        <v>676</v>
      </c>
      <c r="AA713" s="734" t="s">
        <v>677</v>
      </c>
      <c r="AB713" s="734" t="s">
        <v>678</v>
      </c>
      <c r="AC713" s="734" t="s">
        <v>679</v>
      </c>
      <c r="AD713" s="734" t="s">
        <v>680</v>
      </c>
      <c r="AE713" s="734" t="s">
        <v>681</v>
      </c>
      <c r="AF713" s="733"/>
      <c r="AG713" s="555"/>
      <c r="AH713" s="555"/>
      <c r="AI713" s="733"/>
    </row>
    <row r="714" spans="1:35" x14ac:dyDescent="0.2">
      <c r="A714" s="704"/>
      <c r="B714" s="711"/>
      <c r="C714" s="735"/>
      <c r="D714" s="735"/>
      <c r="E714" s="735"/>
      <c r="F714" s="735"/>
      <c r="G714" s="735"/>
      <c r="H714" s="735"/>
      <c r="I714" s="735"/>
      <c r="J714" s="735"/>
      <c r="K714" s="735"/>
      <c r="L714" s="735"/>
      <c r="M714" s="735"/>
      <c r="N714" s="735"/>
      <c r="O714" s="735"/>
      <c r="P714" s="735"/>
      <c r="Q714" s="421"/>
      <c r="R714" s="735"/>
      <c r="S714" s="735"/>
      <c r="T714" s="735"/>
      <c r="U714" s="735"/>
      <c r="V714" s="735"/>
      <c r="W714" s="735"/>
      <c r="X714" s="735"/>
      <c r="Y714" s="735"/>
      <c r="Z714" s="735"/>
      <c r="AA714" s="735"/>
      <c r="AB714" s="735"/>
      <c r="AC714" s="735"/>
      <c r="AD714" s="735"/>
      <c r="AE714" s="735"/>
      <c r="AF714" s="735"/>
      <c r="AG714" s="711"/>
      <c r="AH714" s="711"/>
      <c r="AI714" s="735"/>
    </row>
    <row r="715" spans="1:35" x14ac:dyDescent="0.2">
      <c r="A715" s="704" t="s">
        <v>688</v>
      </c>
      <c r="B715" s="711"/>
      <c r="C715" s="735"/>
      <c r="D715" s="735"/>
      <c r="E715" s="735"/>
      <c r="F715" s="735"/>
      <c r="G715" s="735"/>
      <c r="H715" s="735"/>
      <c r="I715" s="735"/>
      <c r="J715" s="735"/>
      <c r="K715" s="735"/>
      <c r="L715" s="735"/>
      <c r="M715" s="735"/>
      <c r="N715" s="735"/>
      <c r="O715" s="735"/>
      <c r="P715" s="735"/>
      <c r="Q715" s="421"/>
      <c r="R715" s="735"/>
      <c r="S715" s="735"/>
      <c r="T715" s="735"/>
      <c r="U715" s="735"/>
      <c r="V715" s="735"/>
      <c r="W715" s="735"/>
      <c r="X715" s="735"/>
      <c r="Y715" s="735"/>
      <c r="Z715" s="735"/>
      <c r="AA715" s="735"/>
      <c r="AB715" s="735"/>
      <c r="AC715" s="735"/>
      <c r="AD715" s="735"/>
      <c r="AE715" s="735"/>
      <c r="AF715" s="735"/>
      <c r="AG715" s="711"/>
      <c r="AH715" s="711"/>
      <c r="AI715" s="735"/>
    </row>
    <row r="716" spans="1:35" x14ac:dyDescent="0.2">
      <c r="A716" s="861" t="s">
        <v>378</v>
      </c>
      <c r="B716" s="711"/>
      <c r="C716" s="735"/>
      <c r="D716" s="735"/>
      <c r="E716" s="735"/>
      <c r="F716" s="735"/>
      <c r="G716" s="735"/>
      <c r="H716" s="735"/>
      <c r="I716" s="735"/>
      <c r="J716" s="735"/>
      <c r="K716" s="735"/>
      <c r="L716" s="735"/>
      <c r="M716" s="735"/>
      <c r="N716" s="735"/>
      <c r="O716" s="735"/>
      <c r="P716" s="735"/>
      <c r="Q716" s="421"/>
      <c r="R716" s="735"/>
      <c r="S716" s="735"/>
      <c r="T716" s="735"/>
      <c r="U716" s="735"/>
      <c r="V716" s="735"/>
      <c r="W716" s="735"/>
      <c r="X716" s="735"/>
      <c r="Y716" s="735"/>
      <c r="Z716" s="735"/>
      <c r="AA716" s="735"/>
      <c r="AB716" s="735"/>
      <c r="AC716" s="735"/>
      <c r="AD716" s="735"/>
      <c r="AE716" s="735"/>
      <c r="AF716" s="735"/>
      <c r="AG716" s="711"/>
      <c r="AH716" s="711"/>
      <c r="AI716" s="735"/>
    </row>
    <row r="717" spans="1:35" x14ac:dyDescent="0.2">
      <c r="A717" s="862" t="s">
        <v>382</v>
      </c>
      <c r="B717" s="711">
        <v>4</v>
      </c>
      <c r="C717" s="735">
        <v>2888.07</v>
      </c>
      <c r="D717" s="735">
        <v>1210</v>
      </c>
      <c r="E717" s="735"/>
      <c r="F717" s="735"/>
      <c r="G717" s="735"/>
      <c r="H717" s="735"/>
      <c r="I717" s="735"/>
      <c r="J717" s="735"/>
      <c r="K717" s="735">
        <f>+C717+D717+E717+F717+G717+H717+I717+J717</f>
        <v>4098.07</v>
      </c>
      <c r="L717" s="735">
        <f>1000*4</f>
        <v>4000</v>
      </c>
      <c r="M717" s="735"/>
      <c r="N717" s="735"/>
      <c r="O717" s="735">
        <f>C717+D717+L717</f>
        <v>8098.07</v>
      </c>
      <c r="P717" s="746">
        <f>((C717+D717)*12+L717)*B717</f>
        <v>212707.36</v>
      </c>
      <c r="Q717" s="421">
        <v>4</v>
      </c>
      <c r="R717" s="735">
        <v>2888.07</v>
      </c>
      <c r="S717" s="735">
        <v>1506.72</v>
      </c>
      <c r="T717" s="735"/>
      <c r="U717" s="735"/>
      <c r="V717" s="735"/>
      <c r="W717" s="735"/>
      <c r="X717" s="735"/>
      <c r="Y717" s="735"/>
      <c r="Z717" s="746">
        <f>R717+S717+T717+U717+V717+W717+X717+Y717</f>
        <v>4394.79</v>
      </c>
      <c r="AA717" s="735">
        <v>1000</v>
      </c>
      <c r="AB717" s="735"/>
      <c r="AC717" s="735"/>
      <c r="AD717" s="746">
        <f>R717+S717+AA717</f>
        <v>5394.79</v>
      </c>
      <c r="AE717" s="746">
        <f>((R717+S717)*12+AA717)*Q717</f>
        <v>214949.91999999998</v>
      </c>
      <c r="AF717" s="735">
        <f>O717-AD717</f>
        <v>2703.2799999999997</v>
      </c>
      <c r="AG717" s="763">
        <f>P717-AE717</f>
        <v>-2242.5599999999977</v>
      </c>
      <c r="AH717" s="711">
        <v>4</v>
      </c>
      <c r="AI717" s="735">
        <f>AE717</f>
        <v>214949.91999999998</v>
      </c>
    </row>
    <row r="718" spans="1:35" x14ac:dyDescent="0.2">
      <c r="A718" s="862" t="s">
        <v>383</v>
      </c>
      <c r="B718" s="711"/>
      <c r="C718" s="735"/>
      <c r="D718" s="735"/>
      <c r="E718" s="735"/>
      <c r="F718" s="735"/>
      <c r="G718" s="735"/>
      <c r="H718" s="735"/>
      <c r="I718" s="735"/>
      <c r="J718" s="735"/>
      <c r="K718" s="735"/>
      <c r="L718" s="735"/>
      <c r="M718" s="735"/>
      <c r="N718" s="735"/>
      <c r="O718" s="735"/>
      <c r="P718" s="746">
        <f>((C718+D718)*12+L718)*B718</f>
        <v>0</v>
      </c>
      <c r="Q718" s="421"/>
      <c r="R718" s="735"/>
      <c r="S718" s="735"/>
      <c r="T718" s="735"/>
      <c r="U718" s="735"/>
      <c r="V718" s="735"/>
      <c r="W718" s="735"/>
      <c r="X718" s="735"/>
      <c r="Y718" s="735"/>
      <c r="Z718" s="746">
        <f>R718+S718+T718+U718+V718+W718+X718+Y718</f>
        <v>0</v>
      </c>
      <c r="AA718" s="735"/>
      <c r="AB718" s="735"/>
      <c r="AC718" s="735"/>
      <c r="AD718" s="746">
        <f>R718+S718+AA718</f>
        <v>0</v>
      </c>
      <c r="AE718" s="746">
        <f>((R718+S718)*12+AA718)*Q718</f>
        <v>0</v>
      </c>
      <c r="AF718" s="735">
        <f>O718-AD718</f>
        <v>0</v>
      </c>
      <c r="AG718" s="763">
        <f>P718-AE718</f>
        <v>0</v>
      </c>
      <c r="AH718" s="711"/>
      <c r="AI718" s="735">
        <f>AE718</f>
        <v>0</v>
      </c>
    </row>
    <row r="719" spans="1:35" x14ac:dyDescent="0.2">
      <c r="A719" s="704"/>
      <c r="B719" s="711"/>
      <c r="C719" s="735"/>
      <c r="D719" s="735"/>
      <c r="E719" s="735"/>
      <c r="F719" s="735"/>
      <c r="G719" s="735"/>
      <c r="H719" s="735"/>
      <c r="I719" s="735"/>
      <c r="J719" s="735"/>
      <c r="K719" s="735"/>
      <c r="L719" s="735"/>
      <c r="M719" s="735"/>
      <c r="N719" s="735"/>
      <c r="O719" s="735"/>
      <c r="P719" s="746"/>
      <c r="Q719" s="421"/>
      <c r="R719" s="735"/>
      <c r="S719" s="735"/>
      <c r="T719" s="735"/>
      <c r="U719" s="735"/>
      <c r="V719" s="735"/>
      <c r="W719" s="735"/>
      <c r="X719" s="735"/>
      <c r="Y719" s="735"/>
      <c r="Z719" s="746"/>
      <c r="AA719" s="735"/>
      <c r="AB719" s="735"/>
      <c r="AC719" s="735"/>
      <c r="AD719" s="746"/>
      <c r="AE719" s="746"/>
      <c r="AF719" s="735"/>
      <c r="AG719" s="711"/>
      <c r="AH719" s="711"/>
      <c r="AI719" s="735"/>
    </row>
    <row r="720" spans="1:35" x14ac:dyDescent="0.2">
      <c r="A720" s="861" t="s">
        <v>385</v>
      </c>
      <c r="B720" s="711"/>
      <c r="C720" s="735"/>
      <c r="D720" s="735"/>
      <c r="E720" s="735"/>
      <c r="F720" s="735"/>
      <c r="G720" s="735"/>
      <c r="H720" s="735"/>
      <c r="I720" s="735"/>
      <c r="J720" s="735"/>
      <c r="K720" s="735"/>
      <c r="L720" s="735"/>
      <c r="M720" s="735"/>
      <c r="N720" s="735"/>
      <c r="O720" s="735"/>
      <c r="P720" s="746"/>
      <c r="Q720" s="421"/>
      <c r="R720" s="735"/>
      <c r="S720" s="735"/>
      <c r="T720" s="735"/>
      <c r="U720" s="735"/>
      <c r="V720" s="735"/>
      <c r="W720" s="735"/>
      <c r="X720" s="735"/>
      <c r="Y720" s="735"/>
      <c r="Z720" s="746"/>
      <c r="AA720" s="735"/>
      <c r="AB720" s="735"/>
      <c r="AC720" s="735"/>
      <c r="AD720" s="746"/>
      <c r="AE720" s="746"/>
      <c r="AF720" s="735"/>
      <c r="AG720" s="711"/>
      <c r="AH720" s="711"/>
      <c r="AI720" s="735"/>
    </row>
    <row r="721" spans="1:35" x14ac:dyDescent="0.2">
      <c r="A721" s="862" t="s">
        <v>386</v>
      </c>
      <c r="B721" s="711">
        <v>2</v>
      </c>
      <c r="C721" s="735">
        <v>2512.9499999999998</v>
      </c>
      <c r="D721" s="735">
        <v>1110</v>
      </c>
      <c r="E721" s="735"/>
      <c r="F721" s="735"/>
      <c r="G721" s="735"/>
      <c r="H721" s="735"/>
      <c r="I721" s="735"/>
      <c r="J721" s="735"/>
      <c r="K721" s="735">
        <f t="shared" ref="K721:K724" si="503">+C721+D721+E721+F721+G721+H721+I721+J721</f>
        <v>3622.95</v>
      </c>
      <c r="L721" s="735">
        <v>1000</v>
      </c>
      <c r="M721" s="735"/>
      <c r="N721" s="735"/>
      <c r="O721" s="735">
        <f t="shared" ref="O721:O724" si="504">C721+D721+L721</f>
        <v>4622.95</v>
      </c>
      <c r="P721" s="746">
        <f t="shared" ref="P721:P724" si="505">((C721+D721)*12+L721)*B721</f>
        <v>88950.799999999988</v>
      </c>
      <c r="Q721" s="421">
        <v>2</v>
      </c>
      <c r="R721" s="735">
        <v>832.09</v>
      </c>
      <c r="S721" s="735">
        <v>1230</v>
      </c>
      <c r="T721" s="735"/>
      <c r="U721" s="735"/>
      <c r="V721" s="735"/>
      <c r="W721" s="735"/>
      <c r="X721" s="735"/>
      <c r="Y721" s="735"/>
      <c r="Z721" s="746">
        <f t="shared" ref="Z721:Z724" si="506">R721+S721+T721+U721+V721+W721+X721+Y721</f>
        <v>2062.09</v>
      </c>
      <c r="AA721" s="735">
        <v>1000</v>
      </c>
      <c r="AB721" s="735"/>
      <c r="AC721" s="735"/>
      <c r="AD721" s="746">
        <f t="shared" ref="AD721:AD724" si="507">R721+S721+AA721</f>
        <v>3062.09</v>
      </c>
      <c r="AE721" s="746">
        <f t="shared" ref="AE721:AE724" si="508">((R721+S721)*12+AA721)*Q721</f>
        <v>51490.16</v>
      </c>
      <c r="AF721" s="735">
        <f t="shared" ref="AF721:AG724" si="509">O721-AD721</f>
        <v>1560.8599999999997</v>
      </c>
      <c r="AG721" s="763">
        <f t="shared" si="509"/>
        <v>37460.639999999985</v>
      </c>
      <c r="AH721" s="711">
        <v>2</v>
      </c>
      <c r="AI721" s="735">
        <f>AE721+34149.6</f>
        <v>85639.760000000009</v>
      </c>
    </row>
    <row r="722" spans="1:35" x14ac:dyDescent="0.2">
      <c r="A722" s="862" t="s">
        <v>387</v>
      </c>
      <c r="B722" s="711">
        <v>0</v>
      </c>
      <c r="C722" s="735">
        <v>0</v>
      </c>
      <c r="D722" s="735">
        <v>0</v>
      </c>
      <c r="E722" s="735"/>
      <c r="F722" s="735"/>
      <c r="G722" s="735"/>
      <c r="H722" s="735"/>
      <c r="I722" s="735"/>
      <c r="J722" s="735"/>
      <c r="K722" s="735">
        <f t="shared" si="503"/>
        <v>0</v>
      </c>
      <c r="L722" s="735">
        <v>1000</v>
      </c>
      <c r="M722" s="735"/>
      <c r="N722" s="735"/>
      <c r="O722" s="735">
        <f t="shared" si="504"/>
        <v>1000</v>
      </c>
      <c r="P722" s="746">
        <f t="shared" si="505"/>
        <v>0</v>
      </c>
      <c r="Q722" s="421">
        <v>0</v>
      </c>
      <c r="R722" s="735">
        <v>825.96</v>
      </c>
      <c r="S722" s="735">
        <v>1230</v>
      </c>
      <c r="T722" s="735"/>
      <c r="U722" s="735"/>
      <c r="V722" s="735"/>
      <c r="W722" s="735"/>
      <c r="X722" s="735"/>
      <c r="Y722" s="735"/>
      <c r="Z722" s="746">
        <f t="shared" si="506"/>
        <v>2055.96</v>
      </c>
      <c r="AA722" s="735">
        <v>1000</v>
      </c>
      <c r="AB722" s="735"/>
      <c r="AC722" s="735"/>
      <c r="AD722" s="746">
        <f t="shared" si="507"/>
        <v>3055.96</v>
      </c>
      <c r="AE722" s="746">
        <f t="shared" si="508"/>
        <v>0</v>
      </c>
      <c r="AF722" s="735">
        <f t="shared" si="509"/>
        <v>-2055.96</v>
      </c>
      <c r="AG722" s="763">
        <f t="shared" si="509"/>
        <v>0</v>
      </c>
      <c r="AH722" s="711">
        <v>0</v>
      </c>
      <c r="AI722" s="735">
        <f>AE722+68299.2</f>
        <v>68299.199999999997</v>
      </c>
    </row>
    <row r="723" spans="1:35" x14ac:dyDescent="0.2">
      <c r="A723" s="862" t="s">
        <v>388</v>
      </c>
      <c r="B723" s="711">
        <v>0</v>
      </c>
      <c r="C723" s="735">
        <v>0</v>
      </c>
      <c r="D723" s="735">
        <v>0</v>
      </c>
      <c r="E723" s="735"/>
      <c r="F723" s="735"/>
      <c r="G723" s="735"/>
      <c r="H723" s="735"/>
      <c r="I723" s="735"/>
      <c r="J723" s="735"/>
      <c r="K723" s="735">
        <f t="shared" si="503"/>
        <v>0</v>
      </c>
      <c r="L723" s="735">
        <v>1000</v>
      </c>
      <c r="M723" s="735"/>
      <c r="N723" s="735"/>
      <c r="O723" s="735">
        <f t="shared" si="504"/>
        <v>1000</v>
      </c>
      <c r="P723" s="746">
        <f t="shared" si="505"/>
        <v>0</v>
      </c>
      <c r="Q723" s="421">
        <v>0</v>
      </c>
      <c r="R723" s="735">
        <v>766.29</v>
      </c>
      <c r="S723" s="735">
        <v>1230</v>
      </c>
      <c r="T723" s="735"/>
      <c r="U723" s="735"/>
      <c r="V723" s="735"/>
      <c r="W723" s="735"/>
      <c r="X723" s="735"/>
      <c r="Y723" s="735"/>
      <c r="Z723" s="746">
        <f t="shared" si="506"/>
        <v>1996.29</v>
      </c>
      <c r="AA723" s="735">
        <v>1000</v>
      </c>
      <c r="AB723" s="735"/>
      <c r="AC723" s="735"/>
      <c r="AD723" s="746">
        <f t="shared" si="507"/>
        <v>2996.29</v>
      </c>
      <c r="AE723" s="746">
        <f t="shared" si="508"/>
        <v>0</v>
      </c>
      <c r="AF723" s="735">
        <f t="shared" si="509"/>
        <v>-1996.29</v>
      </c>
      <c r="AG723" s="763">
        <f t="shared" si="509"/>
        <v>0</v>
      </c>
      <c r="AH723" s="711">
        <v>0</v>
      </c>
      <c r="AI723" s="735">
        <f>AE723+34149.6</f>
        <v>34149.599999999999</v>
      </c>
    </row>
    <row r="724" spans="1:35" x14ac:dyDescent="0.2">
      <c r="A724" s="862" t="s">
        <v>408</v>
      </c>
      <c r="B724" s="711">
        <v>15</v>
      </c>
      <c r="C724" s="735">
        <v>2296.37</v>
      </c>
      <c r="D724" s="735">
        <v>1110</v>
      </c>
      <c r="E724" s="735"/>
      <c r="F724" s="735"/>
      <c r="G724" s="735"/>
      <c r="H724" s="735"/>
      <c r="I724" s="735"/>
      <c r="J724" s="735"/>
      <c r="K724" s="735">
        <f t="shared" si="503"/>
        <v>3406.37</v>
      </c>
      <c r="L724" s="735">
        <v>1000</v>
      </c>
      <c r="M724" s="735"/>
      <c r="N724" s="735"/>
      <c r="O724" s="735">
        <f t="shared" si="504"/>
        <v>4406.37</v>
      </c>
      <c r="P724" s="746">
        <f t="shared" si="505"/>
        <v>628146.60000000009</v>
      </c>
      <c r="Q724" s="421">
        <v>15</v>
      </c>
      <c r="R724" s="735">
        <v>730.83</v>
      </c>
      <c r="S724" s="735">
        <v>1230</v>
      </c>
      <c r="T724" s="735"/>
      <c r="U724" s="735"/>
      <c r="V724" s="735"/>
      <c r="W724" s="735"/>
      <c r="X724" s="735"/>
      <c r="Y724" s="735"/>
      <c r="Z724" s="746">
        <f t="shared" si="506"/>
        <v>1960.83</v>
      </c>
      <c r="AA724" s="735">
        <v>1000</v>
      </c>
      <c r="AB724" s="735"/>
      <c r="AC724" s="735"/>
      <c r="AD724" s="746">
        <f t="shared" si="507"/>
        <v>2960.83</v>
      </c>
      <c r="AE724" s="746">
        <f t="shared" si="508"/>
        <v>367949.39999999997</v>
      </c>
      <c r="AF724" s="735">
        <f t="shared" si="509"/>
        <v>1445.54</v>
      </c>
      <c r="AG724" s="763">
        <f t="shared" si="509"/>
        <v>260197.20000000013</v>
      </c>
      <c r="AH724" s="711">
        <v>15</v>
      </c>
      <c r="AI724" s="735">
        <f>AE724+34149.6</f>
        <v>402098.99999999994</v>
      </c>
    </row>
    <row r="725" spans="1:35" x14ac:dyDescent="0.2">
      <c r="A725" s="704"/>
      <c r="B725" s="711"/>
      <c r="C725" s="735"/>
      <c r="D725" s="735"/>
      <c r="E725" s="735"/>
      <c r="F725" s="735"/>
      <c r="G725" s="735"/>
      <c r="H725" s="735"/>
      <c r="I725" s="735"/>
      <c r="J725" s="735"/>
      <c r="K725" s="735"/>
      <c r="L725" s="735"/>
      <c r="M725" s="735"/>
      <c r="N725" s="735"/>
      <c r="O725" s="735"/>
      <c r="P725" s="746"/>
      <c r="Q725" s="421"/>
      <c r="R725" s="735"/>
      <c r="S725" s="735"/>
      <c r="T725" s="735"/>
      <c r="U725" s="735"/>
      <c r="V725" s="735"/>
      <c r="W725" s="735"/>
      <c r="X725" s="735"/>
      <c r="Y725" s="735"/>
      <c r="Z725" s="746"/>
      <c r="AA725" s="735"/>
      <c r="AB725" s="735"/>
      <c r="AC725" s="735"/>
      <c r="AD725" s="746"/>
      <c r="AE725" s="746"/>
      <c r="AF725" s="735"/>
      <c r="AG725" s="711"/>
      <c r="AH725" s="711"/>
      <c r="AI725" s="735"/>
    </row>
    <row r="726" spans="1:35" x14ac:dyDescent="0.2">
      <c r="A726" s="861" t="s">
        <v>389</v>
      </c>
      <c r="B726" s="711"/>
      <c r="C726" s="735"/>
      <c r="D726" s="735"/>
      <c r="E726" s="735"/>
      <c r="F726" s="735"/>
      <c r="G726" s="735"/>
      <c r="H726" s="735"/>
      <c r="I726" s="735"/>
      <c r="J726" s="735"/>
      <c r="K726" s="735"/>
      <c r="L726" s="735"/>
      <c r="M726" s="735"/>
      <c r="N726" s="735"/>
      <c r="O726" s="735"/>
      <c r="P726" s="746"/>
      <c r="Q726" s="421"/>
      <c r="R726" s="735"/>
      <c r="S726" s="735"/>
      <c r="T726" s="735"/>
      <c r="U726" s="735"/>
      <c r="V726" s="735"/>
      <c r="W726" s="735"/>
      <c r="X726" s="735"/>
      <c r="Y726" s="735"/>
      <c r="Z726" s="746"/>
      <c r="AA726" s="735"/>
      <c r="AB726" s="735"/>
      <c r="AC726" s="735"/>
      <c r="AD726" s="746"/>
      <c r="AE726" s="746"/>
      <c r="AF726" s="735"/>
      <c r="AG726" s="711"/>
      <c r="AH726" s="711"/>
      <c r="AI726" s="735"/>
    </row>
    <row r="727" spans="1:35" x14ac:dyDescent="0.2">
      <c r="A727" s="862" t="s">
        <v>785</v>
      </c>
      <c r="B727" s="711">
        <v>5</v>
      </c>
      <c r="C727" s="735">
        <v>1805.53</v>
      </c>
      <c r="D727" s="735">
        <v>1070</v>
      </c>
      <c r="E727" s="735"/>
      <c r="F727" s="735"/>
      <c r="G727" s="735"/>
      <c r="H727" s="735"/>
      <c r="I727" s="735"/>
      <c r="J727" s="735"/>
      <c r="K727" s="735">
        <f t="shared" ref="K727:K734" si="510">+C727+D727+E727+F727+G727+H727+I727+J727</f>
        <v>2875.5299999999997</v>
      </c>
      <c r="L727" s="735">
        <v>1000</v>
      </c>
      <c r="M727" s="735"/>
      <c r="N727" s="735"/>
      <c r="O727" s="735">
        <f>C727+D727+L727</f>
        <v>3875.5299999999997</v>
      </c>
      <c r="P727" s="746">
        <f>((C727+D727)*12+L727)*B727</f>
        <v>177531.8</v>
      </c>
      <c r="Q727" s="421">
        <v>5</v>
      </c>
      <c r="R727" s="735">
        <v>701.32</v>
      </c>
      <c r="S727" s="735">
        <v>1170</v>
      </c>
      <c r="T727" s="735"/>
      <c r="U727" s="735"/>
      <c r="V727" s="735"/>
      <c r="W727" s="735"/>
      <c r="X727" s="735"/>
      <c r="Y727" s="735"/>
      <c r="Z727" s="746">
        <f t="shared" ref="Z727:Z734" si="511">R727+S727+T727+U727+V727+W727+X727+Y727</f>
        <v>1871.3200000000002</v>
      </c>
      <c r="AA727" s="735">
        <v>1000</v>
      </c>
      <c r="AB727" s="735"/>
      <c r="AC727" s="735"/>
      <c r="AD727" s="746">
        <f t="shared" ref="AD727:AD734" si="512">R727+S727+AA727</f>
        <v>2871.32</v>
      </c>
      <c r="AE727" s="746">
        <f t="shared" ref="AE727:AE734" si="513">((R727+S727)*12+AA727)*Q727</f>
        <v>117279.20000000001</v>
      </c>
      <c r="AF727" s="735">
        <f t="shared" ref="AF727:AG734" si="514">O727-AD727</f>
        <v>1004.2099999999996</v>
      </c>
      <c r="AG727" s="763">
        <f>P727-AE727</f>
        <v>60252.599999999977</v>
      </c>
      <c r="AH727" s="711">
        <v>5</v>
      </c>
      <c r="AI727" s="735">
        <f>AE727+51427.8</f>
        <v>168707</v>
      </c>
    </row>
    <row r="728" spans="1:35" x14ac:dyDescent="0.2">
      <c r="A728" s="862" t="s">
        <v>786</v>
      </c>
      <c r="B728" s="711">
        <v>28</v>
      </c>
      <c r="C728" s="735">
        <v>818.51</v>
      </c>
      <c r="D728" s="735">
        <v>1070</v>
      </c>
      <c r="E728" s="735"/>
      <c r="F728" s="735"/>
      <c r="G728" s="735"/>
      <c r="H728" s="735"/>
      <c r="I728" s="735"/>
      <c r="J728" s="735"/>
      <c r="K728" s="735">
        <f t="shared" si="510"/>
        <v>1888.51</v>
      </c>
      <c r="L728" s="735">
        <v>1000</v>
      </c>
      <c r="M728" s="735"/>
      <c r="N728" s="735"/>
      <c r="O728" s="735">
        <f t="shared" ref="O728:O734" si="515">C728+D728+L728</f>
        <v>2888.51</v>
      </c>
      <c r="P728" s="746">
        <f t="shared" ref="P728:P734" si="516">((C728+D728)*12+L728)*B728</f>
        <v>662539.36</v>
      </c>
      <c r="Q728" s="421">
        <v>28</v>
      </c>
      <c r="R728" s="735">
        <v>679.37</v>
      </c>
      <c r="S728" s="735">
        <v>1170</v>
      </c>
      <c r="T728" s="735"/>
      <c r="U728" s="735"/>
      <c r="V728" s="735"/>
      <c r="W728" s="735"/>
      <c r="X728" s="735"/>
      <c r="Y728" s="735"/>
      <c r="Z728" s="746">
        <f t="shared" si="511"/>
        <v>1849.37</v>
      </c>
      <c r="AA728" s="735">
        <v>1000</v>
      </c>
      <c r="AB728" s="735"/>
      <c r="AC728" s="735"/>
      <c r="AD728" s="746">
        <f t="shared" si="512"/>
        <v>2849.37</v>
      </c>
      <c r="AE728" s="746">
        <f t="shared" si="513"/>
        <v>649388.31999999995</v>
      </c>
      <c r="AF728" s="735">
        <f t="shared" si="514"/>
        <v>39.140000000000327</v>
      </c>
      <c r="AG728" s="763">
        <f t="shared" si="514"/>
        <v>13151.040000000037</v>
      </c>
      <c r="AH728" s="711">
        <v>28</v>
      </c>
      <c r="AI728" s="735">
        <f t="shared" ref="AI728:AI732" si="517">AE728+10285.56</f>
        <v>659673.88</v>
      </c>
    </row>
    <row r="729" spans="1:35" x14ac:dyDescent="0.2">
      <c r="A729" s="862" t="s">
        <v>391</v>
      </c>
      <c r="B729" s="711">
        <v>5</v>
      </c>
      <c r="C729" s="735">
        <v>808.55</v>
      </c>
      <c r="D729" s="735">
        <v>1070</v>
      </c>
      <c r="E729" s="735"/>
      <c r="F729" s="735"/>
      <c r="G729" s="735"/>
      <c r="H729" s="735"/>
      <c r="I729" s="735"/>
      <c r="J729" s="735"/>
      <c r="K729" s="735">
        <f t="shared" si="510"/>
        <v>1878.55</v>
      </c>
      <c r="L729" s="735">
        <v>1000</v>
      </c>
      <c r="M729" s="735"/>
      <c r="N729" s="735"/>
      <c r="O729" s="735">
        <f t="shared" si="515"/>
        <v>2878.55</v>
      </c>
      <c r="P729" s="746">
        <f t="shared" si="516"/>
        <v>117713</v>
      </c>
      <c r="Q729" s="421">
        <v>5</v>
      </c>
      <c r="R729" s="735">
        <v>679.37</v>
      </c>
      <c r="S729" s="735">
        <v>1170</v>
      </c>
      <c r="T729" s="735"/>
      <c r="U729" s="735"/>
      <c r="V729" s="735"/>
      <c r="W729" s="735"/>
      <c r="X729" s="735"/>
      <c r="Y729" s="735"/>
      <c r="Z729" s="746">
        <f t="shared" si="511"/>
        <v>1849.37</v>
      </c>
      <c r="AA729" s="735">
        <v>1000</v>
      </c>
      <c r="AB729" s="735"/>
      <c r="AC729" s="735"/>
      <c r="AD729" s="746">
        <f t="shared" si="512"/>
        <v>2849.37</v>
      </c>
      <c r="AE729" s="746">
        <f t="shared" si="513"/>
        <v>115962.2</v>
      </c>
      <c r="AF729" s="735">
        <f t="shared" si="514"/>
        <v>29.180000000000291</v>
      </c>
      <c r="AG729" s="763">
        <f t="shared" si="514"/>
        <v>1750.8000000000029</v>
      </c>
      <c r="AH729" s="711">
        <v>5</v>
      </c>
      <c r="AI729" s="735">
        <f t="shared" si="517"/>
        <v>126247.76</v>
      </c>
    </row>
    <row r="730" spans="1:35" x14ac:dyDescent="0.2">
      <c r="A730" s="862" t="s">
        <v>392</v>
      </c>
      <c r="B730" s="711">
        <v>18</v>
      </c>
      <c r="C730" s="735">
        <v>785.2</v>
      </c>
      <c r="D730" s="735">
        <v>1070</v>
      </c>
      <c r="E730" s="735"/>
      <c r="F730" s="735"/>
      <c r="G730" s="735"/>
      <c r="H730" s="735"/>
      <c r="I730" s="735"/>
      <c r="J730" s="735"/>
      <c r="K730" s="735">
        <f t="shared" si="510"/>
        <v>1855.2</v>
      </c>
      <c r="L730" s="735">
        <v>1000</v>
      </c>
      <c r="M730" s="735"/>
      <c r="N730" s="735"/>
      <c r="O730" s="735">
        <f t="shared" si="515"/>
        <v>2855.2</v>
      </c>
      <c r="P730" s="746">
        <f t="shared" si="516"/>
        <v>418723.2</v>
      </c>
      <c r="Q730" s="421">
        <v>18</v>
      </c>
      <c r="R730" s="735">
        <v>679.37</v>
      </c>
      <c r="S730" s="735">
        <v>1170</v>
      </c>
      <c r="T730" s="735"/>
      <c r="U730" s="735"/>
      <c r="V730" s="735"/>
      <c r="W730" s="735"/>
      <c r="X730" s="735"/>
      <c r="Y730" s="735"/>
      <c r="Z730" s="746">
        <f t="shared" si="511"/>
        <v>1849.37</v>
      </c>
      <c r="AA730" s="735">
        <v>1000</v>
      </c>
      <c r="AB730" s="735"/>
      <c r="AC730" s="735"/>
      <c r="AD730" s="746">
        <f t="shared" si="512"/>
        <v>2849.37</v>
      </c>
      <c r="AE730" s="746">
        <f t="shared" si="513"/>
        <v>417463.92</v>
      </c>
      <c r="AF730" s="735">
        <f t="shared" si="514"/>
        <v>5.8299999999999272</v>
      </c>
      <c r="AG730" s="763">
        <f t="shared" si="514"/>
        <v>1259.2800000000279</v>
      </c>
      <c r="AH730" s="711">
        <v>18</v>
      </c>
      <c r="AI730" s="735">
        <f t="shared" si="517"/>
        <v>427749.48</v>
      </c>
    </row>
    <row r="731" spans="1:35" x14ac:dyDescent="0.2">
      <c r="A731" s="862" t="s">
        <v>439</v>
      </c>
      <c r="B731" s="711">
        <v>1</v>
      </c>
      <c r="C731" s="735">
        <v>755.57</v>
      </c>
      <c r="D731" s="735">
        <v>1070</v>
      </c>
      <c r="E731" s="735"/>
      <c r="F731" s="735"/>
      <c r="G731" s="735"/>
      <c r="H731" s="735"/>
      <c r="I731" s="735"/>
      <c r="J731" s="735"/>
      <c r="K731" s="735">
        <f t="shared" si="510"/>
        <v>1825.5700000000002</v>
      </c>
      <c r="L731" s="735">
        <v>1000</v>
      </c>
      <c r="M731" s="735"/>
      <c r="N731" s="735"/>
      <c r="O731" s="735">
        <f t="shared" si="515"/>
        <v>2825.57</v>
      </c>
      <c r="P731" s="746">
        <f t="shared" si="516"/>
        <v>22906.840000000004</v>
      </c>
      <c r="Q731" s="421">
        <v>1</v>
      </c>
      <c r="R731" s="735">
        <v>679.37</v>
      </c>
      <c r="S731" s="735">
        <v>1170</v>
      </c>
      <c r="T731" s="735"/>
      <c r="U731" s="735"/>
      <c r="V731" s="735"/>
      <c r="W731" s="735"/>
      <c r="X731" s="735"/>
      <c r="Y731" s="735"/>
      <c r="Z731" s="746">
        <f t="shared" si="511"/>
        <v>1849.37</v>
      </c>
      <c r="AA731" s="735">
        <v>1000</v>
      </c>
      <c r="AB731" s="735"/>
      <c r="AC731" s="735"/>
      <c r="AD731" s="746">
        <f t="shared" si="512"/>
        <v>2849.37</v>
      </c>
      <c r="AE731" s="746">
        <f t="shared" si="513"/>
        <v>23192.44</v>
      </c>
      <c r="AF731" s="735">
        <f t="shared" si="514"/>
        <v>-23.799999999999727</v>
      </c>
      <c r="AG731" s="763">
        <f t="shared" si="514"/>
        <v>-285.59999999999491</v>
      </c>
      <c r="AH731" s="711">
        <v>1</v>
      </c>
      <c r="AI731" s="735">
        <f t="shared" si="517"/>
        <v>33478</v>
      </c>
    </row>
    <row r="732" spans="1:35" x14ac:dyDescent="0.2">
      <c r="A732" s="862" t="s">
        <v>787</v>
      </c>
      <c r="B732" s="711">
        <v>11</v>
      </c>
      <c r="C732" s="735">
        <v>1743.06</v>
      </c>
      <c r="D732" s="735">
        <v>1070</v>
      </c>
      <c r="E732" s="735"/>
      <c r="F732" s="735"/>
      <c r="G732" s="735"/>
      <c r="H732" s="735"/>
      <c r="I732" s="735"/>
      <c r="J732" s="735"/>
      <c r="K732" s="735">
        <f t="shared" si="510"/>
        <v>2813.06</v>
      </c>
      <c r="L732" s="735">
        <v>1000</v>
      </c>
      <c r="M732" s="735"/>
      <c r="N732" s="735"/>
      <c r="O732" s="735">
        <f t="shared" si="515"/>
        <v>3813.06</v>
      </c>
      <c r="P732" s="746">
        <f t="shared" si="516"/>
        <v>382323.92000000004</v>
      </c>
      <c r="Q732" s="421">
        <v>11</v>
      </c>
      <c r="R732" s="735">
        <v>679.37</v>
      </c>
      <c r="S732" s="735">
        <v>1170</v>
      </c>
      <c r="T732" s="735"/>
      <c r="U732" s="735"/>
      <c r="V732" s="735"/>
      <c r="W732" s="735"/>
      <c r="X732" s="735"/>
      <c r="Y732" s="735"/>
      <c r="Z732" s="746">
        <f t="shared" si="511"/>
        <v>1849.37</v>
      </c>
      <c r="AA732" s="735">
        <v>1000</v>
      </c>
      <c r="AB732" s="735"/>
      <c r="AC732" s="735"/>
      <c r="AD732" s="746">
        <f t="shared" si="512"/>
        <v>2849.37</v>
      </c>
      <c r="AE732" s="746">
        <f t="shared" si="513"/>
        <v>255116.84</v>
      </c>
      <c r="AF732" s="735">
        <f t="shared" si="514"/>
        <v>963.69</v>
      </c>
      <c r="AG732" s="763">
        <f t="shared" si="514"/>
        <v>127207.08000000005</v>
      </c>
      <c r="AH732" s="711">
        <v>11</v>
      </c>
      <c r="AI732" s="735">
        <f t="shared" si="517"/>
        <v>265402.40000000002</v>
      </c>
    </row>
    <row r="733" spans="1:35" x14ac:dyDescent="0.2">
      <c r="A733" s="862" t="s">
        <v>788</v>
      </c>
      <c r="B733" s="711">
        <v>40</v>
      </c>
      <c r="C733" s="735">
        <v>739.01</v>
      </c>
      <c r="D733" s="735">
        <v>1070</v>
      </c>
      <c r="E733" s="735"/>
      <c r="F733" s="735"/>
      <c r="G733" s="735"/>
      <c r="H733" s="735"/>
      <c r="I733" s="735"/>
      <c r="J733" s="735"/>
      <c r="K733" s="735">
        <f t="shared" si="510"/>
        <v>1809.01</v>
      </c>
      <c r="L733" s="735">
        <v>1000</v>
      </c>
      <c r="M733" s="735"/>
      <c r="N733" s="735"/>
      <c r="O733" s="735">
        <f t="shared" si="515"/>
        <v>2809.01</v>
      </c>
      <c r="P733" s="746">
        <f t="shared" si="516"/>
        <v>908324.79999999993</v>
      </c>
      <c r="Q733" s="421">
        <v>40</v>
      </c>
      <c r="R733" s="735">
        <v>679.37</v>
      </c>
      <c r="S733" s="735">
        <v>1170</v>
      </c>
      <c r="T733" s="735"/>
      <c r="U733" s="735"/>
      <c r="V733" s="735"/>
      <c r="W733" s="735"/>
      <c r="X733" s="735"/>
      <c r="Y733" s="735"/>
      <c r="Z733" s="746">
        <f t="shared" si="511"/>
        <v>1849.37</v>
      </c>
      <c r="AA733" s="735">
        <v>1000</v>
      </c>
      <c r="AB733" s="735"/>
      <c r="AC733" s="735"/>
      <c r="AD733" s="746">
        <f t="shared" si="512"/>
        <v>2849.37</v>
      </c>
      <c r="AE733" s="746">
        <f t="shared" si="513"/>
        <v>927697.6</v>
      </c>
      <c r="AF733" s="735">
        <f t="shared" si="514"/>
        <v>-40.359999999999673</v>
      </c>
      <c r="AG733" s="763">
        <f t="shared" si="514"/>
        <v>-19372.800000000047</v>
      </c>
      <c r="AH733" s="711">
        <v>40</v>
      </c>
      <c r="AI733" s="735">
        <f>AE733+10285.56</f>
        <v>937983.16</v>
      </c>
    </row>
    <row r="734" spans="1:35" x14ac:dyDescent="0.2">
      <c r="A734" s="862" t="s">
        <v>440</v>
      </c>
      <c r="B734" s="711">
        <v>1</v>
      </c>
      <c r="C734" s="735">
        <v>779.96</v>
      </c>
      <c r="D734" s="735">
        <v>1070</v>
      </c>
      <c r="E734" s="735"/>
      <c r="F734" s="735"/>
      <c r="G734" s="735"/>
      <c r="H734" s="735"/>
      <c r="I734" s="735"/>
      <c r="J734" s="735"/>
      <c r="K734" s="735">
        <f t="shared" si="510"/>
        <v>1849.96</v>
      </c>
      <c r="L734" s="735">
        <v>1000</v>
      </c>
      <c r="M734" s="735"/>
      <c r="N734" s="735"/>
      <c r="O734" s="735">
        <f t="shared" si="515"/>
        <v>2849.96</v>
      </c>
      <c r="P734" s="746">
        <f t="shared" si="516"/>
        <v>23199.52</v>
      </c>
      <c r="Q734" s="421">
        <v>1</v>
      </c>
      <c r="R734" s="735">
        <v>679.37</v>
      </c>
      <c r="S734" s="735">
        <v>1170</v>
      </c>
      <c r="T734" s="735"/>
      <c r="U734" s="735"/>
      <c r="V734" s="735"/>
      <c r="W734" s="735"/>
      <c r="X734" s="735"/>
      <c r="Y734" s="735"/>
      <c r="Z734" s="746">
        <f t="shared" si="511"/>
        <v>1849.37</v>
      </c>
      <c r="AA734" s="735">
        <v>1000</v>
      </c>
      <c r="AB734" s="735"/>
      <c r="AC734" s="735"/>
      <c r="AD734" s="746">
        <f t="shared" si="512"/>
        <v>2849.37</v>
      </c>
      <c r="AE734" s="746">
        <f t="shared" si="513"/>
        <v>23192.44</v>
      </c>
      <c r="AF734" s="735">
        <f t="shared" si="514"/>
        <v>0.59000000000014552</v>
      </c>
      <c r="AG734" s="763">
        <f t="shared" si="514"/>
        <v>7.0800000000017462</v>
      </c>
      <c r="AH734" s="711">
        <v>1</v>
      </c>
      <c r="AI734" s="735">
        <f>AE734+10285.56</f>
        <v>33478</v>
      </c>
    </row>
    <row r="735" spans="1:35" x14ac:dyDescent="0.2">
      <c r="A735" s="704"/>
      <c r="B735" s="711"/>
      <c r="C735" s="735"/>
      <c r="D735" s="735"/>
      <c r="E735" s="735"/>
      <c r="F735" s="735"/>
      <c r="G735" s="735"/>
      <c r="H735" s="735" t="s">
        <v>735</v>
      </c>
      <c r="I735" s="735"/>
      <c r="J735" s="735"/>
      <c r="K735" s="735"/>
      <c r="L735" s="735"/>
      <c r="M735" s="735"/>
      <c r="N735" s="735"/>
      <c r="O735" s="735"/>
      <c r="P735" s="746"/>
      <c r="Q735" s="421"/>
      <c r="R735" s="735"/>
      <c r="S735" s="735"/>
      <c r="T735" s="735"/>
      <c r="U735" s="735"/>
      <c r="V735" s="735"/>
      <c r="W735" s="735"/>
      <c r="X735" s="735"/>
      <c r="Y735" s="735"/>
      <c r="Z735" s="746"/>
      <c r="AA735" s="735"/>
      <c r="AB735" s="735"/>
      <c r="AC735" s="735"/>
      <c r="AD735" s="746"/>
      <c r="AE735" s="746"/>
      <c r="AF735" s="735"/>
      <c r="AG735" s="711"/>
      <c r="AH735" s="711"/>
      <c r="AI735" s="735"/>
    </row>
    <row r="736" spans="1:35" x14ac:dyDescent="0.2">
      <c r="A736" s="861" t="s">
        <v>393</v>
      </c>
      <c r="B736" s="711"/>
      <c r="C736" s="735"/>
      <c r="D736" s="735"/>
      <c r="E736" s="735"/>
      <c r="F736" s="735"/>
      <c r="G736" s="735"/>
      <c r="H736" s="735"/>
      <c r="I736" s="735"/>
      <c r="J736" s="735"/>
      <c r="K736" s="735"/>
      <c r="L736" s="735"/>
      <c r="M736" s="735"/>
      <c r="N736" s="735"/>
      <c r="O736" s="735"/>
      <c r="P736" s="746"/>
      <c r="Q736" s="421"/>
      <c r="R736" s="735"/>
      <c r="S736" s="735"/>
      <c r="T736" s="735"/>
      <c r="U736" s="735"/>
      <c r="V736" s="735"/>
      <c r="W736" s="735"/>
      <c r="X736" s="735"/>
      <c r="Y736" s="735"/>
      <c r="Z736" s="746"/>
      <c r="AA736" s="735"/>
      <c r="AB736" s="735"/>
      <c r="AC736" s="735"/>
      <c r="AD736" s="746"/>
      <c r="AE736" s="746"/>
      <c r="AF736" s="735"/>
      <c r="AG736" s="711"/>
      <c r="AH736" s="711"/>
      <c r="AI736" s="735"/>
    </row>
    <row r="737" spans="1:35" x14ac:dyDescent="0.2">
      <c r="A737" s="862" t="s">
        <v>394</v>
      </c>
      <c r="B737" s="711">
        <v>7</v>
      </c>
      <c r="C737" s="735">
        <v>744.81</v>
      </c>
      <c r="D737" s="735">
        <v>1070</v>
      </c>
      <c r="E737" s="735"/>
      <c r="F737" s="735"/>
      <c r="G737" s="735"/>
      <c r="H737" s="735"/>
      <c r="I737" s="735"/>
      <c r="J737" s="735"/>
      <c r="K737" s="735">
        <f t="shared" ref="K737:K742" si="518">+C737+D737+E737+F737+G737+H737+I737+J737</f>
        <v>1814.81</v>
      </c>
      <c r="L737" s="735">
        <v>1000</v>
      </c>
      <c r="M737" s="735"/>
      <c r="N737" s="735"/>
      <c r="O737" s="735">
        <f t="shared" ref="O737:O742" si="519">C737+D737+L737</f>
        <v>2814.81</v>
      </c>
      <c r="P737" s="746">
        <f>((C737+D737)*12+L737)*B737</f>
        <v>159444.04</v>
      </c>
      <c r="Q737" s="421">
        <v>7</v>
      </c>
      <c r="R737" s="735">
        <v>667.56</v>
      </c>
      <c r="S737" s="735">
        <v>1150</v>
      </c>
      <c r="T737" s="735"/>
      <c r="U737" s="735"/>
      <c r="V737" s="735"/>
      <c r="W737" s="735"/>
      <c r="X737" s="735"/>
      <c r="Y737" s="735"/>
      <c r="Z737" s="746">
        <f t="shared" ref="Z737:Z742" si="520">R737+S737+T737+U737+V737+W737+X737+Y737</f>
        <v>1817.56</v>
      </c>
      <c r="AA737" s="735">
        <v>1000</v>
      </c>
      <c r="AB737" s="735"/>
      <c r="AC737" s="735"/>
      <c r="AD737" s="746">
        <f t="shared" ref="AD737:AD742" si="521">R737+S737+AA737</f>
        <v>2817.56</v>
      </c>
      <c r="AE737" s="746">
        <f t="shared" ref="AE737:AE742" si="522">((R737+S737)*12+AA737)*Q737</f>
        <v>159675.04</v>
      </c>
      <c r="AF737" s="735">
        <f t="shared" ref="AF737:AG742" si="523">O737-AD737</f>
        <v>-2.75</v>
      </c>
      <c r="AG737" s="763">
        <f t="shared" si="523"/>
        <v>-231</v>
      </c>
      <c r="AH737" s="711">
        <v>7</v>
      </c>
      <c r="AI737" s="735">
        <f>AE737+18861.12</f>
        <v>178536.16</v>
      </c>
    </row>
    <row r="738" spans="1:35" x14ac:dyDescent="0.2">
      <c r="A738" s="862" t="s">
        <v>441</v>
      </c>
      <c r="B738" s="711">
        <v>29</v>
      </c>
      <c r="C738" s="735">
        <v>748.71</v>
      </c>
      <c r="D738" s="735">
        <v>1070</v>
      </c>
      <c r="E738" s="735"/>
      <c r="F738" s="735"/>
      <c r="G738" s="735"/>
      <c r="H738" s="735"/>
      <c r="I738" s="735"/>
      <c r="J738" s="735"/>
      <c r="K738" s="735">
        <f t="shared" si="518"/>
        <v>1818.71</v>
      </c>
      <c r="L738" s="735">
        <v>1000</v>
      </c>
      <c r="M738" s="735"/>
      <c r="N738" s="735"/>
      <c r="O738" s="735">
        <f t="shared" si="519"/>
        <v>2818.71</v>
      </c>
      <c r="P738" s="746">
        <f t="shared" ref="P738:P740" si="524">((C738+D738)*12+L738)*B738</f>
        <v>661911.07999999996</v>
      </c>
      <c r="Q738" s="421">
        <v>29</v>
      </c>
      <c r="R738" s="735">
        <v>667.56</v>
      </c>
      <c r="S738" s="735">
        <v>1150</v>
      </c>
      <c r="T738" s="735"/>
      <c r="U738" s="735"/>
      <c r="V738" s="735"/>
      <c r="W738" s="735"/>
      <c r="X738" s="735"/>
      <c r="Y738" s="735"/>
      <c r="Z738" s="746">
        <f t="shared" si="520"/>
        <v>1817.56</v>
      </c>
      <c r="AA738" s="735">
        <v>1000</v>
      </c>
      <c r="AB738" s="735"/>
      <c r="AC738" s="735"/>
      <c r="AD738" s="746">
        <f t="shared" si="521"/>
        <v>2817.56</v>
      </c>
      <c r="AE738" s="746">
        <f t="shared" si="522"/>
        <v>661510.88</v>
      </c>
      <c r="AF738" s="735">
        <f t="shared" si="523"/>
        <v>1.1500000000000909</v>
      </c>
      <c r="AG738" s="763">
        <f t="shared" si="523"/>
        <v>400.19999999995343</v>
      </c>
      <c r="AH738" s="711">
        <v>29</v>
      </c>
      <c r="AI738" s="735">
        <f t="shared" ref="AI738:AI740" si="525">AE738+18861.12</f>
        <v>680372</v>
      </c>
    </row>
    <row r="739" spans="1:35" x14ac:dyDescent="0.2">
      <c r="A739" s="862" t="s">
        <v>442</v>
      </c>
      <c r="B739" s="711">
        <v>5</v>
      </c>
      <c r="C739" s="735">
        <v>734.4</v>
      </c>
      <c r="D739" s="735">
        <v>1070</v>
      </c>
      <c r="E739" s="735"/>
      <c r="F739" s="735"/>
      <c r="G739" s="735"/>
      <c r="H739" s="735"/>
      <c r="I739" s="735"/>
      <c r="J739" s="735"/>
      <c r="K739" s="735">
        <f t="shared" si="518"/>
        <v>1804.4</v>
      </c>
      <c r="L739" s="735">
        <v>1000</v>
      </c>
      <c r="M739" s="735"/>
      <c r="N739" s="735"/>
      <c r="O739" s="735">
        <f t="shared" si="519"/>
        <v>2804.4</v>
      </c>
      <c r="P739" s="746">
        <f t="shared" si="524"/>
        <v>113264.00000000001</v>
      </c>
      <c r="Q739" s="421">
        <v>5</v>
      </c>
      <c r="R739" s="735">
        <v>667.56</v>
      </c>
      <c r="S739" s="735">
        <v>1150</v>
      </c>
      <c r="T739" s="735"/>
      <c r="U739" s="735"/>
      <c r="V739" s="735"/>
      <c r="W739" s="735"/>
      <c r="X739" s="735"/>
      <c r="Y739" s="735"/>
      <c r="Z739" s="746">
        <f t="shared" si="520"/>
        <v>1817.56</v>
      </c>
      <c r="AA739" s="735">
        <v>1000</v>
      </c>
      <c r="AB739" s="735"/>
      <c r="AC739" s="735"/>
      <c r="AD739" s="746">
        <f t="shared" si="521"/>
        <v>2817.56</v>
      </c>
      <c r="AE739" s="746">
        <f t="shared" si="522"/>
        <v>114053.6</v>
      </c>
      <c r="AF739" s="735">
        <f t="shared" si="523"/>
        <v>-13.159999999999854</v>
      </c>
      <c r="AG739" s="763">
        <f t="shared" si="523"/>
        <v>-789.59999999999127</v>
      </c>
      <c r="AH739" s="711">
        <v>5</v>
      </c>
      <c r="AI739" s="735">
        <f t="shared" si="525"/>
        <v>132914.72</v>
      </c>
    </row>
    <row r="740" spans="1:35" x14ac:dyDescent="0.2">
      <c r="A740" s="862" t="s">
        <v>443</v>
      </c>
      <c r="B740" s="711">
        <v>13</v>
      </c>
      <c r="C740" s="735">
        <v>732.18</v>
      </c>
      <c r="D740" s="735">
        <v>1070</v>
      </c>
      <c r="E740" s="735"/>
      <c r="F740" s="735"/>
      <c r="G740" s="735"/>
      <c r="H740" s="735"/>
      <c r="I740" s="735"/>
      <c r="J740" s="735"/>
      <c r="K740" s="735">
        <f t="shared" si="518"/>
        <v>1802.1799999999998</v>
      </c>
      <c r="L740" s="735">
        <v>1000</v>
      </c>
      <c r="M740" s="735"/>
      <c r="N740" s="735"/>
      <c r="O740" s="735">
        <f t="shared" si="519"/>
        <v>2802.18</v>
      </c>
      <c r="P740" s="746">
        <f t="shared" si="524"/>
        <v>294140.07999999996</v>
      </c>
      <c r="Q740" s="421">
        <v>13</v>
      </c>
      <c r="R740" s="735">
        <v>667.56</v>
      </c>
      <c r="S740" s="735">
        <v>1150</v>
      </c>
      <c r="T740" s="735"/>
      <c r="U740" s="735"/>
      <c r="V740" s="735"/>
      <c r="W740" s="735"/>
      <c r="X740" s="735"/>
      <c r="Y740" s="735"/>
      <c r="Z740" s="746">
        <f t="shared" si="520"/>
        <v>1817.56</v>
      </c>
      <c r="AA740" s="735">
        <v>1000</v>
      </c>
      <c r="AB740" s="735"/>
      <c r="AC740" s="735"/>
      <c r="AD740" s="746">
        <f t="shared" si="521"/>
        <v>2817.56</v>
      </c>
      <c r="AE740" s="746">
        <f t="shared" si="522"/>
        <v>296539.36</v>
      </c>
      <c r="AF740" s="735">
        <f t="shared" si="523"/>
        <v>-15.380000000000109</v>
      </c>
      <c r="AG740" s="763">
        <f t="shared" si="523"/>
        <v>-2399.2800000000279</v>
      </c>
      <c r="AH740" s="711">
        <v>13</v>
      </c>
      <c r="AI740" s="735">
        <f t="shared" si="525"/>
        <v>315400.48</v>
      </c>
    </row>
    <row r="741" spans="1:35" x14ac:dyDescent="0.2">
      <c r="A741" s="862" t="s">
        <v>789</v>
      </c>
      <c r="B741" s="711">
        <v>2</v>
      </c>
      <c r="C741" s="735">
        <v>1427.83</v>
      </c>
      <c r="D741" s="735">
        <v>1070</v>
      </c>
      <c r="E741" s="735"/>
      <c r="F741" s="735"/>
      <c r="G741" s="735"/>
      <c r="H741" s="735"/>
      <c r="I741" s="735"/>
      <c r="J741" s="735"/>
      <c r="K741" s="735">
        <f t="shared" si="518"/>
        <v>2497.83</v>
      </c>
      <c r="L741" s="735">
        <v>1000</v>
      </c>
      <c r="M741" s="735"/>
      <c r="N741" s="735"/>
      <c r="O741" s="735">
        <f t="shared" si="519"/>
        <v>3497.83</v>
      </c>
      <c r="P741" s="746">
        <f>((C741+D741)*12+L741)*B741</f>
        <v>61947.92</v>
      </c>
      <c r="Q741" s="421">
        <v>2</v>
      </c>
      <c r="R741" s="735">
        <v>667.56</v>
      </c>
      <c r="S741" s="735">
        <v>1150</v>
      </c>
      <c r="T741" s="735"/>
      <c r="U741" s="735"/>
      <c r="V741" s="735"/>
      <c r="W741" s="735"/>
      <c r="X741" s="735"/>
      <c r="Y741" s="735"/>
      <c r="Z741" s="746">
        <f t="shared" si="520"/>
        <v>1817.56</v>
      </c>
      <c r="AA741" s="735">
        <v>1000</v>
      </c>
      <c r="AB741" s="735"/>
      <c r="AC741" s="735"/>
      <c r="AD741" s="746">
        <f t="shared" si="521"/>
        <v>2817.56</v>
      </c>
      <c r="AE741" s="746">
        <f t="shared" si="522"/>
        <v>45621.440000000002</v>
      </c>
      <c r="AF741" s="735">
        <f t="shared" si="523"/>
        <v>680.27</v>
      </c>
      <c r="AG741" s="763">
        <f t="shared" si="523"/>
        <v>16326.479999999996</v>
      </c>
      <c r="AH741" s="711">
        <v>2</v>
      </c>
      <c r="AI741" s="735">
        <f>AE741+18861.12</f>
        <v>64482.559999999998</v>
      </c>
    </row>
    <row r="742" spans="1:35" x14ac:dyDescent="0.2">
      <c r="A742" s="862" t="s">
        <v>790</v>
      </c>
      <c r="B742" s="711">
        <v>346</v>
      </c>
      <c r="C742" s="735">
        <v>723.92</v>
      </c>
      <c r="D742" s="735">
        <v>1070</v>
      </c>
      <c r="E742" s="735"/>
      <c r="F742" s="735"/>
      <c r="G742" s="735"/>
      <c r="H742" s="735"/>
      <c r="I742" s="735"/>
      <c r="J742" s="735"/>
      <c r="K742" s="735">
        <f t="shared" si="518"/>
        <v>1793.92</v>
      </c>
      <c r="L742" s="735">
        <v>1000</v>
      </c>
      <c r="M742" s="735"/>
      <c r="N742" s="735"/>
      <c r="O742" s="735">
        <f t="shared" si="519"/>
        <v>2793.92</v>
      </c>
      <c r="P742" s="746">
        <f>((C742+D742)*12+L742)*B742</f>
        <v>7794355.8399999999</v>
      </c>
      <c r="Q742" s="421">
        <v>346</v>
      </c>
      <c r="R742" s="735">
        <v>667.56</v>
      </c>
      <c r="S742" s="735">
        <v>1150</v>
      </c>
      <c r="T742" s="735"/>
      <c r="U742" s="735"/>
      <c r="V742" s="735"/>
      <c r="W742" s="735"/>
      <c r="X742" s="735"/>
      <c r="Y742" s="735"/>
      <c r="Z742" s="746">
        <f t="shared" si="520"/>
        <v>1817.56</v>
      </c>
      <c r="AA742" s="735">
        <v>1000</v>
      </c>
      <c r="AB742" s="735"/>
      <c r="AC742" s="735"/>
      <c r="AD742" s="746">
        <f t="shared" si="521"/>
        <v>2817.56</v>
      </c>
      <c r="AE742" s="746">
        <f t="shared" si="522"/>
        <v>7892509.1200000001</v>
      </c>
      <c r="AF742" s="735">
        <f t="shared" si="523"/>
        <v>-23.639999999999873</v>
      </c>
      <c r="AG742" s="763">
        <f t="shared" si="523"/>
        <v>-98153.280000000261</v>
      </c>
      <c r="AH742" s="711">
        <v>346</v>
      </c>
      <c r="AI742" s="735">
        <f>AE742+18861.12</f>
        <v>7911370.2400000002</v>
      </c>
    </row>
    <row r="743" spans="1:35" x14ac:dyDescent="0.2">
      <c r="A743" s="706" t="s">
        <v>169</v>
      </c>
      <c r="B743" s="555">
        <f>SUM(B714:B742)</f>
        <v>532</v>
      </c>
      <c r="C743" s="731">
        <f>SUM(C714:C742)</f>
        <v>21044.629999999997</v>
      </c>
      <c r="D743" s="731">
        <f>SUM(D714:D742)</f>
        <v>18410</v>
      </c>
      <c r="E743" s="731"/>
      <c r="F743" s="731"/>
      <c r="G743" s="731"/>
      <c r="H743" s="731"/>
      <c r="I743" s="731"/>
      <c r="J743" s="731"/>
      <c r="K743" s="731">
        <f>SUM(K714:K742)</f>
        <v>39454.629999999997</v>
      </c>
      <c r="L743" s="731">
        <f>SUM(L714:L742)</f>
        <v>22000</v>
      </c>
      <c r="M743" s="731"/>
      <c r="N743" s="731"/>
      <c r="O743" s="731">
        <f>SUM(O714:O742)</f>
        <v>61454.63</v>
      </c>
      <c r="P743" s="731">
        <f>SUM(P714:P742)</f>
        <v>12728130.16</v>
      </c>
      <c r="Q743" s="703">
        <f>SUM(Q714:Q742)</f>
        <v>532</v>
      </c>
      <c r="R743" s="731">
        <f>SUM(R714:R742)</f>
        <v>15505.51</v>
      </c>
      <c r="S743" s="731">
        <f>SUM(S714:S742)</f>
        <v>22686.720000000001</v>
      </c>
      <c r="T743" s="731"/>
      <c r="U743" s="731"/>
      <c r="V743" s="731"/>
      <c r="W743" s="731"/>
      <c r="X743" s="731"/>
      <c r="Y743" s="731"/>
      <c r="Z743" s="731">
        <f>SUM(Z714:Z742)</f>
        <v>38192.229999999996</v>
      </c>
      <c r="AA743" s="731">
        <f>SUM(AA714:AA742)</f>
        <v>19000</v>
      </c>
      <c r="AB743" s="731"/>
      <c r="AC743" s="731"/>
      <c r="AD743" s="731">
        <f t="shared" ref="AD743:AI743" si="526">SUM(AD714:AD742)</f>
        <v>57192.229999999989</v>
      </c>
      <c r="AE743" s="731">
        <f t="shared" si="526"/>
        <v>12333591.880000001</v>
      </c>
      <c r="AF743" s="731">
        <f t="shared" si="526"/>
        <v>4262.4000000000015</v>
      </c>
      <c r="AG743" s="733">
        <f t="shared" si="526"/>
        <v>394538.27999999985</v>
      </c>
      <c r="AH743" s="555">
        <f t="shared" si="526"/>
        <v>532</v>
      </c>
      <c r="AI743" s="731">
        <f t="shared" si="526"/>
        <v>12740933.32</v>
      </c>
    </row>
    <row r="744" spans="1:35" x14ac:dyDescent="0.2">
      <c r="B744" s="17"/>
      <c r="C744" s="17"/>
      <c r="D744" s="17"/>
      <c r="E744" s="17"/>
      <c r="F744" s="17"/>
      <c r="G744" s="17"/>
      <c r="H744" s="17"/>
      <c r="I744" s="17"/>
      <c r="J744" s="17"/>
      <c r="K744" s="17"/>
      <c r="L744" s="17"/>
      <c r="M744" s="17"/>
      <c r="N744" s="17"/>
      <c r="O744" s="17"/>
      <c r="P744" s="17"/>
      <c r="R744" s="17"/>
      <c r="S744" s="17"/>
      <c r="T744" s="17"/>
      <c r="U744" s="17"/>
      <c r="V744" s="17"/>
      <c r="W744" s="17"/>
      <c r="X744" s="17"/>
      <c r="Y744" s="17"/>
      <c r="Z744" s="17"/>
      <c r="AA744" s="17"/>
      <c r="AB744" s="17"/>
      <c r="AC744" s="17"/>
      <c r="AD744" s="17"/>
      <c r="AE744" s="17"/>
      <c r="AF744" s="17"/>
      <c r="AG744" s="17"/>
      <c r="AH744" s="17"/>
      <c r="AI744" s="17"/>
    </row>
    <row r="745" spans="1:35" x14ac:dyDescent="0.2">
      <c r="B745" s="17"/>
      <c r="C745" s="17"/>
      <c r="D745" s="17"/>
      <c r="E745" s="17"/>
      <c r="F745" s="17"/>
      <c r="G745" s="17"/>
      <c r="H745" s="17"/>
      <c r="I745" s="17"/>
      <c r="J745" s="17"/>
      <c r="K745" s="17"/>
      <c r="L745" s="17"/>
      <c r="M745" s="17"/>
      <c r="N745" s="17"/>
      <c r="O745" s="17"/>
      <c r="P745" s="17"/>
      <c r="R745" s="17"/>
      <c r="S745" s="17"/>
      <c r="T745" s="17"/>
      <c r="U745" s="17"/>
      <c r="V745" s="17"/>
      <c r="W745" s="17"/>
      <c r="X745" s="17"/>
      <c r="Y745" s="17"/>
      <c r="Z745" s="17"/>
      <c r="AA745" s="17"/>
      <c r="AB745" s="17"/>
      <c r="AC745" s="17"/>
      <c r="AD745" s="17"/>
      <c r="AE745" s="17"/>
      <c r="AF745" s="17"/>
      <c r="AG745" s="17"/>
      <c r="AH745" s="17"/>
      <c r="AI745" s="17"/>
    </row>
    <row r="746" spans="1:35" x14ac:dyDescent="0.2">
      <c r="A746" s="706" t="s">
        <v>525</v>
      </c>
      <c r="B746" s="743"/>
      <c r="C746" s="742"/>
      <c r="D746" s="742"/>
      <c r="E746" s="742"/>
      <c r="F746" s="742"/>
      <c r="G746" s="742"/>
      <c r="H746" s="742"/>
      <c r="I746" s="742"/>
      <c r="J746" s="742"/>
      <c r="K746" s="742"/>
      <c r="L746" s="742"/>
      <c r="M746" s="742"/>
      <c r="N746" s="742"/>
      <c r="O746" s="742"/>
      <c r="P746" s="742"/>
      <c r="Q746" s="712"/>
      <c r="R746" s="742"/>
      <c r="S746" s="742"/>
      <c r="T746" s="742"/>
      <c r="U746" s="742"/>
      <c r="V746" s="742"/>
      <c r="W746" s="742"/>
      <c r="X746" s="742"/>
      <c r="Y746" s="742"/>
      <c r="Z746" s="742"/>
      <c r="AA746" s="742"/>
      <c r="AB746" s="742"/>
      <c r="AC746" s="742"/>
      <c r="AD746" s="742"/>
      <c r="AE746" s="742"/>
      <c r="AF746" s="742"/>
      <c r="AG746" s="743"/>
      <c r="AH746" s="743"/>
      <c r="AI746" s="742"/>
    </row>
    <row r="747" spans="1:35" x14ac:dyDescent="0.2">
      <c r="A747" s="1485" t="s">
        <v>644</v>
      </c>
      <c r="B747" s="1487" t="s">
        <v>645</v>
      </c>
      <c r="C747" s="1487"/>
      <c r="D747" s="1487"/>
      <c r="E747" s="1487"/>
      <c r="F747" s="1487"/>
      <c r="G747" s="1487"/>
      <c r="H747" s="1487"/>
      <c r="I747" s="1487"/>
      <c r="J747" s="1487"/>
      <c r="K747" s="1487"/>
      <c r="L747" s="1487"/>
      <c r="M747" s="1487"/>
      <c r="N747" s="1487"/>
      <c r="O747" s="1487"/>
      <c r="P747" s="1487"/>
      <c r="Q747" s="1487" t="s">
        <v>646</v>
      </c>
      <c r="R747" s="1487"/>
      <c r="S747" s="1487"/>
      <c r="T747" s="1487"/>
      <c r="U747" s="1487"/>
      <c r="V747" s="1487"/>
      <c r="W747" s="1487"/>
      <c r="X747" s="1487"/>
      <c r="Y747" s="1487"/>
      <c r="Z747" s="1487"/>
      <c r="AA747" s="1487"/>
      <c r="AB747" s="1487"/>
      <c r="AC747" s="1487"/>
      <c r="AD747" s="1487"/>
      <c r="AE747" s="1487"/>
      <c r="AF747" s="1487" t="s">
        <v>647</v>
      </c>
      <c r="AG747" s="1487"/>
      <c r="AH747" s="1487" t="s">
        <v>648</v>
      </c>
      <c r="AI747" s="1487"/>
    </row>
    <row r="748" spans="1:35" ht="120" customHeight="1" x14ac:dyDescent="0.2">
      <c r="A748" s="1485"/>
      <c r="B748" s="433" t="s">
        <v>649</v>
      </c>
      <c r="C748" s="692" t="s">
        <v>650</v>
      </c>
      <c r="D748" s="692" t="s">
        <v>684</v>
      </c>
      <c r="E748" s="692" t="s">
        <v>652</v>
      </c>
      <c r="F748" s="692" t="s">
        <v>653</v>
      </c>
      <c r="G748" s="692" t="s">
        <v>654</v>
      </c>
      <c r="H748" s="692" t="s">
        <v>655</v>
      </c>
      <c r="I748" s="692" t="s">
        <v>656</v>
      </c>
      <c r="J748" s="692" t="s">
        <v>657</v>
      </c>
      <c r="K748" s="692" t="s">
        <v>658</v>
      </c>
      <c r="L748" s="692" t="s">
        <v>659</v>
      </c>
      <c r="M748" s="692" t="s">
        <v>660</v>
      </c>
      <c r="N748" s="692" t="s">
        <v>661</v>
      </c>
      <c r="O748" s="699" t="s">
        <v>662</v>
      </c>
      <c r="P748" s="699" t="s">
        <v>685</v>
      </c>
      <c r="Q748" s="691" t="s">
        <v>649</v>
      </c>
      <c r="R748" s="692" t="s">
        <v>650</v>
      </c>
      <c r="S748" s="692" t="s">
        <v>651</v>
      </c>
      <c r="T748" s="692" t="s">
        <v>652</v>
      </c>
      <c r="U748" s="692" t="s">
        <v>653</v>
      </c>
      <c r="V748" s="692" t="s">
        <v>654</v>
      </c>
      <c r="W748" s="692" t="s">
        <v>655</v>
      </c>
      <c r="X748" s="692" t="s">
        <v>656</v>
      </c>
      <c r="Y748" s="692" t="s">
        <v>657</v>
      </c>
      <c r="Z748" s="692" t="s">
        <v>658</v>
      </c>
      <c r="AA748" s="692" t="s">
        <v>659</v>
      </c>
      <c r="AB748" s="692" t="s">
        <v>660</v>
      </c>
      <c r="AC748" s="692" t="s">
        <v>661</v>
      </c>
      <c r="AD748" s="692" t="s">
        <v>662</v>
      </c>
      <c r="AE748" s="692" t="s">
        <v>686</v>
      </c>
      <c r="AF748" s="692" t="s">
        <v>664</v>
      </c>
      <c r="AG748" s="691" t="s">
        <v>665</v>
      </c>
      <c r="AH748" s="691" t="s">
        <v>649</v>
      </c>
      <c r="AI748" s="692" t="s">
        <v>687</v>
      </c>
    </row>
    <row r="749" spans="1:35" x14ac:dyDescent="0.2">
      <c r="A749" s="1486"/>
      <c r="B749" s="555" t="s">
        <v>667</v>
      </c>
      <c r="C749" s="733" t="s">
        <v>668</v>
      </c>
      <c r="D749" s="733" t="s">
        <v>669</v>
      </c>
      <c r="E749" s="733" t="s">
        <v>670</v>
      </c>
      <c r="F749" s="734" t="s">
        <v>671</v>
      </c>
      <c r="G749" s="734" t="s">
        <v>672</v>
      </c>
      <c r="H749" s="734" t="s">
        <v>673</v>
      </c>
      <c r="I749" s="734" t="s">
        <v>674</v>
      </c>
      <c r="J749" s="734" t="s">
        <v>675</v>
      </c>
      <c r="K749" s="734" t="s">
        <v>676</v>
      </c>
      <c r="L749" s="734" t="s">
        <v>677</v>
      </c>
      <c r="M749" s="734" t="s">
        <v>678</v>
      </c>
      <c r="N749" s="734" t="s">
        <v>679</v>
      </c>
      <c r="O749" s="734" t="s">
        <v>680</v>
      </c>
      <c r="P749" s="734" t="s">
        <v>681</v>
      </c>
      <c r="Q749" s="555" t="s">
        <v>667</v>
      </c>
      <c r="R749" s="733" t="s">
        <v>668</v>
      </c>
      <c r="S749" s="733" t="s">
        <v>669</v>
      </c>
      <c r="T749" s="733" t="s">
        <v>670</v>
      </c>
      <c r="U749" s="734" t="s">
        <v>671</v>
      </c>
      <c r="V749" s="734" t="s">
        <v>672</v>
      </c>
      <c r="W749" s="734" t="s">
        <v>673</v>
      </c>
      <c r="X749" s="734" t="s">
        <v>674</v>
      </c>
      <c r="Y749" s="734" t="s">
        <v>675</v>
      </c>
      <c r="Z749" s="734" t="s">
        <v>676</v>
      </c>
      <c r="AA749" s="734" t="s">
        <v>677</v>
      </c>
      <c r="AB749" s="734" t="s">
        <v>678</v>
      </c>
      <c r="AC749" s="734" t="s">
        <v>679</v>
      </c>
      <c r="AD749" s="734" t="s">
        <v>680</v>
      </c>
      <c r="AE749" s="734" t="s">
        <v>681</v>
      </c>
      <c r="AF749" s="733"/>
      <c r="AG749" s="555"/>
      <c r="AH749" s="433"/>
      <c r="AI749" s="733"/>
    </row>
    <row r="750" spans="1:35" x14ac:dyDescent="0.2">
      <c r="A750" s="704"/>
      <c r="B750" s="711"/>
      <c r="C750" s="735"/>
      <c r="D750" s="735"/>
      <c r="E750" s="735"/>
      <c r="F750" s="735"/>
      <c r="G750" s="735"/>
      <c r="H750" s="735"/>
      <c r="I750" s="735"/>
      <c r="J750" s="735"/>
      <c r="K750" s="735"/>
      <c r="L750" s="735"/>
      <c r="M750" s="735"/>
      <c r="N750" s="735"/>
      <c r="O750" s="735"/>
      <c r="P750" s="735"/>
      <c r="Q750" s="711"/>
      <c r="R750" s="735"/>
      <c r="S750" s="735"/>
      <c r="T750" s="735"/>
      <c r="U750" s="735"/>
      <c r="V750" s="735"/>
      <c r="W750" s="735"/>
      <c r="X750" s="735"/>
      <c r="Y750" s="735"/>
      <c r="Z750" s="735"/>
      <c r="AA750" s="735"/>
      <c r="AB750" s="735"/>
      <c r="AC750" s="735"/>
      <c r="AD750" s="735"/>
      <c r="AE750" s="735"/>
      <c r="AF750" s="735"/>
      <c r="AG750" s="711"/>
      <c r="AH750" s="415"/>
      <c r="AI750" s="735"/>
    </row>
    <row r="751" spans="1:35" x14ac:dyDescent="0.2">
      <c r="A751" s="874" t="s">
        <v>688</v>
      </c>
      <c r="B751" s="819">
        <f t="shared" ref="B751:K751" si="527">B766+B759+B754+B752</f>
        <v>36</v>
      </c>
      <c r="C751" s="820">
        <f t="shared" si="527"/>
        <v>60067.820000000007</v>
      </c>
      <c r="D751" s="820">
        <f t="shared" si="527"/>
        <v>39040</v>
      </c>
      <c r="E751" s="820">
        <f t="shared" si="527"/>
        <v>0</v>
      </c>
      <c r="F751" s="820">
        <f t="shared" si="527"/>
        <v>0</v>
      </c>
      <c r="G751" s="820">
        <f t="shared" si="527"/>
        <v>0</v>
      </c>
      <c r="H751" s="820">
        <f t="shared" si="527"/>
        <v>0</v>
      </c>
      <c r="I751" s="820">
        <f t="shared" si="527"/>
        <v>0</v>
      </c>
      <c r="J751" s="820">
        <f t="shared" si="527"/>
        <v>0</v>
      </c>
      <c r="K751" s="820">
        <f t="shared" si="527"/>
        <v>99107.82</v>
      </c>
      <c r="L751" s="820">
        <f>L752+L754+L759+L766</f>
        <v>36000</v>
      </c>
      <c r="M751" s="820"/>
      <c r="N751" s="820">
        <f>N752+N754+N759+N766</f>
        <v>36000</v>
      </c>
      <c r="O751" s="820">
        <f>O752+O754+O759+O766</f>
        <v>1225293.8400000001</v>
      </c>
      <c r="P751" s="820">
        <f>P752+P754+P759+P766</f>
        <v>1225293.8400000001</v>
      </c>
      <c r="Q751" s="819">
        <f>Q766+Q759+Q754+Q752</f>
        <v>37</v>
      </c>
      <c r="R751" s="821">
        <f t="shared" ref="R751:AI751" si="528">R752+R754+R759+R766</f>
        <v>62964.28</v>
      </c>
      <c r="S751" s="821">
        <f t="shared" si="528"/>
        <v>40250</v>
      </c>
      <c r="T751" s="821">
        <f t="shared" si="528"/>
        <v>0</v>
      </c>
      <c r="U751" s="821">
        <f t="shared" si="528"/>
        <v>0</v>
      </c>
      <c r="V751" s="821">
        <f t="shared" si="528"/>
        <v>0</v>
      </c>
      <c r="W751" s="821">
        <f t="shared" si="528"/>
        <v>0</v>
      </c>
      <c r="X751" s="821">
        <f t="shared" si="528"/>
        <v>0</v>
      </c>
      <c r="Y751" s="821">
        <f t="shared" si="528"/>
        <v>0</v>
      </c>
      <c r="Z751" s="821">
        <f t="shared" si="528"/>
        <v>103214.28</v>
      </c>
      <c r="AA751" s="821">
        <f t="shared" si="528"/>
        <v>37000</v>
      </c>
      <c r="AB751" s="821">
        <f t="shared" si="528"/>
        <v>0</v>
      </c>
      <c r="AC751" s="821">
        <f t="shared" si="528"/>
        <v>37000</v>
      </c>
      <c r="AD751" s="821">
        <f t="shared" si="528"/>
        <v>1275571.3600000001</v>
      </c>
      <c r="AE751" s="821">
        <f t="shared" si="528"/>
        <v>1275571.3600000001</v>
      </c>
      <c r="AF751" s="821">
        <f t="shared" si="528"/>
        <v>50277.520000000004</v>
      </c>
      <c r="AG751" s="819">
        <f t="shared" si="528"/>
        <v>50277.520000000004</v>
      </c>
      <c r="AH751" s="822">
        <f t="shared" si="528"/>
        <v>37</v>
      </c>
      <c r="AI751" s="821">
        <f t="shared" si="528"/>
        <v>15306893.319999998</v>
      </c>
    </row>
    <row r="752" spans="1:35" x14ac:dyDescent="0.2">
      <c r="A752" s="875" t="s">
        <v>531</v>
      </c>
      <c r="B752" s="722">
        <f>SUM(B753:B753)</f>
        <v>2</v>
      </c>
      <c r="C752" s="784">
        <f>SUM(C753:C753)</f>
        <v>5754.52</v>
      </c>
      <c r="D752" s="784">
        <f t="shared" ref="D752:N752" si="529">SUM(D753:D753)</f>
        <v>2420</v>
      </c>
      <c r="E752" s="784">
        <f t="shared" si="529"/>
        <v>0</v>
      </c>
      <c r="F752" s="784">
        <f t="shared" si="529"/>
        <v>0</v>
      </c>
      <c r="G752" s="784">
        <f t="shared" si="529"/>
        <v>0</v>
      </c>
      <c r="H752" s="784">
        <f t="shared" si="529"/>
        <v>0</v>
      </c>
      <c r="I752" s="784">
        <f t="shared" si="529"/>
        <v>0</v>
      </c>
      <c r="J752" s="784"/>
      <c r="K752" s="784">
        <f t="shared" si="529"/>
        <v>8174.52</v>
      </c>
      <c r="L752" s="784">
        <f t="shared" si="529"/>
        <v>2000</v>
      </c>
      <c r="M752" s="784">
        <f t="shared" si="529"/>
        <v>0</v>
      </c>
      <c r="N752" s="784">
        <f t="shared" si="529"/>
        <v>2000</v>
      </c>
      <c r="O752" s="784">
        <f>SUM(O753:O753)</f>
        <v>100094.24</v>
      </c>
      <c r="P752" s="784">
        <f>SUM(P753:P753)</f>
        <v>100094.24</v>
      </c>
      <c r="Q752" s="722">
        <f>SUM(Q753:Q753)</f>
        <v>3</v>
      </c>
      <c r="R752" s="784">
        <f>SUM(R753:R753)</f>
        <v>8631.7800000000007</v>
      </c>
      <c r="S752" s="784">
        <f>SUM(S753:S753)</f>
        <v>3630</v>
      </c>
      <c r="T752" s="784">
        <f t="shared" ref="T752:AG752" si="530">SUM(T753:T753)</f>
        <v>0</v>
      </c>
      <c r="U752" s="784">
        <f t="shared" si="530"/>
        <v>0</v>
      </c>
      <c r="V752" s="784">
        <f t="shared" si="530"/>
        <v>0</v>
      </c>
      <c r="W752" s="784">
        <f t="shared" si="530"/>
        <v>0</v>
      </c>
      <c r="X752" s="784">
        <f t="shared" si="530"/>
        <v>0</v>
      </c>
      <c r="Y752" s="784">
        <f t="shared" si="530"/>
        <v>0</v>
      </c>
      <c r="Z752" s="784">
        <f t="shared" si="530"/>
        <v>12261.78</v>
      </c>
      <c r="AA752" s="784">
        <f t="shared" si="530"/>
        <v>3000</v>
      </c>
      <c r="AB752" s="784">
        <f t="shared" si="530"/>
        <v>0</v>
      </c>
      <c r="AC752" s="784">
        <f t="shared" si="530"/>
        <v>3000</v>
      </c>
      <c r="AD752" s="784">
        <f t="shared" si="530"/>
        <v>150141.36000000002</v>
      </c>
      <c r="AE752" s="784">
        <f t="shared" si="530"/>
        <v>150141.36000000002</v>
      </c>
      <c r="AF752" s="784">
        <f t="shared" si="530"/>
        <v>50047.12000000001</v>
      </c>
      <c r="AG752" s="786">
        <f t="shared" si="530"/>
        <v>50047.12000000001</v>
      </c>
      <c r="AH752" s="415">
        <f>SUM(AH753:AH753)</f>
        <v>3</v>
      </c>
      <c r="AI752" s="784">
        <f t="shared" ref="AI752" si="531">SUM(AI753:AI753)</f>
        <v>1801699.3200000003</v>
      </c>
    </row>
    <row r="753" spans="1:35" x14ac:dyDescent="0.2">
      <c r="A753" s="862" t="s">
        <v>382</v>
      </c>
      <c r="B753" s="711">
        <v>2</v>
      </c>
      <c r="C753" s="735">
        <f>2877.26*B753</f>
        <v>5754.52</v>
      </c>
      <c r="D753" s="735">
        <f>1210*B753</f>
        <v>2420</v>
      </c>
      <c r="E753" s="735"/>
      <c r="F753" s="735"/>
      <c r="G753" s="735"/>
      <c r="H753" s="735"/>
      <c r="I753" s="735"/>
      <c r="J753" s="735"/>
      <c r="K753" s="735">
        <f>SUM(C753:J753)</f>
        <v>8174.52</v>
      </c>
      <c r="L753" s="735">
        <v>2000</v>
      </c>
      <c r="M753" s="735"/>
      <c r="N753" s="735">
        <f>SUM(L753:M753)</f>
        <v>2000</v>
      </c>
      <c r="O753" s="735">
        <f>(K753*12)+N753</f>
        <v>100094.24</v>
      </c>
      <c r="P753" s="735">
        <f>O753</f>
        <v>100094.24</v>
      </c>
      <c r="Q753" s="711">
        <v>3</v>
      </c>
      <c r="R753" s="735">
        <f>2877.26*3</f>
        <v>8631.7800000000007</v>
      </c>
      <c r="S753" s="735">
        <f>1210*3</f>
        <v>3630</v>
      </c>
      <c r="T753" s="735"/>
      <c r="U753" s="735"/>
      <c r="V753" s="735"/>
      <c r="W753" s="735"/>
      <c r="X753" s="735"/>
      <c r="Y753" s="735"/>
      <c r="Z753" s="735">
        <f>SUM(R753:Y753)</f>
        <v>12261.78</v>
      </c>
      <c r="AA753" s="735">
        <v>3000</v>
      </c>
      <c r="AB753" s="735"/>
      <c r="AC753" s="735">
        <f>SUM(AA753:AB753)</f>
        <v>3000</v>
      </c>
      <c r="AD753" s="735">
        <f>(Z753*12)+AC753</f>
        <v>150141.36000000002</v>
      </c>
      <c r="AE753" s="735">
        <f>AD753</f>
        <v>150141.36000000002</v>
      </c>
      <c r="AF753" s="735">
        <f>AD753-O753</f>
        <v>50047.12000000001</v>
      </c>
      <c r="AG753" s="736">
        <f>AE753-P753</f>
        <v>50047.12000000001</v>
      </c>
      <c r="AH753" s="415">
        <v>3</v>
      </c>
      <c r="AI753" s="735">
        <f>(AE753*12)+AH753</f>
        <v>1801699.3200000003</v>
      </c>
    </row>
    <row r="754" spans="1:35" x14ac:dyDescent="0.2">
      <c r="A754" s="873" t="s">
        <v>385</v>
      </c>
      <c r="B754" s="722">
        <f>SUM(B755:B758)</f>
        <v>6</v>
      </c>
      <c r="C754" s="784">
        <f>SUM(C755:C758)</f>
        <v>10988.14</v>
      </c>
      <c r="D754" s="784">
        <f>SUM(D755:D758)</f>
        <v>6660</v>
      </c>
      <c r="E754" s="784"/>
      <c r="F754" s="784"/>
      <c r="G754" s="784"/>
      <c r="H754" s="784"/>
      <c r="I754" s="784"/>
      <c r="J754" s="784"/>
      <c r="K754" s="784">
        <f>SUM(K755:K758)</f>
        <v>17648.14</v>
      </c>
      <c r="L754" s="784">
        <f>SUM(L755:L758)</f>
        <v>6000</v>
      </c>
      <c r="M754" s="784"/>
      <c r="N754" s="784">
        <f>SUM(N755:N758)</f>
        <v>6000</v>
      </c>
      <c r="O754" s="784">
        <f>SUM(O755:O758)</f>
        <v>217777.68</v>
      </c>
      <c r="P754" s="784">
        <f>SUM(P755:P758)</f>
        <v>217777.68</v>
      </c>
      <c r="Q754" s="722">
        <f>SUM(Q755:Q758)</f>
        <v>6</v>
      </c>
      <c r="R754" s="784">
        <f t="shared" ref="R754:AB754" si="532">SUM(R755:R758)</f>
        <v>10988.14</v>
      </c>
      <c r="S754" s="784">
        <f t="shared" si="532"/>
        <v>6660</v>
      </c>
      <c r="T754" s="784">
        <f t="shared" si="532"/>
        <v>0</v>
      </c>
      <c r="U754" s="784">
        <f t="shared" si="532"/>
        <v>0</v>
      </c>
      <c r="V754" s="784">
        <f t="shared" si="532"/>
        <v>0</v>
      </c>
      <c r="W754" s="784">
        <f t="shared" si="532"/>
        <v>0</v>
      </c>
      <c r="X754" s="784">
        <f t="shared" si="532"/>
        <v>0</v>
      </c>
      <c r="Y754" s="784">
        <f t="shared" si="532"/>
        <v>0</v>
      </c>
      <c r="Z754" s="784">
        <f t="shared" si="532"/>
        <v>17648.14</v>
      </c>
      <c r="AA754" s="784">
        <f t="shared" si="532"/>
        <v>6000</v>
      </c>
      <c r="AB754" s="784">
        <f t="shared" si="532"/>
        <v>0</v>
      </c>
      <c r="AC754" s="784">
        <f>SUM(AC755:AC758)</f>
        <v>6000</v>
      </c>
      <c r="AD754" s="784">
        <f t="shared" ref="AD754:AG754" si="533">SUM(AD755:AD758)</f>
        <v>217777.68</v>
      </c>
      <c r="AE754" s="784">
        <f t="shared" si="533"/>
        <v>217777.68</v>
      </c>
      <c r="AF754" s="784">
        <f t="shared" si="533"/>
        <v>0</v>
      </c>
      <c r="AG754" s="722">
        <f t="shared" si="533"/>
        <v>0</v>
      </c>
      <c r="AH754" s="823">
        <f>SUM(AH755:AH758)</f>
        <v>6</v>
      </c>
      <c r="AI754" s="784">
        <f t="shared" ref="AI754" si="534">SUM(AI755:AI758)</f>
        <v>2613338.1599999997</v>
      </c>
    </row>
    <row r="755" spans="1:35" x14ac:dyDescent="0.2">
      <c r="A755" s="862" t="s">
        <v>408</v>
      </c>
      <c r="B755" s="711">
        <v>1</v>
      </c>
      <c r="C755" s="735">
        <v>1791.4299999999998</v>
      </c>
      <c r="D755" s="735">
        <v>1110</v>
      </c>
      <c r="E755" s="735"/>
      <c r="F755" s="735"/>
      <c r="G755" s="735"/>
      <c r="H755" s="735"/>
      <c r="I755" s="735"/>
      <c r="J755" s="735"/>
      <c r="K755" s="735">
        <f>SUM(C755:J755)</f>
        <v>2901.43</v>
      </c>
      <c r="L755" s="735">
        <v>1000</v>
      </c>
      <c r="M755" s="735"/>
      <c r="N755" s="735">
        <f>SUM(L755:M755)</f>
        <v>1000</v>
      </c>
      <c r="O755" s="735">
        <f>(K755*12)+N755</f>
        <v>35817.159999999996</v>
      </c>
      <c r="P755" s="735">
        <f>B755*O755</f>
        <v>35817.159999999996</v>
      </c>
      <c r="Q755" s="711">
        <v>1</v>
      </c>
      <c r="R755" s="735">
        <v>1791.4299999999998</v>
      </c>
      <c r="S755" s="735">
        <v>1110</v>
      </c>
      <c r="T755" s="735"/>
      <c r="U755" s="735"/>
      <c r="V755" s="735"/>
      <c r="W755" s="735"/>
      <c r="X755" s="735"/>
      <c r="Y755" s="735"/>
      <c r="Z755" s="735">
        <f>SUM(R755:Y755)</f>
        <v>2901.43</v>
      </c>
      <c r="AA755" s="735">
        <v>1000</v>
      </c>
      <c r="AB755" s="735"/>
      <c r="AC755" s="735">
        <f>SUM(AA755:AB755)</f>
        <v>1000</v>
      </c>
      <c r="AD755" s="735">
        <f>(Z755*12)+AC755</f>
        <v>35817.159999999996</v>
      </c>
      <c r="AE755" s="735">
        <f>AD755</f>
        <v>35817.159999999996</v>
      </c>
      <c r="AF755" s="735">
        <f>AD755-O755</f>
        <v>0</v>
      </c>
      <c r="AG755" s="824">
        <f>AE755-P755</f>
        <v>0</v>
      </c>
      <c r="AH755" s="415">
        <v>1</v>
      </c>
      <c r="AI755" s="735">
        <f>(AE755*12)+AH755</f>
        <v>429806.91999999993</v>
      </c>
    </row>
    <row r="756" spans="1:35" x14ac:dyDescent="0.2">
      <c r="A756" s="862" t="s">
        <v>408</v>
      </c>
      <c r="B756" s="711">
        <v>3</v>
      </c>
      <c r="C756" s="735">
        <f>1787.79*B756</f>
        <v>5363.37</v>
      </c>
      <c r="D756" s="735">
        <f>1110*B756</f>
        <v>3330</v>
      </c>
      <c r="E756" s="735"/>
      <c r="F756" s="735"/>
      <c r="G756" s="735"/>
      <c r="H756" s="735"/>
      <c r="I756" s="735"/>
      <c r="J756" s="735"/>
      <c r="K756" s="735">
        <f t="shared" ref="K756:K758" si="535">SUM(C756:J756)</f>
        <v>8693.369999999999</v>
      </c>
      <c r="L756" s="735">
        <v>3000</v>
      </c>
      <c r="M756" s="735"/>
      <c r="N756" s="735">
        <f t="shared" ref="N756:N758" si="536">SUM(L756:M756)</f>
        <v>3000</v>
      </c>
      <c r="O756" s="735">
        <f>(K756*12)+N756</f>
        <v>107320.43999999999</v>
      </c>
      <c r="P756" s="735">
        <f>O756</f>
        <v>107320.43999999999</v>
      </c>
      <c r="Q756" s="711">
        <v>3</v>
      </c>
      <c r="R756" s="735">
        <f>1787.79*3</f>
        <v>5363.37</v>
      </c>
      <c r="S756" s="735">
        <f>1110*3</f>
        <v>3330</v>
      </c>
      <c r="T756" s="735"/>
      <c r="U756" s="735"/>
      <c r="V756" s="735"/>
      <c r="W756" s="735"/>
      <c r="X756" s="735"/>
      <c r="Y756" s="735"/>
      <c r="Z756" s="735">
        <f t="shared" ref="Z756:Z758" si="537">SUM(R756:Y756)</f>
        <v>8693.369999999999</v>
      </c>
      <c r="AA756" s="735">
        <f>1000*3</f>
        <v>3000</v>
      </c>
      <c r="AB756" s="735"/>
      <c r="AC756" s="735">
        <f t="shared" ref="AC756:AC758" si="538">SUM(AA756:AB756)</f>
        <v>3000</v>
      </c>
      <c r="AD756" s="735">
        <f t="shared" ref="AD756:AD758" si="539">(Z756*12)+AC756</f>
        <v>107320.43999999999</v>
      </c>
      <c r="AE756" s="735">
        <f t="shared" ref="AE756:AE758" si="540">AD756</f>
        <v>107320.43999999999</v>
      </c>
      <c r="AF756" s="735">
        <f t="shared" ref="AF756:AF758" si="541">AD756-O756</f>
        <v>0</v>
      </c>
      <c r="AG756" s="824">
        <f>AE756-P756</f>
        <v>0</v>
      </c>
      <c r="AH756" s="415">
        <v>3</v>
      </c>
      <c r="AI756" s="735">
        <f t="shared" ref="AI756:AI758" si="542">(AE756*12)+AH756</f>
        <v>1287848.2799999998</v>
      </c>
    </row>
    <row r="757" spans="1:35" x14ac:dyDescent="0.2">
      <c r="A757" s="862" t="s">
        <v>408</v>
      </c>
      <c r="B757" s="711">
        <v>1</v>
      </c>
      <c r="C757" s="735">
        <v>2081.4299999999998</v>
      </c>
      <c r="D757" s="735">
        <v>1110</v>
      </c>
      <c r="E757" s="735"/>
      <c r="F757" s="735"/>
      <c r="G757" s="735"/>
      <c r="H757" s="735"/>
      <c r="I757" s="735"/>
      <c r="J757" s="735"/>
      <c r="K757" s="735">
        <f t="shared" si="535"/>
        <v>3191.43</v>
      </c>
      <c r="L757" s="735">
        <v>1000</v>
      </c>
      <c r="M757" s="735"/>
      <c r="N757" s="735">
        <f t="shared" si="536"/>
        <v>1000</v>
      </c>
      <c r="O757" s="735">
        <f t="shared" ref="O757:O758" si="543">(K757*12)+N757</f>
        <v>39297.159999999996</v>
      </c>
      <c r="P757" s="735">
        <f t="shared" ref="P757:P758" si="544">B757*O757</f>
        <v>39297.159999999996</v>
      </c>
      <c r="Q757" s="711">
        <v>1</v>
      </c>
      <c r="R757" s="735">
        <v>2081.4299999999998</v>
      </c>
      <c r="S757" s="735">
        <v>1110</v>
      </c>
      <c r="T757" s="735"/>
      <c r="U757" s="735"/>
      <c r="V757" s="735"/>
      <c r="W757" s="735"/>
      <c r="X757" s="735"/>
      <c r="Y757" s="735"/>
      <c r="Z757" s="735">
        <f t="shared" si="537"/>
        <v>3191.43</v>
      </c>
      <c r="AA757" s="735">
        <v>1000</v>
      </c>
      <c r="AB757" s="735"/>
      <c r="AC757" s="735">
        <f t="shared" si="538"/>
        <v>1000</v>
      </c>
      <c r="AD757" s="735">
        <f>(Z757*12)+AC757</f>
        <v>39297.159999999996</v>
      </c>
      <c r="AE757" s="735">
        <f t="shared" si="540"/>
        <v>39297.159999999996</v>
      </c>
      <c r="AF757" s="735">
        <f t="shared" si="541"/>
        <v>0</v>
      </c>
      <c r="AG757" s="824">
        <f>AE757-P757</f>
        <v>0</v>
      </c>
      <c r="AH757" s="415">
        <v>1</v>
      </c>
      <c r="AI757" s="735">
        <f>(AE757*12)+AH757</f>
        <v>471566.91999999993</v>
      </c>
    </row>
    <row r="758" spans="1:35" x14ac:dyDescent="0.2">
      <c r="A758" s="862" t="s">
        <v>408</v>
      </c>
      <c r="B758" s="711">
        <v>1</v>
      </c>
      <c r="C758" s="735">
        <v>1751.9099999999999</v>
      </c>
      <c r="D758" s="735">
        <v>1110</v>
      </c>
      <c r="E758" s="735"/>
      <c r="F758" s="735"/>
      <c r="G758" s="735"/>
      <c r="H758" s="735"/>
      <c r="I758" s="735"/>
      <c r="J758" s="735"/>
      <c r="K758" s="735">
        <f t="shared" si="535"/>
        <v>2861.91</v>
      </c>
      <c r="L758" s="735">
        <v>1000</v>
      </c>
      <c r="M758" s="735"/>
      <c r="N758" s="735">
        <f t="shared" si="536"/>
        <v>1000</v>
      </c>
      <c r="O758" s="735">
        <f t="shared" si="543"/>
        <v>35342.92</v>
      </c>
      <c r="P758" s="735">
        <f t="shared" si="544"/>
        <v>35342.92</v>
      </c>
      <c r="Q758" s="711">
        <v>1</v>
      </c>
      <c r="R758" s="735">
        <v>1751.9099999999999</v>
      </c>
      <c r="S758" s="735">
        <v>1110</v>
      </c>
      <c r="T758" s="735"/>
      <c r="U758" s="735"/>
      <c r="V758" s="735"/>
      <c r="W758" s="735"/>
      <c r="X758" s="735"/>
      <c r="Y758" s="735"/>
      <c r="Z758" s="735">
        <f t="shared" si="537"/>
        <v>2861.91</v>
      </c>
      <c r="AA758" s="735">
        <v>1000</v>
      </c>
      <c r="AB758" s="735"/>
      <c r="AC758" s="735">
        <f t="shared" si="538"/>
        <v>1000</v>
      </c>
      <c r="AD758" s="735">
        <f t="shared" si="539"/>
        <v>35342.92</v>
      </c>
      <c r="AE758" s="735">
        <f t="shared" si="540"/>
        <v>35342.92</v>
      </c>
      <c r="AF758" s="735">
        <f t="shared" si="541"/>
        <v>0</v>
      </c>
      <c r="AG758" s="824">
        <f>AE758-P758</f>
        <v>0</v>
      </c>
      <c r="AH758" s="415">
        <v>1</v>
      </c>
      <c r="AI758" s="735">
        <f t="shared" si="542"/>
        <v>424116.04</v>
      </c>
    </row>
    <row r="759" spans="1:35" x14ac:dyDescent="0.2">
      <c r="A759" s="873" t="s">
        <v>389</v>
      </c>
      <c r="B759" s="722">
        <f>SUM(B760:B765)</f>
        <v>14</v>
      </c>
      <c r="C759" s="784">
        <f t="shared" ref="C759:P759" si="545">SUM(C760:C765)</f>
        <v>22283.32</v>
      </c>
      <c r="D759" s="784">
        <f t="shared" si="545"/>
        <v>14980</v>
      </c>
      <c r="E759" s="784">
        <f t="shared" si="545"/>
        <v>0</v>
      </c>
      <c r="F759" s="784">
        <f t="shared" si="545"/>
        <v>0</v>
      </c>
      <c r="G759" s="784">
        <f t="shared" si="545"/>
        <v>0</v>
      </c>
      <c r="H759" s="784">
        <f t="shared" si="545"/>
        <v>0</v>
      </c>
      <c r="I759" s="784">
        <f t="shared" si="545"/>
        <v>0</v>
      </c>
      <c r="J759" s="784"/>
      <c r="K759" s="784">
        <f t="shared" si="545"/>
        <v>37263.32</v>
      </c>
      <c r="L759" s="784">
        <f t="shared" si="545"/>
        <v>14000</v>
      </c>
      <c r="M759" s="784">
        <f t="shared" si="545"/>
        <v>0</v>
      </c>
      <c r="N759" s="784">
        <f t="shared" si="545"/>
        <v>14000</v>
      </c>
      <c r="O759" s="784">
        <f t="shared" si="545"/>
        <v>461159.83999999997</v>
      </c>
      <c r="P759" s="784">
        <f t="shared" si="545"/>
        <v>461159.83999999997</v>
      </c>
      <c r="Q759" s="722">
        <f>SUM(Q760:Q765)</f>
        <v>14</v>
      </c>
      <c r="R759" s="784">
        <f t="shared" ref="R759:AB759" si="546">SUM(R760:R765)</f>
        <v>22302.519999999997</v>
      </c>
      <c r="S759" s="784">
        <f t="shared" si="546"/>
        <v>14980</v>
      </c>
      <c r="T759" s="784">
        <f t="shared" si="546"/>
        <v>0</v>
      </c>
      <c r="U759" s="784">
        <f t="shared" si="546"/>
        <v>0</v>
      </c>
      <c r="V759" s="784">
        <f t="shared" si="546"/>
        <v>0</v>
      </c>
      <c r="W759" s="784">
        <f t="shared" si="546"/>
        <v>0</v>
      </c>
      <c r="X759" s="784">
        <f t="shared" si="546"/>
        <v>0</v>
      </c>
      <c r="Y759" s="784">
        <f t="shared" si="546"/>
        <v>0</v>
      </c>
      <c r="Z759" s="784">
        <f t="shared" si="546"/>
        <v>37282.519999999997</v>
      </c>
      <c r="AA759" s="784">
        <f t="shared" si="546"/>
        <v>14000</v>
      </c>
      <c r="AB759" s="784">
        <f t="shared" si="546"/>
        <v>0</v>
      </c>
      <c r="AC759" s="784">
        <f>SUM(AC760:AC765)</f>
        <v>14000</v>
      </c>
      <c r="AD759" s="784">
        <f t="shared" ref="AD759:AG759" si="547">SUM(AD760:AD765)</f>
        <v>461390.23999999993</v>
      </c>
      <c r="AE759" s="784">
        <f t="shared" si="547"/>
        <v>461390.23999999993</v>
      </c>
      <c r="AF759" s="784">
        <f t="shared" si="547"/>
        <v>230.39999999999418</v>
      </c>
      <c r="AG759" s="722">
        <f t="shared" si="547"/>
        <v>230.39999999999418</v>
      </c>
      <c r="AH759" s="823">
        <f>SUM(AH760:AH765)</f>
        <v>14</v>
      </c>
      <c r="AI759" s="784">
        <f t="shared" ref="AI759" si="548">SUM(AI760:AI765)</f>
        <v>5536696.879999999</v>
      </c>
    </row>
    <row r="760" spans="1:35" x14ac:dyDescent="0.2">
      <c r="A760" s="862" t="s">
        <v>391</v>
      </c>
      <c r="B760" s="711">
        <v>1</v>
      </c>
      <c r="C760" s="735">
        <v>1717.02</v>
      </c>
      <c r="D760" s="735">
        <v>1070</v>
      </c>
      <c r="E760" s="735"/>
      <c r="F760" s="735"/>
      <c r="G760" s="735"/>
      <c r="H760" s="735"/>
      <c r="I760" s="735"/>
      <c r="J760" s="735"/>
      <c r="K760" s="735">
        <f t="shared" ref="K760:K765" si="549">SUM(C760:J760)</f>
        <v>2787.02</v>
      </c>
      <c r="L760" s="735">
        <v>1000</v>
      </c>
      <c r="M760" s="735"/>
      <c r="N760" s="735">
        <f t="shared" ref="N760:N761" si="550">SUM(L760:M760)</f>
        <v>1000</v>
      </c>
      <c r="O760" s="735">
        <f t="shared" ref="O760:O761" si="551">(K760*12)+N760</f>
        <v>34444.239999999998</v>
      </c>
      <c r="P760" s="735">
        <f t="shared" ref="P760:P765" si="552">B760*O760</f>
        <v>34444.239999999998</v>
      </c>
      <c r="Q760" s="711">
        <v>1</v>
      </c>
      <c r="R760" s="735">
        <v>1717.02</v>
      </c>
      <c r="S760" s="735">
        <v>1070</v>
      </c>
      <c r="T760" s="735"/>
      <c r="U760" s="735"/>
      <c r="V760" s="735"/>
      <c r="W760" s="735"/>
      <c r="X760" s="735"/>
      <c r="Y760" s="735"/>
      <c r="Z760" s="735">
        <f t="shared" ref="Z760:Z765" si="553">SUM(R760:Y760)</f>
        <v>2787.02</v>
      </c>
      <c r="AA760" s="735">
        <v>1000</v>
      </c>
      <c r="AB760" s="735"/>
      <c r="AC760" s="735">
        <f t="shared" ref="AC760:AC764" si="554">SUM(AA760:AB760)</f>
        <v>1000</v>
      </c>
      <c r="AD760" s="735">
        <f t="shared" ref="AD760:AD764" si="555">(Z760*12)+AC760</f>
        <v>34444.239999999998</v>
      </c>
      <c r="AE760" s="735">
        <f>+AD760</f>
        <v>34444.239999999998</v>
      </c>
      <c r="AF760" s="735">
        <f>AD760-O760</f>
        <v>0</v>
      </c>
      <c r="AG760" s="824">
        <f>AE760-P760</f>
        <v>0</v>
      </c>
      <c r="AH760" s="415">
        <v>1</v>
      </c>
      <c r="AI760" s="735">
        <f t="shared" ref="AI760:AI764" si="556">(AE760*12)+AH760</f>
        <v>413331.88</v>
      </c>
    </row>
    <row r="761" spans="1:35" x14ac:dyDescent="0.2">
      <c r="A761" s="862" t="s">
        <v>391</v>
      </c>
      <c r="B761" s="711">
        <v>1</v>
      </c>
      <c r="C761" s="735">
        <v>1694.32</v>
      </c>
      <c r="D761" s="735">
        <v>1070</v>
      </c>
      <c r="E761" s="735"/>
      <c r="F761" s="735"/>
      <c r="G761" s="735"/>
      <c r="H761" s="735"/>
      <c r="I761" s="735"/>
      <c r="J761" s="735"/>
      <c r="K761" s="735">
        <f t="shared" si="549"/>
        <v>2764.3199999999997</v>
      </c>
      <c r="L761" s="735">
        <v>1000</v>
      </c>
      <c r="M761" s="735"/>
      <c r="N761" s="735">
        <f t="shared" si="550"/>
        <v>1000</v>
      </c>
      <c r="O761" s="735">
        <f t="shared" si="551"/>
        <v>34171.839999999997</v>
      </c>
      <c r="P761" s="735">
        <f t="shared" si="552"/>
        <v>34171.839999999997</v>
      </c>
      <c r="Q761" s="711">
        <v>1</v>
      </c>
      <c r="R761" s="735">
        <v>1694.32</v>
      </c>
      <c r="S761" s="735">
        <v>1070</v>
      </c>
      <c r="T761" s="735"/>
      <c r="U761" s="735"/>
      <c r="V761" s="735"/>
      <c r="W761" s="735"/>
      <c r="X761" s="735"/>
      <c r="Y761" s="735"/>
      <c r="Z761" s="735">
        <f t="shared" si="553"/>
        <v>2764.3199999999997</v>
      </c>
      <c r="AA761" s="735">
        <v>1000</v>
      </c>
      <c r="AB761" s="735"/>
      <c r="AC761" s="735">
        <f t="shared" si="554"/>
        <v>1000</v>
      </c>
      <c r="AD761" s="735">
        <f t="shared" si="555"/>
        <v>34171.839999999997</v>
      </c>
      <c r="AE761" s="735">
        <f t="shared" ref="AE761:AE765" si="557">+AD761</f>
        <v>34171.839999999997</v>
      </c>
      <c r="AF761" s="735">
        <f t="shared" ref="AF761:AF765" si="558">AD761-O761</f>
        <v>0</v>
      </c>
      <c r="AG761" s="824">
        <f>AE761-P761</f>
        <v>0</v>
      </c>
      <c r="AH761" s="415">
        <v>1</v>
      </c>
      <c r="AI761" s="735">
        <f t="shared" si="556"/>
        <v>410063.07999999996</v>
      </c>
    </row>
    <row r="762" spans="1:35" x14ac:dyDescent="0.2">
      <c r="A762" s="862" t="s">
        <v>392</v>
      </c>
      <c r="B762" s="711">
        <v>1</v>
      </c>
      <c r="C762" s="735">
        <v>1613.83</v>
      </c>
      <c r="D762" s="735">
        <v>1070</v>
      </c>
      <c r="E762" s="735"/>
      <c r="F762" s="735"/>
      <c r="G762" s="735"/>
      <c r="H762" s="735"/>
      <c r="I762" s="735"/>
      <c r="J762" s="735"/>
      <c r="K762" s="735">
        <f t="shared" si="549"/>
        <v>2683.83</v>
      </c>
      <c r="L762" s="735">
        <v>1000</v>
      </c>
      <c r="M762" s="735"/>
      <c r="N762" s="735">
        <f>SUM(L762:M762)</f>
        <v>1000</v>
      </c>
      <c r="O762" s="735">
        <f>(K762*12)+N762</f>
        <v>33205.96</v>
      </c>
      <c r="P762" s="735">
        <f t="shared" si="552"/>
        <v>33205.96</v>
      </c>
      <c r="Q762" s="711">
        <v>1</v>
      </c>
      <c r="R762" s="735">
        <v>1613.83</v>
      </c>
      <c r="S762" s="735">
        <v>1070</v>
      </c>
      <c r="T762" s="735"/>
      <c r="U762" s="735"/>
      <c r="V762" s="735"/>
      <c r="W762" s="735"/>
      <c r="X762" s="735"/>
      <c r="Y762" s="735"/>
      <c r="Z762" s="735">
        <f t="shared" si="553"/>
        <v>2683.83</v>
      </c>
      <c r="AA762" s="735">
        <v>1000</v>
      </c>
      <c r="AB762" s="735"/>
      <c r="AC762" s="735">
        <f>SUM(AA762:AB762)</f>
        <v>1000</v>
      </c>
      <c r="AD762" s="735">
        <f>(Z762*12)+AC762</f>
        <v>33205.96</v>
      </c>
      <c r="AE762" s="735">
        <f t="shared" si="557"/>
        <v>33205.96</v>
      </c>
      <c r="AF762" s="735">
        <f t="shared" si="558"/>
        <v>0</v>
      </c>
      <c r="AG762" s="824">
        <f>AE762-P762</f>
        <v>0</v>
      </c>
      <c r="AH762" s="415">
        <v>1</v>
      </c>
      <c r="AI762" s="735">
        <f>(AE762*12)+AH762</f>
        <v>398472.52</v>
      </c>
    </row>
    <row r="763" spans="1:35" x14ac:dyDescent="0.2">
      <c r="A763" s="862" t="s">
        <v>392</v>
      </c>
      <c r="B763" s="711">
        <v>1</v>
      </c>
      <c r="C763" s="735">
        <v>1602.0700000000002</v>
      </c>
      <c r="D763" s="735">
        <v>1070</v>
      </c>
      <c r="E763" s="735"/>
      <c r="F763" s="735"/>
      <c r="G763" s="735"/>
      <c r="H763" s="735"/>
      <c r="I763" s="735"/>
      <c r="J763" s="735"/>
      <c r="K763" s="735">
        <f t="shared" si="549"/>
        <v>2672.07</v>
      </c>
      <c r="L763" s="735">
        <v>1000</v>
      </c>
      <c r="M763" s="735"/>
      <c r="N763" s="735">
        <f>SUM(L763:M763)</f>
        <v>1000</v>
      </c>
      <c r="O763" s="735">
        <f t="shared" ref="O763:O765" si="559">(K763*12)+N763</f>
        <v>33064.840000000004</v>
      </c>
      <c r="P763" s="735">
        <f t="shared" si="552"/>
        <v>33064.840000000004</v>
      </c>
      <c r="Q763" s="711">
        <v>1</v>
      </c>
      <c r="R763" s="735">
        <v>1621.27</v>
      </c>
      <c r="S763" s="735">
        <v>1070</v>
      </c>
      <c r="T763" s="735"/>
      <c r="U763" s="735"/>
      <c r="V763" s="735"/>
      <c r="W763" s="735"/>
      <c r="X763" s="735"/>
      <c r="Y763" s="735"/>
      <c r="Z763" s="735">
        <f t="shared" si="553"/>
        <v>2691.27</v>
      </c>
      <c r="AA763" s="735">
        <v>1000</v>
      </c>
      <c r="AB763" s="735"/>
      <c r="AC763" s="735">
        <f t="shared" si="554"/>
        <v>1000</v>
      </c>
      <c r="AD763" s="735">
        <f t="shared" si="555"/>
        <v>33295.24</v>
      </c>
      <c r="AE763" s="735">
        <f t="shared" si="557"/>
        <v>33295.24</v>
      </c>
      <c r="AF763" s="735">
        <f t="shared" si="558"/>
        <v>230.39999999999418</v>
      </c>
      <c r="AG763" s="824">
        <f>AE763-P763</f>
        <v>230.39999999999418</v>
      </c>
      <c r="AH763" s="415">
        <v>1</v>
      </c>
      <c r="AI763" s="735">
        <f t="shared" si="556"/>
        <v>399543.88</v>
      </c>
    </row>
    <row r="764" spans="1:35" x14ac:dyDescent="0.2">
      <c r="A764" s="862" t="s">
        <v>409</v>
      </c>
      <c r="B764" s="711">
        <v>9</v>
      </c>
      <c r="C764" s="735">
        <f>1564.87*B764</f>
        <v>14083.829999999998</v>
      </c>
      <c r="D764" s="735">
        <f>1070*B764</f>
        <v>9630</v>
      </c>
      <c r="E764" s="735"/>
      <c r="F764" s="735"/>
      <c r="G764" s="735"/>
      <c r="H764" s="735"/>
      <c r="I764" s="735"/>
      <c r="J764" s="735"/>
      <c r="K764" s="735">
        <f t="shared" si="549"/>
        <v>23713.829999999998</v>
      </c>
      <c r="L764" s="735">
        <v>9000</v>
      </c>
      <c r="M764" s="735"/>
      <c r="N764" s="735">
        <f>SUM(L764:M764)</f>
        <v>9000</v>
      </c>
      <c r="O764" s="735">
        <f t="shared" si="559"/>
        <v>293565.95999999996</v>
      </c>
      <c r="P764" s="735">
        <f>O764</f>
        <v>293565.95999999996</v>
      </c>
      <c r="Q764" s="711">
        <v>9</v>
      </c>
      <c r="R764" s="735">
        <f>1564.87*Q764</f>
        <v>14083.829999999998</v>
      </c>
      <c r="S764" s="735">
        <f>1070*Q764</f>
        <v>9630</v>
      </c>
      <c r="T764" s="735"/>
      <c r="U764" s="735"/>
      <c r="V764" s="735"/>
      <c r="W764" s="735"/>
      <c r="X764" s="735"/>
      <c r="Y764" s="735"/>
      <c r="Z764" s="735">
        <f t="shared" si="553"/>
        <v>23713.829999999998</v>
      </c>
      <c r="AA764" s="735">
        <f>1000*Q764</f>
        <v>9000</v>
      </c>
      <c r="AB764" s="735"/>
      <c r="AC764" s="735">
        <f t="shared" si="554"/>
        <v>9000</v>
      </c>
      <c r="AD764" s="735">
        <f t="shared" si="555"/>
        <v>293565.95999999996</v>
      </c>
      <c r="AE764" s="735">
        <f t="shared" si="557"/>
        <v>293565.95999999996</v>
      </c>
      <c r="AF764" s="735">
        <f t="shared" si="558"/>
        <v>0</v>
      </c>
      <c r="AG764" s="824">
        <f>AE764-P764</f>
        <v>0</v>
      </c>
      <c r="AH764" s="415">
        <v>9</v>
      </c>
      <c r="AI764" s="735">
        <f t="shared" si="556"/>
        <v>3522800.5199999996</v>
      </c>
    </row>
    <row r="765" spans="1:35" x14ac:dyDescent="0.2">
      <c r="A765" s="862" t="s">
        <v>409</v>
      </c>
      <c r="B765" s="711">
        <v>1</v>
      </c>
      <c r="C765" s="735">
        <v>1572.2499999999998</v>
      </c>
      <c r="D765" s="735">
        <v>1070</v>
      </c>
      <c r="E765" s="735"/>
      <c r="F765" s="735"/>
      <c r="G765" s="735"/>
      <c r="H765" s="735"/>
      <c r="I765" s="735"/>
      <c r="J765" s="735"/>
      <c r="K765" s="735">
        <f t="shared" si="549"/>
        <v>2642.25</v>
      </c>
      <c r="L765" s="735">
        <v>1000</v>
      </c>
      <c r="M765" s="735"/>
      <c r="N765" s="735">
        <f>SUM(L765:M765)</f>
        <v>1000</v>
      </c>
      <c r="O765" s="735">
        <f t="shared" si="559"/>
        <v>32707</v>
      </c>
      <c r="P765" s="735">
        <f t="shared" si="552"/>
        <v>32707</v>
      </c>
      <c r="Q765" s="711">
        <v>1</v>
      </c>
      <c r="R765" s="735">
        <v>1572.2499999999998</v>
      </c>
      <c r="S765" s="735">
        <v>1070</v>
      </c>
      <c r="T765" s="735"/>
      <c r="U765" s="735"/>
      <c r="V765" s="735"/>
      <c r="W765" s="735"/>
      <c r="X765" s="735"/>
      <c r="Y765" s="735"/>
      <c r="Z765" s="735">
        <f t="shared" si="553"/>
        <v>2642.25</v>
      </c>
      <c r="AA765" s="735">
        <v>1000</v>
      </c>
      <c r="AB765" s="735"/>
      <c r="AC765" s="735">
        <f>SUM(AA765:AB765)</f>
        <v>1000</v>
      </c>
      <c r="AD765" s="735">
        <f>(Z765*12)+AC765</f>
        <v>32707</v>
      </c>
      <c r="AE765" s="735">
        <f t="shared" si="557"/>
        <v>32707</v>
      </c>
      <c r="AF765" s="735">
        <f t="shared" si="558"/>
        <v>0</v>
      </c>
      <c r="AG765" s="824">
        <f>AE765-P765</f>
        <v>0</v>
      </c>
      <c r="AH765" s="415">
        <v>1</v>
      </c>
      <c r="AI765" s="735">
        <f>(AE765*12)+AH765</f>
        <v>392485</v>
      </c>
    </row>
    <row r="766" spans="1:35" x14ac:dyDescent="0.2">
      <c r="A766" s="873" t="s">
        <v>393</v>
      </c>
      <c r="B766" s="722">
        <f>SUM(B767:B774)</f>
        <v>14</v>
      </c>
      <c r="C766" s="784">
        <f t="shared" ref="C766:L766" si="560">SUM(C767:C774)</f>
        <v>21041.84</v>
      </c>
      <c r="D766" s="784">
        <f>SUM(D767:D774)</f>
        <v>14980</v>
      </c>
      <c r="E766" s="784">
        <f t="shared" si="560"/>
        <v>0</v>
      </c>
      <c r="F766" s="784">
        <f t="shared" si="560"/>
        <v>0</v>
      </c>
      <c r="G766" s="784">
        <f t="shared" si="560"/>
        <v>0</v>
      </c>
      <c r="H766" s="784">
        <f t="shared" si="560"/>
        <v>0</v>
      </c>
      <c r="I766" s="784">
        <f t="shared" si="560"/>
        <v>0</v>
      </c>
      <c r="J766" s="784"/>
      <c r="K766" s="784">
        <f t="shared" si="560"/>
        <v>36021.839999999997</v>
      </c>
      <c r="L766" s="784">
        <f t="shared" si="560"/>
        <v>14000</v>
      </c>
      <c r="M766" s="784"/>
      <c r="N766" s="784">
        <f>SUM(N767:N774)</f>
        <v>14000</v>
      </c>
      <c r="O766" s="784">
        <f>SUM(O767:O774)</f>
        <v>446262.08</v>
      </c>
      <c r="P766" s="784">
        <f>SUM(P767:P774)</f>
        <v>446262.08</v>
      </c>
      <c r="Q766" s="722">
        <f>SUM(Q767:Q774)</f>
        <v>14</v>
      </c>
      <c r="R766" s="784">
        <f t="shared" ref="R766:AB766" si="561">SUM(R767:R774)</f>
        <v>21041.84</v>
      </c>
      <c r="S766" s="784">
        <f t="shared" si="561"/>
        <v>14980</v>
      </c>
      <c r="T766" s="784">
        <f t="shared" si="561"/>
        <v>0</v>
      </c>
      <c r="U766" s="784">
        <f t="shared" si="561"/>
        <v>0</v>
      </c>
      <c r="V766" s="784">
        <f t="shared" si="561"/>
        <v>0</v>
      </c>
      <c r="W766" s="784">
        <f t="shared" si="561"/>
        <v>0</v>
      </c>
      <c r="X766" s="784">
        <f t="shared" si="561"/>
        <v>0</v>
      </c>
      <c r="Y766" s="784">
        <f t="shared" si="561"/>
        <v>0</v>
      </c>
      <c r="Z766" s="784">
        <f t="shared" si="561"/>
        <v>36021.839999999997</v>
      </c>
      <c r="AA766" s="784">
        <f t="shared" si="561"/>
        <v>14000</v>
      </c>
      <c r="AB766" s="784">
        <f t="shared" si="561"/>
        <v>0</v>
      </c>
      <c r="AC766" s="784">
        <f>SUM(AC767:AC774)</f>
        <v>14000</v>
      </c>
      <c r="AD766" s="784">
        <f t="shared" ref="AD766:AG766" si="562">SUM(AD767:AD774)</f>
        <v>446262.08</v>
      </c>
      <c r="AE766" s="784">
        <f t="shared" si="562"/>
        <v>446262.08</v>
      </c>
      <c r="AF766" s="784">
        <f t="shared" si="562"/>
        <v>0</v>
      </c>
      <c r="AG766" s="722">
        <f t="shared" si="562"/>
        <v>0</v>
      </c>
      <c r="AH766" s="823">
        <f>SUM(AH767:AH774)</f>
        <v>14</v>
      </c>
      <c r="AI766" s="784">
        <f t="shared" ref="AI766" si="563">SUM(AI767:AI774)</f>
        <v>5355158.959999999</v>
      </c>
    </row>
    <row r="767" spans="1:35" x14ac:dyDescent="0.2">
      <c r="A767" s="862" t="s">
        <v>443</v>
      </c>
      <c r="B767" s="711">
        <v>1</v>
      </c>
      <c r="C767" s="735">
        <v>1520.45</v>
      </c>
      <c r="D767" s="735">
        <v>1070</v>
      </c>
      <c r="E767" s="735"/>
      <c r="F767" s="735"/>
      <c r="G767" s="735"/>
      <c r="H767" s="735"/>
      <c r="I767" s="735"/>
      <c r="J767" s="735"/>
      <c r="K767" s="735">
        <f>SUM(C767:J767)</f>
        <v>2590.4499999999998</v>
      </c>
      <c r="L767" s="735">
        <v>1000</v>
      </c>
      <c r="M767" s="735"/>
      <c r="N767" s="735">
        <f>SUM(L767:M767)</f>
        <v>1000</v>
      </c>
      <c r="O767" s="735">
        <f>(K767*12)+N767</f>
        <v>32085.399999999998</v>
      </c>
      <c r="P767" s="735">
        <f>O767</f>
        <v>32085.399999999998</v>
      </c>
      <c r="Q767" s="711">
        <v>1</v>
      </c>
      <c r="R767" s="735">
        <v>1520.45</v>
      </c>
      <c r="S767" s="735">
        <v>1070</v>
      </c>
      <c r="T767" s="735"/>
      <c r="U767" s="735"/>
      <c r="V767" s="735"/>
      <c r="W767" s="735"/>
      <c r="X767" s="735"/>
      <c r="Y767" s="735"/>
      <c r="Z767" s="735">
        <f t="shared" ref="Z767:Z773" si="564">SUM(R767:Y767)</f>
        <v>2590.4499999999998</v>
      </c>
      <c r="AA767" s="735">
        <v>1000</v>
      </c>
      <c r="AB767" s="735"/>
      <c r="AC767" s="735">
        <f t="shared" ref="AC767:AC773" si="565">SUM(AA767:AB767)</f>
        <v>1000</v>
      </c>
      <c r="AD767" s="735">
        <f>(Z767*12)+AC767</f>
        <v>32085.399999999998</v>
      </c>
      <c r="AE767" s="735">
        <f>AD767</f>
        <v>32085.399999999998</v>
      </c>
      <c r="AF767" s="735">
        <f>AD767-O767</f>
        <v>0</v>
      </c>
      <c r="AG767" s="824">
        <f>AE767-P767</f>
        <v>0</v>
      </c>
      <c r="AH767" s="415">
        <v>1</v>
      </c>
      <c r="AI767" s="735">
        <f>(AE767*12)+AH767</f>
        <v>385025.8</v>
      </c>
    </row>
    <row r="768" spans="1:35" x14ac:dyDescent="0.2">
      <c r="A768" s="862" t="s">
        <v>443</v>
      </c>
      <c r="B768" s="711">
        <v>1</v>
      </c>
      <c r="C768" s="735">
        <v>1521.3199999999997</v>
      </c>
      <c r="D768" s="735">
        <v>1070</v>
      </c>
      <c r="E768" s="735"/>
      <c r="F768" s="735"/>
      <c r="G768" s="735"/>
      <c r="H768" s="735"/>
      <c r="I768" s="735"/>
      <c r="J768" s="735"/>
      <c r="K768" s="735">
        <f t="shared" ref="K768:K774" si="566">SUM(C768:J768)</f>
        <v>2591.3199999999997</v>
      </c>
      <c r="L768" s="735">
        <v>1000</v>
      </c>
      <c r="M768" s="735"/>
      <c r="N768" s="735">
        <f t="shared" ref="N768:N774" si="567">SUM(L768:M768)</f>
        <v>1000</v>
      </c>
      <c r="O768" s="735">
        <f t="shared" ref="O768:O774" si="568">(K768*12)+N768</f>
        <v>32095.839999999997</v>
      </c>
      <c r="P768" s="735">
        <f t="shared" ref="P768:P774" si="569">O768</f>
        <v>32095.839999999997</v>
      </c>
      <c r="Q768" s="711">
        <v>1</v>
      </c>
      <c r="R768" s="735">
        <v>1521.3199999999997</v>
      </c>
      <c r="S768" s="735">
        <v>1070</v>
      </c>
      <c r="T768" s="735"/>
      <c r="U768" s="735"/>
      <c r="V768" s="735"/>
      <c r="W768" s="735"/>
      <c r="X768" s="735"/>
      <c r="Y768" s="735"/>
      <c r="Z768" s="735">
        <f t="shared" si="564"/>
        <v>2591.3199999999997</v>
      </c>
      <c r="AA768" s="735">
        <v>1000</v>
      </c>
      <c r="AB768" s="735"/>
      <c r="AC768" s="735">
        <f t="shared" si="565"/>
        <v>1000</v>
      </c>
      <c r="AD768" s="735">
        <f t="shared" ref="AD768:AD774" si="570">(Z768*12)+AC768</f>
        <v>32095.839999999997</v>
      </c>
      <c r="AE768" s="735">
        <f t="shared" ref="AE768:AE774" si="571">AD768</f>
        <v>32095.839999999997</v>
      </c>
      <c r="AF768" s="735">
        <f t="shared" ref="AF768:AG831" si="572">AD768-O768</f>
        <v>0</v>
      </c>
      <c r="AG768" s="824">
        <f t="shared" si="572"/>
        <v>0</v>
      </c>
      <c r="AH768" s="415">
        <v>1</v>
      </c>
      <c r="AI768" s="735">
        <f t="shared" ref="AI768:AI774" si="573">(AE768*12)+AH768</f>
        <v>385151.07999999996</v>
      </c>
    </row>
    <row r="769" spans="1:35" x14ac:dyDescent="0.2">
      <c r="A769" s="862" t="s">
        <v>443</v>
      </c>
      <c r="B769" s="711">
        <v>1</v>
      </c>
      <c r="C769" s="735">
        <v>1514.33</v>
      </c>
      <c r="D769" s="735">
        <v>1070</v>
      </c>
      <c r="E769" s="735"/>
      <c r="F769" s="735"/>
      <c r="G769" s="735"/>
      <c r="H769" s="735"/>
      <c r="I769" s="735"/>
      <c r="J769" s="735"/>
      <c r="K769" s="735">
        <f t="shared" si="566"/>
        <v>2584.33</v>
      </c>
      <c r="L769" s="735">
        <v>1000</v>
      </c>
      <c r="M769" s="735"/>
      <c r="N769" s="735">
        <f t="shared" si="567"/>
        <v>1000</v>
      </c>
      <c r="O769" s="735">
        <f t="shared" si="568"/>
        <v>32011.96</v>
      </c>
      <c r="P769" s="735">
        <f t="shared" si="569"/>
        <v>32011.96</v>
      </c>
      <c r="Q769" s="711">
        <v>1</v>
      </c>
      <c r="R769" s="735">
        <v>1514.33</v>
      </c>
      <c r="S769" s="735">
        <v>1070</v>
      </c>
      <c r="T769" s="735"/>
      <c r="U769" s="735"/>
      <c r="V769" s="735"/>
      <c r="W769" s="735"/>
      <c r="X769" s="735"/>
      <c r="Y769" s="735"/>
      <c r="Z769" s="735">
        <f t="shared" si="564"/>
        <v>2584.33</v>
      </c>
      <c r="AA769" s="735">
        <v>1000</v>
      </c>
      <c r="AB769" s="735"/>
      <c r="AC769" s="735">
        <f t="shared" si="565"/>
        <v>1000</v>
      </c>
      <c r="AD769" s="735">
        <f t="shared" si="570"/>
        <v>32011.96</v>
      </c>
      <c r="AE769" s="735">
        <f t="shared" si="571"/>
        <v>32011.96</v>
      </c>
      <c r="AF769" s="735">
        <f t="shared" si="572"/>
        <v>0</v>
      </c>
      <c r="AG769" s="824">
        <f t="shared" si="572"/>
        <v>0</v>
      </c>
      <c r="AH769" s="415">
        <v>1</v>
      </c>
      <c r="AI769" s="735">
        <f t="shared" si="573"/>
        <v>384144.52</v>
      </c>
    </row>
    <row r="770" spans="1:35" x14ac:dyDescent="0.2">
      <c r="A770" s="862" t="s">
        <v>410</v>
      </c>
      <c r="B770" s="711">
        <v>3</v>
      </c>
      <c r="C770" s="735">
        <f>1450.59*3</f>
        <v>4351.7699999999995</v>
      </c>
      <c r="D770" s="735">
        <f>1070*B770</f>
        <v>3210</v>
      </c>
      <c r="E770" s="735"/>
      <c r="F770" s="735"/>
      <c r="G770" s="735"/>
      <c r="H770" s="735"/>
      <c r="I770" s="735"/>
      <c r="J770" s="735"/>
      <c r="K770" s="735">
        <f t="shared" si="566"/>
        <v>7561.7699999999995</v>
      </c>
      <c r="L770" s="735">
        <v>3000</v>
      </c>
      <c r="M770" s="735"/>
      <c r="N770" s="735">
        <f t="shared" si="567"/>
        <v>3000</v>
      </c>
      <c r="O770" s="735">
        <f t="shared" si="568"/>
        <v>93741.239999999991</v>
      </c>
      <c r="P770" s="735">
        <f t="shared" si="569"/>
        <v>93741.239999999991</v>
      </c>
      <c r="Q770" s="711">
        <v>3</v>
      </c>
      <c r="R770" s="735">
        <f>1450.59*3</f>
        <v>4351.7699999999995</v>
      </c>
      <c r="S770" s="735">
        <f>1070*3</f>
        <v>3210</v>
      </c>
      <c r="T770" s="735"/>
      <c r="U770" s="735"/>
      <c r="V770" s="735"/>
      <c r="W770" s="735"/>
      <c r="X770" s="735"/>
      <c r="Y770" s="735"/>
      <c r="Z770" s="735">
        <f>SUM(R770:Y770)</f>
        <v>7561.7699999999995</v>
      </c>
      <c r="AA770" s="735">
        <v>3000</v>
      </c>
      <c r="AB770" s="735"/>
      <c r="AC770" s="735">
        <f>SUM(AA770:AB770)</f>
        <v>3000</v>
      </c>
      <c r="AD770" s="735">
        <f t="shared" si="570"/>
        <v>93741.239999999991</v>
      </c>
      <c r="AE770" s="735">
        <f t="shared" si="571"/>
        <v>93741.239999999991</v>
      </c>
      <c r="AF770" s="735">
        <f t="shared" si="572"/>
        <v>0</v>
      </c>
      <c r="AG770" s="824">
        <f t="shared" si="572"/>
        <v>0</v>
      </c>
      <c r="AH770" s="415">
        <v>3</v>
      </c>
      <c r="AI770" s="735">
        <f t="shared" si="573"/>
        <v>1124897.8799999999</v>
      </c>
    </row>
    <row r="771" spans="1:35" x14ac:dyDescent="0.2">
      <c r="A771" s="862" t="s">
        <v>410</v>
      </c>
      <c r="B771" s="711">
        <v>1</v>
      </c>
      <c r="C771" s="735">
        <v>1559.1</v>
      </c>
      <c r="D771" s="735">
        <v>1070</v>
      </c>
      <c r="E771" s="735"/>
      <c r="F771" s="735"/>
      <c r="G771" s="735"/>
      <c r="H771" s="735"/>
      <c r="I771" s="735"/>
      <c r="J771" s="735"/>
      <c r="K771" s="735">
        <f t="shared" si="566"/>
        <v>2629.1</v>
      </c>
      <c r="L771" s="735">
        <v>1000</v>
      </c>
      <c r="M771" s="735"/>
      <c r="N771" s="735">
        <f t="shared" si="567"/>
        <v>1000</v>
      </c>
      <c r="O771" s="735">
        <f t="shared" si="568"/>
        <v>32549.199999999997</v>
      </c>
      <c r="P771" s="735">
        <f t="shared" si="569"/>
        <v>32549.199999999997</v>
      </c>
      <c r="Q771" s="711">
        <v>1</v>
      </c>
      <c r="R771" s="735">
        <v>1559.1</v>
      </c>
      <c r="S771" s="735">
        <v>1070</v>
      </c>
      <c r="T771" s="735"/>
      <c r="U771" s="735"/>
      <c r="V771" s="735"/>
      <c r="W771" s="735"/>
      <c r="X771" s="735"/>
      <c r="Y771" s="735"/>
      <c r="Z771" s="735">
        <f t="shared" si="564"/>
        <v>2629.1</v>
      </c>
      <c r="AA771" s="735">
        <v>1000</v>
      </c>
      <c r="AB771" s="735"/>
      <c r="AC771" s="735">
        <f t="shared" si="565"/>
        <v>1000</v>
      </c>
      <c r="AD771" s="735">
        <f t="shared" si="570"/>
        <v>32549.199999999997</v>
      </c>
      <c r="AE771" s="735">
        <f t="shared" si="571"/>
        <v>32549.199999999997</v>
      </c>
      <c r="AF771" s="735">
        <f t="shared" si="572"/>
        <v>0</v>
      </c>
      <c r="AG771" s="824">
        <f t="shared" si="572"/>
        <v>0</v>
      </c>
      <c r="AH771" s="415">
        <v>1</v>
      </c>
      <c r="AI771" s="735">
        <f t="shared" si="573"/>
        <v>390591.39999999997</v>
      </c>
    </row>
    <row r="772" spans="1:35" x14ac:dyDescent="0.2">
      <c r="A772" s="862" t="s">
        <v>410</v>
      </c>
      <c r="B772" s="711">
        <v>4</v>
      </c>
      <c r="C772" s="735">
        <f>1498.27*4</f>
        <v>5993.08</v>
      </c>
      <c r="D772" s="735">
        <f>1070*B772</f>
        <v>4280</v>
      </c>
      <c r="E772" s="735"/>
      <c r="F772" s="735"/>
      <c r="G772" s="735"/>
      <c r="H772" s="735"/>
      <c r="I772" s="735"/>
      <c r="J772" s="735"/>
      <c r="K772" s="735">
        <f t="shared" si="566"/>
        <v>10273.08</v>
      </c>
      <c r="L772" s="735">
        <v>4000</v>
      </c>
      <c r="M772" s="735"/>
      <c r="N772" s="735">
        <f t="shared" si="567"/>
        <v>4000</v>
      </c>
      <c r="O772" s="735">
        <f t="shared" si="568"/>
        <v>127276.95999999999</v>
      </c>
      <c r="P772" s="735">
        <f t="shared" si="569"/>
        <v>127276.95999999999</v>
      </c>
      <c r="Q772" s="711">
        <v>4</v>
      </c>
      <c r="R772" s="735">
        <f>1498.27*4</f>
        <v>5993.08</v>
      </c>
      <c r="S772" s="735">
        <f>1070*4</f>
        <v>4280</v>
      </c>
      <c r="T772" s="735"/>
      <c r="U772" s="735"/>
      <c r="V772" s="735"/>
      <c r="W772" s="735"/>
      <c r="X772" s="735"/>
      <c r="Y772" s="735"/>
      <c r="Z772" s="735">
        <f t="shared" si="564"/>
        <v>10273.08</v>
      </c>
      <c r="AA772" s="735">
        <v>4000</v>
      </c>
      <c r="AB772" s="735"/>
      <c r="AC772" s="735">
        <f t="shared" si="565"/>
        <v>4000</v>
      </c>
      <c r="AD772" s="735">
        <f t="shared" si="570"/>
        <v>127276.95999999999</v>
      </c>
      <c r="AE772" s="735">
        <f t="shared" si="571"/>
        <v>127276.95999999999</v>
      </c>
      <c r="AF772" s="735">
        <f t="shared" si="572"/>
        <v>0</v>
      </c>
      <c r="AG772" s="824">
        <f t="shared" si="572"/>
        <v>0</v>
      </c>
      <c r="AH772" s="415">
        <v>4</v>
      </c>
      <c r="AI772" s="735">
        <f t="shared" si="573"/>
        <v>1527327.52</v>
      </c>
    </row>
    <row r="773" spans="1:35" x14ac:dyDescent="0.2">
      <c r="A773" s="862" t="s">
        <v>410</v>
      </c>
      <c r="B773" s="711">
        <v>2</v>
      </c>
      <c r="C773" s="735">
        <f>1509.1*2</f>
        <v>3018.2</v>
      </c>
      <c r="D773" s="735">
        <f>1070*B773</f>
        <v>2140</v>
      </c>
      <c r="E773" s="735"/>
      <c r="F773" s="735"/>
      <c r="G773" s="735"/>
      <c r="H773" s="735"/>
      <c r="I773" s="735"/>
      <c r="J773" s="735"/>
      <c r="K773" s="735">
        <f t="shared" si="566"/>
        <v>5158.2</v>
      </c>
      <c r="L773" s="735">
        <v>2000</v>
      </c>
      <c r="M773" s="735"/>
      <c r="N773" s="735">
        <f t="shared" si="567"/>
        <v>2000</v>
      </c>
      <c r="O773" s="735">
        <f t="shared" si="568"/>
        <v>63898.399999999994</v>
      </c>
      <c r="P773" s="735">
        <f t="shared" si="569"/>
        <v>63898.399999999994</v>
      </c>
      <c r="Q773" s="711">
        <v>2</v>
      </c>
      <c r="R773" s="735">
        <f>1509.1*2</f>
        <v>3018.2</v>
      </c>
      <c r="S773" s="735">
        <f>1070*2</f>
        <v>2140</v>
      </c>
      <c r="T773" s="735"/>
      <c r="U773" s="735"/>
      <c r="V773" s="735"/>
      <c r="W773" s="735"/>
      <c r="X773" s="735"/>
      <c r="Y773" s="735"/>
      <c r="Z773" s="735">
        <f t="shared" si="564"/>
        <v>5158.2</v>
      </c>
      <c r="AA773" s="735">
        <v>2000</v>
      </c>
      <c r="AB773" s="735"/>
      <c r="AC773" s="735">
        <f t="shared" si="565"/>
        <v>2000</v>
      </c>
      <c r="AD773" s="735">
        <f t="shared" si="570"/>
        <v>63898.399999999994</v>
      </c>
      <c r="AE773" s="735">
        <f t="shared" si="571"/>
        <v>63898.399999999994</v>
      </c>
      <c r="AF773" s="735">
        <f t="shared" si="572"/>
        <v>0</v>
      </c>
      <c r="AG773" s="824">
        <f t="shared" si="572"/>
        <v>0</v>
      </c>
      <c r="AH773" s="415">
        <v>2</v>
      </c>
      <c r="AI773" s="735">
        <f t="shared" si="573"/>
        <v>766782.79999999993</v>
      </c>
    </row>
    <row r="774" spans="1:35" x14ac:dyDescent="0.2">
      <c r="A774" s="862" t="s">
        <v>410</v>
      </c>
      <c r="B774" s="711">
        <v>1</v>
      </c>
      <c r="C774" s="735">
        <v>1563.59</v>
      </c>
      <c r="D774" s="735">
        <v>1070</v>
      </c>
      <c r="E774" s="735"/>
      <c r="F774" s="735"/>
      <c r="G774" s="735"/>
      <c r="H774" s="735"/>
      <c r="I774" s="735"/>
      <c r="J774" s="735"/>
      <c r="K774" s="735">
        <f t="shared" si="566"/>
        <v>2633.59</v>
      </c>
      <c r="L774" s="735">
        <v>1000</v>
      </c>
      <c r="M774" s="735"/>
      <c r="N774" s="735">
        <f t="shared" si="567"/>
        <v>1000</v>
      </c>
      <c r="O774" s="735">
        <f t="shared" si="568"/>
        <v>32603.08</v>
      </c>
      <c r="P774" s="735">
        <f t="shared" si="569"/>
        <v>32603.08</v>
      </c>
      <c r="Q774" s="711">
        <v>1</v>
      </c>
      <c r="R774" s="735">
        <v>1563.59</v>
      </c>
      <c r="S774" s="735">
        <v>1070</v>
      </c>
      <c r="T774" s="735"/>
      <c r="U774" s="735"/>
      <c r="V774" s="735"/>
      <c r="W774" s="735"/>
      <c r="X774" s="735"/>
      <c r="Y774" s="735"/>
      <c r="Z774" s="735">
        <f>SUM(R774:Y774)</f>
        <v>2633.59</v>
      </c>
      <c r="AA774" s="735">
        <v>1000</v>
      </c>
      <c r="AB774" s="735"/>
      <c r="AC774" s="735">
        <f>SUM(AA774:AB774)</f>
        <v>1000</v>
      </c>
      <c r="AD774" s="735">
        <f t="shared" si="570"/>
        <v>32603.08</v>
      </c>
      <c r="AE774" s="735">
        <f t="shared" si="571"/>
        <v>32603.08</v>
      </c>
      <c r="AF774" s="735">
        <f t="shared" si="572"/>
        <v>0</v>
      </c>
      <c r="AG774" s="824">
        <f t="shared" si="572"/>
        <v>0</v>
      </c>
      <c r="AH774" s="415">
        <v>1</v>
      </c>
      <c r="AI774" s="735">
        <f t="shared" si="573"/>
        <v>391237.96</v>
      </c>
    </row>
    <row r="775" spans="1:35" ht="24" x14ac:dyDescent="0.2">
      <c r="A775" s="874" t="s">
        <v>743</v>
      </c>
      <c r="B775" s="819">
        <f>B776+B777+B781+B784+B791+B793+B834+B885+B916+B978+B1026</f>
        <v>360</v>
      </c>
      <c r="C775" s="820">
        <f>C776+C777+C781+C784+C791+C793+C834+C885+C916+C978+C1026</f>
        <v>1054771.3299999991</v>
      </c>
      <c r="D775" s="820"/>
      <c r="E775" s="820">
        <f t="shared" ref="E775:L775" si="574">E776+E777+E781+E784+E791+E793+E834+E885+E916+E978+E1026</f>
        <v>0</v>
      </c>
      <c r="F775" s="820">
        <f t="shared" si="574"/>
        <v>0</v>
      </c>
      <c r="G775" s="820">
        <f t="shared" si="574"/>
        <v>0</v>
      </c>
      <c r="H775" s="820">
        <f t="shared" si="574"/>
        <v>0</v>
      </c>
      <c r="I775" s="820">
        <f t="shared" si="574"/>
        <v>0</v>
      </c>
      <c r="J775" s="820">
        <f t="shared" si="574"/>
        <v>185340.71</v>
      </c>
      <c r="K775" s="820">
        <f t="shared" si="574"/>
        <v>1240112.0399999989</v>
      </c>
      <c r="L775" s="820">
        <f t="shared" si="574"/>
        <v>360000</v>
      </c>
      <c r="M775" s="820"/>
      <c r="N775" s="820">
        <f t="shared" ref="N775" si="575">N776+N777+N781+N784+N791+N793+N834+N885+N916+N978+N1026</f>
        <v>360000</v>
      </c>
      <c r="O775" s="820">
        <f>O776+O777+O781+O784+O791+O793+O834+O885+O916+O978+O1026</f>
        <v>15241344.480000006</v>
      </c>
      <c r="P775" s="820">
        <f>P776+P777+P781+P784+P791+P793+P834+P885+P916+P978+P1026</f>
        <v>15241344.480000006</v>
      </c>
      <c r="Q775" s="819">
        <f>Q776+Q777+Q781+Q784+Q791+Q793+Q834+Q885+Q916+Q978+Q1026</f>
        <v>360</v>
      </c>
      <c r="R775" s="820">
        <f>R776+R777+R781+R784+R791+R793+R834+R885+R916+R978+R1026</f>
        <v>1054771.3299999991</v>
      </c>
      <c r="S775" s="821"/>
      <c r="T775" s="821"/>
      <c r="U775" s="821"/>
      <c r="V775" s="821"/>
      <c r="W775" s="821"/>
      <c r="X775" s="821"/>
      <c r="Y775" s="820">
        <f t="shared" ref="Y775:AA775" si="576">Y776+Y777+Y781+Y784+Y791+Y793+Y834+Y885+Y916+Y978+Y1026</f>
        <v>185340.71</v>
      </c>
      <c r="Z775" s="820">
        <f t="shared" si="576"/>
        <v>1240112.0399999989</v>
      </c>
      <c r="AA775" s="820">
        <f t="shared" si="576"/>
        <v>360000</v>
      </c>
      <c r="AB775" s="821"/>
      <c r="AC775" s="820">
        <f t="shared" ref="AC775" si="577">AC776+AC777+AC781+AC784+AC791+AC793+AC834+AC885+AC916+AC978+AC1026</f>
        <v>360000</v>
      </c>
      <c r="AD775" s="820">
        <f>AD776+AD777+AD781+AD784+AD791+AD793+AD834+AD885+AD916+AD978+AD1026</f>
        <v>15241344.480000006</v>
      </c>
      <c r="AE775" s="820">
        <f>AE776+AE777+AE781+AE784+AE791+AE793+AE834+AE885+AE916+AE978+AE1026</f>
        <v>15241344.480000006</v>
      </c>
      <c r="AF775" s="735">
        <f t="shared" si="572"/>
        <v>0</v>
      </c>
      <c r="AG775" s="824">
        <f t="shared" si="572"/>
        <v>0</v>
      </c>
      <c r="AH775" s="819">
        <f>AH776+AH777+AH781+AH784+AH791+AH793+AH834+AH885+AH916+AH978+AH1026</f>
        <v>360</v>
      </c>
      <c r="AI775" s="820">
        <f>AI776+AI777+AI781+AI784+AI791+AI793+AI834+AI885+AI916+AI978+AI1026</f>
        <v>182896493.76000008</v>
      </c>
    </row>
    <row r="776" spans="1:35" x14ac:dyDescent="0.2">
      <c r="A776" s="873" t="s">
        <v>750</v>
      </c>
      <c r="B776" s="722">
        <v>1</v>
      </c>
      <c r="C776" s="784">
        <v>4000</v>
      </c>
      <c r="D776" s="784"/>
      <c r="E776" s="784"/>
      <c r="F776" s="784"/>
      <c r="G776" s="784"/>
      <c r="H776" s="784"/>
      <c r="I776" s="784"/>
      <c r="J776" s="784">
        <v>5600.71</v>
      </c>
      <c r="K776" s="784">
        <f>SUM(C776:J776)</f>
        <v>9600.7099999999991</v>
      </c>
      <c r="L776" s="784">
        <v>1000</v>
      </c>
      <c r="M776" s="784"/>
      <c r="N776" s="784">
        <f>SUM(L776:M776)</f>
        <v>1000</v>
      </c>
      <c r="O776" s="784">
        <f>(K776*12)+N776</f>
        <v>116208.51999999999</v>
      </c>
      <c r="P776" s="784">
        <f>B776*O776</f>
        <v>116208.51999999999</v>
      </c>
      <c r="Q776" s="722">
        <v>1</v>
      </c>
      <c r="R776" s="784">
        <v>4000</v>
      </c>
      <c r="S776" s="784"/>
      <c r="T776" s="784"/>
      <c r="U776" s="784"/>
      <c r="V776" s="784"/>
      <c r="W776" s="784"/>
      <c r="X776" s="784"/>
      <c r="Y776" s="784">
        <v>5600.71</v>
      </c>
      <c r="Z776" s="784">
        <f>SUM(R776:Y776)</f>
        <v>9600.7099999999991</v>
      </c>
      <c r="AA776" s="784">
        <v>1000</v>
      </c>
      <c r="AB776" s="784"/>
      <c r="AC776" s="784">
        <f>SUM(AA776:AB776)</f>
        <v>1000</v>
      </c>
      <c r="AD776" s="784">
        <f>(Z776*12)+AC776</f>
        <v>116208.51999999999</v>
      </c>
      <c r="AE776" s="784">
        <f>Q776*AD776</f>
        <v>116208.51999999999</v>
      </c>
      <c r="AF776" s="784">
        <v>0</v>
      </c>
      <c r="AG776" s="786">
        <f t="shared" ref="AG776" si="578">S776*AF776</f>
        <v>0</v>
      </c>
      <c r="AH776" s="722">
        <v>1</v>
      </c>
      <c r="AI776" s="784">
        <f>(AE776*12)+AH776</f>
        <v>1394503.2399999998</v>
      </c>
    </row>
    <row r="777" spans="1:35" x14ac:dyDescent="0.2">
      <c r="A777" s="873" t="s">
        <v>753</v>
      </c>
      <c r="B777" s="722">
        <f>SUM(B778:B780)</f>
        <v>3</v>
      </c>
      <c r="C777" s="784">
        <f>SUM(C778:C780)</f>
        <v>14401.800000000001</v>
      </c>
      <c r="D777" s="784"/>
      <c r="E777" s="784"/>
      <c r="F777" s="784"/>
      <c r="G777" s="784"/>
      <c r="H777" s="784"/>
      <c r="I777" s="784"/>
      <c r="J777" s="784">
        <f>SUM(J778:J780)</f>
        <v>2130</v>
      </c>
      <c r="K777" s="784">
        <f>SUM(C777:J777)</f>
        <v>16531.800000000003</v>
      </c>
      <c r="L777" s="784">
        <f>SUM(L778:L780)</f>
        <v>3000</v>
      </c>
      <c r="M777" s="784"/>
      <c r="N777" s="784">
        <f t="shared" ref="N777:N780" si="579">SUM(L777:M777)</f>
        <v>3000</v>
      </c>
      <c r="O777" s="784">
        <f>SUM(O778:O780)</f>
        <v>201381.60000000003</v>
      </c>
      <c r="P777" s="784">
        <f>SUM(P778:P780)</f>
        <v>201381.60000000003</v>
      </c>
      <c r="Q777" s="722">
        <f>SUM(Q778:Q780)</f>
        <v>3</v>
      </c>
      <c r="R777" s="784">
        <f>SUM(R778:R780)</f>
        <v>14401.800000000001</v>
      </c>
      <c r="S777" s="784"/>
      <c r="T777" s="784"/>
      <c r="U777" s="784"/>
      <c r="V777" s="784"/>
      <c r="W777" s="784"/>
      <c r="X777" s="784"/>
      <c r="Y777" s="784">
        <f>SUM(Y778:Y780)</f>
        <v>2130</v>
      </c>
      <c r="Z777" s="784">
        <f>SUM(R777:Y777)</f>
        <v>16531.800000000003</v>
      </c>
      <c r="AA777" s="784">
        <f>SUM(AA778:AA780)</f>
        <v>3000</v>
      </c>
      <c r="AB777" s="784"/>
      <c r="AC777" s="784">
        <f t="shared" ref="AC777:AC780" si="580">SUM(AA777:AB777)</f>
        <v>3000</v>
      </c>
      <c r="AD777" s="784">
        <f>SUM(AD778:AD780)</f>
        <v>201381.60000000003</v>
      </c>
      <c r="AE777" s="784">
        <f>SUM(AE778:AE780)</f>
        <v>201381.60000000003</v>
      </c>
      <c r="AF777" s="784">
        <f t="shared" ref="AF777:AG777" si="581">SUM(AF778:AF780)</f>
        <v>0</v>
      </c>
      <c r="AG777" s="786">
        <f t="shared" si="581"/>
        <v>0</v>
      </c>
      <c r="AH777" s="722">
        <f>SUM(AH778:AH780)</f>
        <v>3</v>
      </c>
      <c r="AI777" s="784">
        <f>SUM(AI778:AI780)</f>
        <v>2416582.2000000002</v>
      </c>
    </row>
    <row r="778" spans="1:35" x14ac:dyDescent="0.2">
      <c r="A778" s="862"/>
      <c r="B778" s="711">
        <v>1</v>
      </c>
      <c r="C778" s="735">
        <v>4800.6000000000004</v>
      </c>
      <c r="D778" s="735"/>
      <c r="E778" s="735"/>
      <c r="F778" s="735"/>
      <c r="G778" s="735"/>
      <c r="H778" s="735"/>
      <c r="I778" s="735"/>
      <c r="J778" s="735">
        <v>360</v>
      </c>
      <c r="K778" s="735">
        <f t="shared" ref="K778:K780" si="582">SUM(C778:J778)</f>
        <v>5160.6000000000004</v>
      </c>
      <c r="L778" s="735">
        <v>1000</v>
      </c>
      <c r="M778" s="735"/>
      <c r="N778" s="735">
        <f t="shared" si="579"/>
        <v>1000</v>
      </c>
      <c r="O778" s="735">
        <f>(K778*12)+N778</f>
        <v>62927.200000000004</v>
      </c>
      <c r="P778" s="735">
        <f t="shared" ref="P778:P780" si="583">B778*O778</f>
        <v>62927.200000000004</v>
      </c>
      <c r="Q778" s="711">
        <v>1</v>
      </c>
      <c r="R778" s="735">
        <v>4800.6000000000004</v>
      </c>
      <c r="S778" s="735"/>
      <c r="T778" s="735"/>
      <c r="U778" s="735"/>
      <c r="V778" s="735"/>
      <c r="W778" s="735"/>
      <c r="X778" s="735"/>
      <c r="Y778" s="735">
        <v>360</v>
      </c>
      <c r="Z778" s="735">
        <f t="shared" ref="Z778:Z780" si="584">SUM(R778:Y778)</f>
        <v>5160.6000000000004</v>
      </c>
      <c r="AA778" s="735">
        <v>1000</v>
      </c>
      <c r="AB778" s="735"/>
      <c r="AC778" s="735">
        <f t="shared" si="580"/>
        <v>1000</v>
      </c>
      <c r="AD778" s="735">
        <f>(Z778*12)+AC778</f>
        <v>62927.200000000004</v>
      </c>
      <c r="AE778" s="735">
        <f t="shared" ref="AE778:AE780" si="585">Q778*AD778</f>
        <v>62927.200000000004</v>
      </c>
      <c r="AF778" s="735">
        <f t="shared" si="572"/>
        <v>0</v>
      </c>
      <c r="AG778" s="824">
        <f t="shared" ref="AG778:AG841" si="586">P778-AE778</f>
        <v>0</v>
      </c>
      <c r="AH778" s="711">
        <v>1</v>
      </c>
      <c r="AI778" s="735">
        <f>(AE778*12)+AH778</f>
        <v>755127.4</v>
      </c>
    </row>
    <row r="779" spans="1:35" x14ac:dyDescent="0.2">
      <c r="A779" s="862"/>
      <c r="B779" s="711">
        <v>1</v>
      </c>
      <c r="C779" s="735">
        <v>4800.6000000000004</v>
      </c>
      <c r="D779" s="735"/>
      <c r="E779" s="735"/>
      <c r="F779" s="735"/>
      <c r="G779" s="735"/>
      <c r="H779" s="735"/>
      <c r="I779" s="735"/>
      <c r="J779" s="735">
        <v>670</v>
      </c>
      <c r="K779" s="735">
        <f t="shared" si="582"/>
        <v>5470.6</v>
      </c>
      <c r="L779" s="735">
        <v>1000</v>
      </c>
      <c r="M779" s="735"/>
      <c r="N779" s="735">
        <f t="shared" si="579"/>
        <v>1000</v>
      </c>
      <c r="O779" s="735">
        <f t="shared" ref="O779:O780" si="587">(K779*12)+N779</f>
        <v>66647.200000000012</v>
      </c>
      <c r="P779" s="735">
        <f t="shared" si="583"/>
        <v>66647.200000000012</v>
      </c>
      <c r="Q779" s="711">
        <v>1</v>
      </c>
      <c r="R779" s="735">
        <v>4800.6000000000004</v>
      </c>
      <c r="S779" s="735"/>
      <c r="T779" s="735"/>
      <c r="U779" s="735"/>
      <c r="V779" s="735"/>
      <c r="W779" s="735"/>
      <c r="X779" s="735"/>
      <c r="Y779" s="735">
        <v>670</v>
      </c>
      <c r="Z779" s="735">
        <f t="shared" si="584"/>
        <v>5470.6</v>
      </c>
      <c r="AA779" s="735">
        <v>1000</v>
      </c>
      <c r="AB779" s="735"/>
      <c r="AC779" s="735">
        <f t="shared" si="580"/>
        <v>1000</v>
      </c>
      <c r="AD779" s="735">
        <f t="shared" ref="AD779:AD780" si="588">(Z779*12)+AC779</f>
        <v>66647.200000000012</v>
      </c>
      <c r="AE779" s="735">
        <f t="shared" si="585"/>
        <v>66647.200000000012</v>
      </c>
      <c r="AF779" s="735">
        <f t="shared" si="572"/>
        <v>0</v>
      </c>
      <c r="AG779" s="824">
        <f t="shared" si="586"/>
        <v>0</v>
      </c>
      <c r="AH779" s="711">
        <v>1</v>
      </c>
      <c r="AI779" s="735">
        <f t="shared" ref="AI779:AI780" si="589">(AE779*12)+AH779</f>
        <v>799767.40000000014</v>
      </c>
    </row>
    <row r="780" spans="1:35" x14ac:dyDescent="0.2">
      <c r="A780" s="862"/>
      <c r="B780" s="711">
        <v>1</v>
      </c>
      <c r="C780" s="735">
        <v>4800.6000000000004</v>
      </c>
      <c r="D780" s="735"/>
      <c r="E780" s="735"/>
      <c r="F780" s="735"/>
      <c r="G780" s="735"/>
      <c r="H780" s="735"/>
      <c r="I780" s="735"/>
      <c r="J780" s="735">
        <v>1100</v>
      </c>
      <c r="K780" s="735">
        <f t="shared" si="582"/>
        <v>5900.6</v>
      </c>
      <c r="L780" s="735">
        <v>1000</v>
      </c>
      <c r="M780" s="735"/>
      <c r="N780" s="735">
        <f t="shared" si="579"/>
        <v>1000</v>
      </c>
      <c r="O780" s="735">
        <f t="shared" si="587"/>
        <v>71807.200000000012</v>
      </c>
      <c r="P780" s="735">
        <f t="shared" si="583"/>
        <v>71807.200000000012</v>
      </c>
      <c r="Q780" s="711">
        <v>1</v>
      </c>
      <c r="R780" s="735">
        <v>4800.6000000000004</v>
      </c>
      <c r="S780" s="735"/>
      <c r="T780" s="735"/>
      <c r="U780" s="735"/>
      <c r="V780" s="735"/>
      <c r="W780" s="735"/>
      <c r="X780" s="735"/>
      <c r="Y780" s="735">
        <v>1100</v>
      </c>
      <c r="Z780" s="735">
        <f t="shared" si="584"/>
        <v>5900.6</v>
      </c>
      <c r="AA780" s="735">
        <v>1000</v>
      </c>
      <c r="AB780" s="735"/>
      <c r="AC780" s="735">
        <f t="shared" si="580"/>
        <v>1000</v>
      </c>
      <c r="AD780" s="735">
        <f t="shared" si="588"/>
        <v>71807.200000000012</v>
      </c>
      <c r="AE780" s="735">
        <f t="shared" si="585"/>
        <v>71807.200000000012</v>
      </c>
      <c r="AF780" s="735">
        <f t="shared" si="572"/>
        <v>0</v>
      </c>
      <c r="AG780" s="824">
        <f t="shared" si="586"/>
        <v>0</v>
      </c>
      <c r="AH780" s="711">
        <v>1</v>
      </c>
      <c r="AI780" s="735">
        <f t="shared" si="589"/>
        <v>861687.40000000014</v>
      </c>
    </row>
    <row r="781" spans="1:35" x14ac:dyDescent="0.2">
      <c r="A781" s="873" t="s">
        <v>754</v>
      </c>
      <c r="B781" s="722">
        <f>SUM(B782:B783)</f>
        <v>2</v>
      </c>
      <c r="C781" s="784">
        <f>SUM(C782:C783)</f>
        <v>7200.9</v>
      </c>
      <c r="D781" s="784"/>
      <c r="E781" s="784">
        <f t="shared" ref="E781:L781" si="590">SUM(E782:E783)</f>
        <v>0</v>
      </c>
      <c r="F781" s="784">
        <f t="shared" si="590"/>
        <v>0</v>
      </c>
      <c r="G781" s="784">
        <f t="shared" si="590"/>
        <v>0</v>
      </c>
      <c r="H781" s="784">
        <f t="shared" si="590"/>
        <v>0</v>
      </c>
      <c r="I781" s="784">
        <f t="shared" si="590"/>
        <v>0</v>
      </c>
      <c r="J781" s="784">
        <f t="shared" si="590"/>
        <v>0</v>
      </c>
      <c r="K781" s="784">
        <f t="shared" si="590"/>
        <v>7200.9</v>
      </c>
      <c r="L781" s="784">
        <f t="shared" si="590"/>
        <v>2000</v>
      </c>
      <c r="M781" s="784"/>
      <c r="N781" s="784">
        <f>SUM(L781:M781)</f>
        <v>2000</v>
      </c>
      <c r="O781" s="784">
        <f>SUM(O782:O783)</f>
        <v>88410.799999999988</v>
      </c>
      <c r="P781" s="784">
        <f>SUM(P782:P783)</f>
        <v>88410.799999999988</v>
      </c>
      <c r="Q781" s="722">
        <f>SUM(Q782:Q783)</f>
        <v>2</v>
      </c>
      <c r="R781" s="784">
        <f>SUM(R782:R783)</f>
        <v>7200.9</v>
      </c>
      <c r="S781" s="784"/>
      <c r="T781" s="784">
        <f t="shared" ref="T781:AA781" si="591">SUM(T782:T783)</f>
        <v>0</v>
      </c>
      <c r="U781" s="784">
        <f t="shared" si="591"/>
        <v>0</v>
      </c>
      <c r="V781" s="784">
        <f t="shared" si="591"/>
        <v>0</v>
      </c>
      <c r="W781" s="784">
        <f t="shared" si="591"/>
        <v>0</v>
      </c>
      <c r="X781" s="784">
        <f t="shared" si="591"/>
        <v>0</v>
      </c>
      <c r="Y781" s="784">
        <f t="shared" si="591"/>
        <v>0</v>
      </c>
      <c r="Z781" s="784">
        <f t="shared" si="591"/>
        <v>7200.9</v>
      </c>
      <c r="AA781" s="784">
        <f t="shared" si="591"/>
        <v>2000</v>
      </c>
      <c r="AB781" s="784"/>
      <c r="AC781" s="784">
        <f>SUM(AA781:AB781)</f>
        <v>2000</v>
      </c>
      <c r="AD781" s="784">
        <f>SUM(AD782:AD783)</f>
        <v>88410.799999999988</v>
      </c>
      <c r="AE781" s="784">
        <f>SUM(AE782:AE783)</f>
        <v>88410.799999999988</v>
      </c>
      <c r="AF781" s="784">
        <f t="shared" ref="AF781:AG781" si="592">SUM(AF782:AF783)</f>
        <v>0</v>
      </c>
      <c r="AG781" s="786">
        <f t="shared" si="592"/>
        <v>0</v>
      </c>
      <c r="AH781" s="722">
        <f>SUM(AH782:AH783)</f>
        <v>2</v>
      </c>
      <c r="AI781" s="784">
        <f>SUM(AI782:AI783)</f>
        <v>1060931.5999999999</v>
      </c>
    </row>
    <row r="782" spans="1:35" x14ac:dyDescent="0.2">
      <c r="A782" s="704"/>
      <c r="B782" s="711">
        <v>1</v>
      </c>
      <c r="C782" s="735">
        <v>3600.45</v>
      </c>
      <c r="D782" s="735"/>
      <c r="E782" s="735"/>
      <c r="F782" s="735"/>
      <c r="G782" s="735"/>
      <c r="H782" s="735"/>
      <c r="I782" s="735"/>
      <c r="J782" s="735"/>
      <c r="K782" s="735">
        <f>SUM(C782:J782)</f>
        <v>3600.45</v>
      </c>
      <c r="L782" s="735">
        <v>1000</v>
      </c>
      <c r="M782" s="735"/>
      <c r="N782" s="735">
        <f>SUM(L782:M782)</f>
        <v>1000</v>
      </c>
      <c r="O782" s="735">
        <f>(K782*12)+N782</f>
        <v>44205.399999999994</v>
      </c>
      <c r="P782" s="735">
        <f>B782*O782</f>
        <v>44205.399999999994</v>
      </c>
      <c r="Q782" s="711">
        <v>1</v>
      </c>
      <c r="R782" s="735">
        <v>3600.45</v>
      </c>
      <c r="S782" s="735"/>
      <c r="T782" s="735"/>
      <c r="U782" s="735"/>
      <c r="V782" s="735"/>
      <c r="W782" s="735"/>
      <c r="X782" s="735"/>
      <c r="Y782" s="735"/>
      <c r="Z782" s="735">
        <f>SUM(R782:Y782)</f>
        <v>3600.45</v>
      </c>
      <c r="AA782" s="735">
        <v>1000</v>
      </c>
      <c r="AB782" s="735"/>
      <c r="AC782" s="735">
        <f>SUM(AA782:AB782)</f>
        <v>1000</v>
      </c>
      <c r="AD782" s="735">
        <f>(Z782*12)+AC782</f>
        <v>44205.399999999994</v>
      </c>
      <c r="AE782" s="735">
        <f>Q782*AD782</f>
        <v>44205.399999999994</v>
      </c>
      <c r="AF782" s="735">
        <f t="shared" si="572"/>
        <v>0</v>
      </c>
      <c r="AG782" s="824">
        <f t="shared" si="586"/>
        <v>0</v>
      </c>
      <c r="AH782" s="711">
        <v>1</v>
      </c>
      <c r="AI782" s="735">
        <f>(AE782*12)+AH782</f>
        <v>530465.79999999993</v>
      </c>
    </row>
    <row r="783" spans="1:35" x14ac:dyDescent="0.2">
      <c r="A783" s="704"/>
      <c r="B783" s="711">
        <v>1</v>
      </c>
      <c r="C783" s="735">
        <v>3600.45</v>
      </c>
      <c r="D783" s="735"/>
      <c r="E783" s="735"/>
      <c r="F783" s="735"/>
      <c r="G783" s="735"/>
      <c r="H783" s="735"/>
      <c r="I783" s="735"/>
      <c r="J783" s="735"/>
      <c r="K783" s="735">
        <f>SUM(C783:J783)</f>
        <v>3600.45</v>
      </c>
      <c r="L783" s="735">
        <v>1000</v>
      </c>
      <c r="M783" s="735"/>
      <c r="N783" s="735">
        <f>SUM(L783:M783)</f>
        <v>1000</v>
      </c>
      <c r="O783" s="735">
        <f>(K783*12)+N783</f>
        <v>44205.399999999994</v>
      </c>
      <c r="P783" s="735">
        <f>B783*O783</f>
        <v>44205.399999999994</v>
      </c>
      <c r="Q783" s="711">
        <v>1</v>
      </c>
      <c r="R783" s="735">
        <v>3600.45</v>
      </c>
      <c r="S783" s="735"/>
      <c r="T783" s="735"/>
      <c r="U783" s="735"/>
      <c r="V783" s="735"/>
      <c r="W783" s="735"/>
      <c r="X783" s="735"/>
      <c r="Y783" s="735"/>
      <c r="Z783" s="735">
        <f>SUM(R783:Y783)</f>
        <v>3600.45</v>
      </c>
      <c r="AA783" s="735">
        <v>1000</v>
      </c>
      <c r="AB783" s="735"/>
      <c r="AC783" s="735">
        <f>SUM(AA783:AB783)</f>
        <v>1000</v>
      </c>
      <c r="AD783" s="735">
        <f>(Z783*12)+AC783</f>
        <v>44205.399999999994</v>
      </c>
      <c r="AE783" s="735">
        <f>Q783*AD783</f>
        <v>44205.399999999994</v>
      </c>
      <c r="AF783" s="735">
        <f t="shared" si="572"/>
        <v>0</v>
      </c>
      <c r="AG783" s="824">
        <f t="shared" si="586"/>
        <v>0</v>
      </c>
      <c r="AH783" s="711">
        <v>1</v>
      </c>
      <c r="AI783" s="735">
        <f>(AE783*12)+AH783</f>
        <v>530465.79999999993</v>
      </c>
    </row>
    <row r="784" spans="1:35" x14ac:dyDescent="0.2">
      <c r="A784" s="873" t="s">
        <v>756</v>
      </c>
      <c r="B784" s="722">
        <f>SUM(B785:B790)</f>
        <v>6</v>
      </c>
      <c r="C784" s="784">
        <f>SUM(C785:C790)</f>
        <v>24963.119999999999</v>
      </c>
      <c r="D784" s="784"/>
      <c r="E784" s="784">
        <f t="shared" ref="E784:L784" si="593">SUM(E785:E790)</f>
        <v>0</v>
      </c>
      <c r="F784" s="784">
        <f t="shared" si="593"/>
        <v>0</v>
      </c>
      <c r="G784" s="784">
        <f t="shared" si="593"/>
        <v>0</v>
      </c>
      <c r="H784" s="784">
        <f t="shared" si="593"/>
        <v>0</v>
      </c>
      <c r="I784" s="784">
        <f t="shared" si="593"/>
        <v>0</v>
      </c>
      <c r="J784" s="784">
        <f t="shared" si="593"/>
        <v>6470</v>
      </c>
      <c r="K784" s="784">
        <f t="shared" si="593"/>
        <v>31433.119999999999</v>
      </c>
      <c r="L784" s="784">
        <f t="shared" si="593"/>
        <v>6000</v>
      </c>
      <c r="M784" s="784"/>
      <c r="N784" s="784">
        <f>SUM(L784:M784)</f>
        <v>6000</v>
      </c>
      <c r="O784" s="784">
        <f>SUM(O785:O790)</f>
        <v>383197.43999999994</v>
      </c>
      <c r="P784" s="784">
        <f>SUM(P785:P790)</f>
        <v>383197.43999999994</v>
      </c>
      <c r="Q784" s="722">
        <f>SUM(Q785:Q790)</f>
        <v>6</v>
      </c>
      <c r="R784" s="784">
        <f>SUM(R785:R790)</f>
        <v>24963.119999999999</v>
      </c>
      <c r="S784" s="784"/>
      <c r="T784" s="784">
        <f t="shared" ref="T784:AA784" si="594">SUM(T785:T790)</f>
        <v>0</v>
      </c>
      <c r="U784" s="784">
        <f t="shared" si="594"/>
        <v>0</v>
      </c>
      <c r="V784" s="784">
        <f t="shared" si="594"/>
        <v>0</v>
      </c>
      <c r="W784" s="784">
        <f t="shared" si="594"/>
        <v>0</v>
      </c>
      <c r="X784" s="784">
        <f t="shared" si="594"/>
        <v>0</v>
      </c>
      <c r="Y784" s="784">
        <f t="shared" si="594"/>
        <v>6470</v>
      </c>
      <c r="Z784" s="784">
        <f t="shared" si="594"/>
        <v>31433.119999999999</v>
      </c>
      <c r="AA784" s="784">
        <f t="shared" si="594"/>
        <v>6000</v>
      </c>
      <c r="AB784" s="784"/>
      <c r="AC784" s="784">
        <f>SUM(AA784:AB784)</f>
        <v>6000</v>
      </c>
      <c r="AD784" s="784">
        <f>SUM(AD785:AD790)</f>
        <v>383197.43999999994</v>
      </c>
      <c r="AE784" s="784">
        <f>SUM(AE785:AE790)</f>
        <v>383197.43999999994</v>
      </c>
      <c r="AF784" s="784">
        <f t="shared" ref="AF784:AG784" si="595">SUM(AF785:AF790)</f>
        <v>0</v>
      </c>
      <c r="AG784" s="786">
        <f t="shared" si="595"/>
        <v>0</v>
      </c>
      <c r="AH784" s="722">
        <f>SUM(AH785:AH790)</f>
        <v>6</v>
      </c>
      <c r="AI784" s="784">
        <f>SUM(AI785:AI790)</f>
        <v>4598375.2799999993</v>
      </c>
    </row>
    <row r="785" spans="1:35" x14ac:dyDescent="0.2">
      <c r="A785" s="704"/>
      <c r="B785" s="711">
        <v>1</v>
      </c>
      <c r="C785" s="735">
        <v>4160.5199999999995</v>
      </c>
      <c r="D785" s="735"/>
      <c r="E785" s="735"/>
      <c r="F785" s="735"/>
      <c r="G785" s="735"/>
      <c r="H785" s="735"/>
      <c r="I785" s="735"/>
      <c r="J785" s="735">
        <v>670</v>
      </c>
      <c r="K785" s="735">
        <f t="shared" ref="K785:K790" si="596">SUM(C785:J785)</f>
        <v>4830.5199999999995</v>
      </c>
      <c r="L785" s="735">
        <v>1000</v>
      </c>
      <c r="M785" s="735"/>
      <c r="N785" s="735">
        <f t="shared" ref="N785:N790" si="597">SUM(L785:M785)</f>
        <v>1000</v>
      </c>
      <c r="O785" s="735">
        <f t="shared" ref="O785:O790" si="598">(K785*12)+N785</f>
        <v>58966.239999999991</v>
      </c>
      <c r="P785" s="735">
        <f t="shared" ref="P785:P790" si="599">B785*O785</f>
        <v>58966.239999999991</v>
      </c>
      <c r="Q785" s="711">
        <v>1</v>
      </c>
      <c r="R785" s="735">
        <v>4160.5199999999995</v>
      </c>
      <c r="S785" s="735"/>
      <c r="T785" s="735"/>
      <c r="U785" s="735"/>
      <c r="V785" s="735"/>
      <c r="W785" s="735"/>
      <c r="X785" s="735"/>
      <c r="Y785" s="735">
        <v>670</v>
      </c>
      <c r="Z785" s="735">
        <f t="shared" ref="Z785:Z790" si="600">SUM(R785:Y785)</f>
        <v>4830.5199999999995</v>
      </c>
      <c r="AA785" s="735">
        <v>1000</v>
      </c>
      <c r="AB785" s="735"/>
      <c r="AC785" s="735">
        <f t="shared" ref="AC785:AC790" si="601">SUM(AA785:AB785)</f>
        <v>1000</v>
      </c>
      <c r="AD785" s="735">
        <f t="shared" ref="AD785:AD790" si="602">(Z785*12)+AC785</f>
        <v>58966.239999999991</v>
      </c>
      <c r="AE785" s="735">
        <f t="shared" ref="AE785:AE790" si="603">Q785*AD785</f>
        <v>58966.239999999991</v>
      </c>
      <c r="AF785" s="735">
        <f t="shared" si="572"/>
        <v>0</v>
      </c>
      <c r="AG785" s="824">
        <f t="shared" si="586"/>
        <v>0</v>
      </c>
      <c r="AH785" s="711">
        <v>1</v>
      </c>
      <c r="AI785" s="735">
        <f t="shared" ref="AI785:AI790" si="604">(AE785*12)+AH785</f>
        <v>707595.87999999989</v>
      </c>
    </row>
    <row r="786" spans="1:35" x14ac:dyDescent="0.2">
      <c r="A786" s="704"/>
      <c r="B786" s="711">
        <v>1</v>
      </c>
      <c r="C786" s="735">
        <v>4160.5199999999995</v>
      </c>
      <c r="D786" s="735"/>
      <c r="E786" s="735"/>
      <c r="F786" s="735"/>
      <c r="G786" s="735"/>
      <c r="H786" s="735"/>
      <c r="I786" s="735"/>
      <c r="J786" s="735">
        <v>1500</v>
      </c>
      <c r="K786" s="735">
        <f t="shared" si="596"/>
        <v>5660.5199999999995</v>
      </c>
      <c r="L786" s="735">
        <v>1000</v>
      </c>
      <c r="M786" s="735"/>
      <c r="N786" s="735">
        <f t="shared" si="597"/>
        <v>1000</v>
      </c>
      <c r="O786" s="735">
        <f t="shared" si="598"/>
        <v>68926.239999999991</v>
      </c>
      <c r="P786" s="735">
        <f t="shared" si="599"/>
        <v>68926.239999999991</v>
      </c>
      <c r="Q786" s="711">
        <v>1</v>
      </c>
      <c r="R786" s="735">
        <v>4160.5199999999995</v>
      </c>
      <c r="S786" s="735"/>
      <c r="T786" s="735"/>
      <c r="U786" s="735"/>
      <c r="V786" s="735"/>
      <c r="W786" s="735"/>
      <c r="X786" s="735"/>
      <c r="Y786" s="735">
        <v>1500</v>
      </c>
      <c r="Z786" s="735">
        <f t="shared" si="600"/>
        <v>5660.5199999999995</v>
      </c>
      <c r="AA786" s="735">
        <v>1000</v>
      </c>
      <c r="AB786" s="735"/>
      <c r="AC786" s="735">
        <f t="shared" si="601"/>
        <v>1000</v>
      </c>
      <c r="AD786" s="735">
        <f t="shared" si="602"/>
        <v>68926.239999999991</v>
      </c>
      <c r="AE786" s="735">
        <f t="shared" si="603"/>
        <v>68926.239999999991</v>
      </c>
      <c r="AF786" s="735">
        <f t="shared" si="572"/>
        <v>0</v>
      </c>
      <c r="AG786" s="824">
        <f t="shared" si="586"/>
        <v>0</v>
      </c>
      <c r="AH786" s="711">
        <v>1</v>
      </c>
      <c r="AI786" s="735">
        <f t="shared" si="604"/>
        <v>827115.87999999989</v>
      </c>
    </row>
    <row r="787" spans="1:35" x14ac:dyDescent="0.2">
      <c r="A787" s="704"/>
      <c r="B787" s="711">
        <v>1</v>
      </c>
      <c r="C787" s="735">
        <v>4160.5199999999995</v>
      </c>
      <c r="D787" s="735"/>
      <c r="E787" s="735"/>
      <c r="F787" s="735"/>
      <c r="G787" s="735"/>
      <c r="H787" s="735"/>
      <c r="I787" s="735"/>
      <c r="J787" s="735">
        <v>900</v>
      </c>
      <c r="K787" s="735">
        <f t="shared" si="596"/>
        <v>5060.5199999999995</v>
      </c>
      <c r="L787" s="735">
        <v>1000</v>
      </c>
      <c r="M787" s="735"/>
      <c r="N787" s="735">
        <f t="shared" si="597"/>
        <v>1000</v>
      </c>
      <c r="O787" s="735">
        <f t="shared" si="598"/>
        <v>61726.239999999991</v>
      </c>
      <c r="P787" s="735">
        <f t="shared" si="599"/>
        <v>61726.239999999991</v>
      </c>
      <c r="Q787" s="711">
        <v>1</v>
      </c>
      <c r="R787" s="735">
        <v>4160.5199999999995</v>
      </c>
      <c r="S787" s="735"/>
      <c r="T787" s="735"/>
      <c r="U787" s="735"/>
      <c r="V787" s="735"/>
      <c r="W787" s="735"/>
      <c r="X787" s="735"/>
      <c r="Y787" s="735">
        <v>900</v>
      </c>
      <c r="Z787" s="735">
        <f t="shared" si="600"/>
        <v>5060.5199999999995</v>
      </c>
      <c r="AA787" s="735">
        <v>1000</v>
      </c>
      <c r="AB787" s="735"/>
      <c r="AC787" s="735">
        <f t="shared" si="601"/>
        <v>1000</v>
      </c>
      <c r="AD787" s="735">
        <f t="shared" si="602"/>
        <v>61726.239999999991</v>
      </c>
      <c r="AE787" s="735">
        <f t="shared" si="603"/>
        <v>61726.239999999991</v>
      </c>
      <c r="AF787" s="735">
        <f t="shared" si="572"/>
        <v>0</v>
      </c>
      <c r="AG787" s="824">
        <f t="shared" si="586"/>
        <v>0</v>
      </c>
      <c r="AH787" s="711">
        <v>1</v>
      </c>
      <c r="AI787" s="735">
        <f t="shared" si="604"/>
        <v>740715.87999999989</v>
      </c>
    </row>
    <row r="788" spans="1:35" x14ac:dyDescent="0.2">
      <c r="A788" s="704"/>
      <c r="B788" s="711">
        <v>1</v>
      </c>
      <c r="C788" s="735">
        <v>4160.5199999999995</v>
      </c>
      <c r="D788" s="735"/>
      <c r="E788" s="735"/>
      <c r="F788" s="735"/>
      <c r="G788" s="735"/>
      <c r="H788" s="735"/>
      <c r="I788" s="735"/>
      <c r="J788" s="735">
        <v>500</v>
      </c>
      <c r="K788" s="735">
        <f t="shared" si="596"/>
        <v>4660.5199999999995</v>
      </c>
      <c r="L788" s="735">
        <v>1000</v>
      </c>
      <c r="M788" s="735"/>
      <c r="N788" s="735">
        <f t="shared" si="597"/>
        <v>1000</v>
      </c>
      <c r="O788" s="735">
        <f t="shared" si="598"/>
        <v>56926.239999999991</v>
      </c>
      <c r="P788" s="735">
        <f t="shared" si="599"/>
        <v>56926.239999999991</v>
      </c>
      <c r="Q788" s="711">
        <v>1</v>
      </c>
      <c r="R788" s="735">
        <v>4160.5199999999995</v>
      </c>
      <c r="S788" s="735"/>
      <c r="T788" s="735"/>
      <c r="U788" s="735"/>
      <c r="V788" s="735"/>
      <c r="W788" s="735"/>
      <c r="X788" s="735"/>
      <c r="Y788" s="735">
        <v>500</v>
      </c>
      <c r="Z788" s="735">
        <f t="shared" si="600"/>
        <v>4660.5199999999995</v>
      </c>
      <c r="AA788" s="735">
        <v>1000</v>
      </c>
      <c r="AB788" s="735"/>
      <c r="AC788" s="735">
        <f t="shared" si="601"/>
        <v>1000</v>
      </c>
      <c r="AD788" s="735">
        <f t="shared" si="602"/>
        <v>56926.239999999991</v>
      </c>
      <c r="AE788" s="735">
        <f t="shared" si="603"/>
        <v>56926.239999999991</v>
      </c>
      <c r="AF788" s="735">
        <f t="shared" si="572"/>
        <v>0</v>
      </c>
      <c r="AG788" s="824">
        <f t="shared" si="586"/>
        <v>0</v>
      </c>
      <c r="AH788" s="711">
        <v>1</v>
      </c>
      <c r="AI788" s="735">
        <f t="shared" si="604"/>
        <v>683115.87999999989</v>
      </c>
    </row>
    <row r="789" spans="1:35" x14ac:dyDescent="0.2">
      <c r="A789" s="704"/>
      <c r="B789" s="711">
        <v>1</v>
      </c>
      <c r="C789" s="735">
        <v>4160.5199999999995</v>
      </c>
      <c r="D789" s="735"/>
      <c r="E789" s="735"/>
      <c r="F789" s="735"/>
      <c r="G789" s="735"/>
      <c r="H789" s="735"/>
      <c r="I789" s="735"/>
      <c r="J789" s="735">
        <v>2500</v>
      </c>
      <c r="K789" s="735">
        <f t="shared" si="596"/>
        <v>6660.5199999999995</v>
      </c>
      <c r="L789" s="735">
        <v>1000</v>
      </c>
      <c r="M789" s="735"/>
      <c r="N789" s="735">
        <f t="shared" si="597"/>
        <v>1000</v>
      </c>
      <c r="O789" s="735">
        <f t="shared" si="598"/>
        <v>80926.239999999991</v>
      </c>
      <c r="P789" s="735">
        <f t="shared" si="599"/>
        <v>80926.239999999991</v>
      </c>
      <c r="Q789" s="711">
        <v>1</v>
      </c>
      <c r="R789" s="735">
        <v>4160.5199999999995</v>
      </c>
      <c r="S789" s="735"/>
      <c r="T789" s="735"/>
      <c r="U789" s="735"/>
      <c r="V789" s="735"/>
      <c r="W789" s="735"/>
      <c r="X789" s="735"/>
      <c r="Y789" s="735">
        <v>2500</v>
      </c>
      <c r="Z789" s="735">
        <f t="shared" si="600"/>
        <v>6660.5199999999995</v>
      </c>
      <c r="AA789" s="735">
        <v>1000</v>
      </c>
      <c r="AB789" s="735"/>
      <c r="AC789" s="735">
        <f t="shared" si="601"/>
        <v>1000</v>
      </c>
      <c r="AD789" s="735">
        <f t="shared" si="602"/>
        <v>80926.239999999991</v>
      </c>
      <c r="AE789" s="735">
        <f t="shared" si="603"/>
        <v>80926.239999999991</v>
      </c>
      <c r="AF789" s="735">
        <f t="shared" si="572"/>
        <v>0</v>
      </c>
      <c r="AG789" s="824">
        <f t="shared" si="586"/>
        <v>0</v>
      </c>
      <c r="AH789" s="711">
        <v>1</v>
      </c>
      <c r="AI789" s="735">
        <f t="shared" si="604"/>
        <v>971115.87999999989</v>
      </c>
    </row>
    <row r="790" spans="1:35" x14ac:dyDescent="0.2">
      <c r="A790" s="704"/>
      <c r="B790" s="711">
        <v>1</v>
      </c>
      <c r="C790" s="735">
        <v>4160.5199999999995</v>
      </c>
      <c r="D790" s="735"/>
      <c r="E790" s="735"/>
      <c r="F790" s="735"/>
      <c r="G790" s="735"/>
      <c r="H790" s="735"/>
      <c r="I790" s="735"/>
      <c r="J790" s="735">
        <v>400</v>
      </c>
      <c r="K790" s="735">
        <f t="shared" si="596"/>
        <v>4560.5199999999995</v>
      </c>
      <c r="L790" s="735">
        <v>1000</v>
      </c>
      <c r="M790" s="735"/>
      <c r="N790" s="735">
        <f t="shared" si="597"/>
        <v>1000</v>
      </c>
      <c r="O790" s="735">
        <f t="shared" si="598"/>
        <v>55726.239999999991</v>
      </c>
      <c r="P790" s="735">
        <f t="shared" si="599"/>
        <v>55726.239999999991</v>
      </c>
      <c r="Q790" s="711">
        <v>1</v>
      </c>
      <c r="R790" s="735">
        <v>4160.5199999999995</v>
      </c>
      <c r="S790" s="735"/>
      <c r="T790" s="735"/>
      <c r="U790" s="735"/>
      <c r="V790" s="735"/>
      <c r="W790" s="735"/>
      <c r="X790" s="735"/>
      <c r="Y790" s="735">
        <v>400</v>
      </c>
      <c r="Z790" s="735">
        <f t="shared" si="600"/>
        <v>4560.5199999999995</v>
      </c>
      <c r="AA790" s="735">
        <v>1000</v>
      </c>
      <c r="AB790" s="735"/>
      <c r="AC790" s="735">
        <f t="shared" si="601"/>
        <v>1000</v>
      </c>
      <c r="AD790" s="735">
        <f t="shared" si="602"/>
        <v>55726.239999999991</v>
      </c>
      <c r="AE790" s="735">
        <f t="shared" si="603"/>
        <v>55726.239999999991</v>
      </c>
      <c r="AF790" s="735">
        <f t="shared" si="572"/>
        <v>0</v>
      </c>
      <c r="AG790" s="824">
        <f t="shared" si="586"/>
        <v>0</v>
      </c>
      <c r="AH790" s="711">
        <v>1</v>
      </c>
      <c r="AI790" s="735">
        <f t="shared" si="604"/>
        <v>668715.87999999989</v>
      </c>
    </row>
    <row r="791" spans="1:35" x14ac:dyDescent="0.2">
      <c r="A791" s="873" t="s">
        <v>757</v>
      </c>
      <c r="B791" s="722">
        <f>SUM(B792:B792)</f>
        <v>2</v>
      </c>
      <c r="C791" s="784">
        <f>SUM(C792)</f>
        <v>6240.78</v>
      </c>
      <c r="D791" s="784">
        <f t="shared" ref="D791:L791" si="605">SUM(D792)</f>
        <v>0</v>
      </c>
      <c r="E791" s="784">
        <f t="shared" si="605"/>
        <v>0</v>
      </c>
      <c r="F791" s="784">
        <f t="shared" si="605"/>
        <v>0</v>
      </c>
      <c r="G791" s="784">
        <f t="shared" si="605"/>
        <v>0</v>
      </c>
      <c r="H791" s="784">
        <f t="shared" si="605"/>
        <v>0</v>
      </c>
      <c r="I791" s="784">
        <f t="shared" si="605"/>
        <v>0</v>
      </c>
      <c r="J791" s="784">
        <f t="shared" si="605"/>
        <v>0</v>
      </c>
      <c r="K791" s="784">
        <f t="shared" si="605"/>
        <v>6240.78</v>
      </c>
      <c r="L791" s="784">
        <f t="shared" si="605"/>
        <v>2000</v>
      </c>
      <c r="M791" s="784"/>
      <c r="N791" s="784">
        <f>SUM(L791:M791)</f>
        <v>2000</v>
      </c>
      <c r="O791" s="784">
        <f>(K791*12)+N791</f>
        <v>76889.36</v>
      </c>
      <c r="P791" s="784">
        <f>O791</f>
        <v>76889.36</v>
      </c>
      <c r="Q791" s="722">
        <f>SUM(Q792:Q792)</f>
        <v>2</v>
      </c>
      <c r="R791" s="784">
        <f>SUM(R792)</f>
        <v>6240.78</v>
      </c>
      <c r="S791" s="784">
        <f t="shared" ref="S791:AA791" si="606">SUM(S792)</f>
        <v>0</v>
      </c>
      <c r="T791" s="784">
        <f t="shared" si="606"/>
        <v>0</v>
      </c>
      <c r="U791" s="784">
        <f t="shared" si="606"/>
        <v>0</v>
      </c>
      <c r="V791" s="784">
        <f t="shared" si="606"/>
        <v>0</v>
      </c>
      <c r="W791" s="784">
        <f t="shared" si="606"/>
        <v>0</v>
      </c>
      <c r="X791" s="784">
        <f t="shared" si="606"/>
        <v>0</v>
      </c>
      <c r="Y791" s="784">
        <f t="shared" si="606"/>
        <v>0</v>
      </c>
      <c r="Z791" s="784">
        <f t="shared" si="606"/>
        <v>6240.78</v>
      </c>
      <c r="AA791" s="784">
        <f t="shared" si="606"/>
        <v>2000</v>
      </c>
      <c r="AB791" s="784"/>
      <c r="AC791" s="784">
        <f>SUM(AA791:AB791)</f>
        <v>2000</v>
      </c>
      <c r="AD791" s="784">
        <f>(Z791*12)+AC791</f>
        <v>76889.36</v>
      </c>
      <c r="AE791" s="784">
        <f>AD791</f>
        <v>76889.36</v>
      </c>
      <c r="AF791" s="784">
        <f>SUM(AF792)</f>
        <v>0</v>
      </c>
      <c r="AG791" s="786">
        <f>SUM(AG792)</f>
        <v>0</v>
      </c>
      <c r="AH791" s="722">
        <f>SUM(AH792:AH792)</f>
        <v>2</v>
      </c>
      <c r="AI791" s="784">
        <f>(AE791*12)+AH791</f>
        <v>922674.32000000007</v>
      </c>
    </row>
    <row r="792" spans="1:35" x14ac:dyDescent="0.2">
      <c r="A792" s="704"/>
      <c r="B792" s="711">
        <v>2</v>
      </c>
      <c r="C792" s="735">
        <f>3120.39*B792</f>
        <v>6240.78</v>
      </c>
      <c r="D792" s="735"/>
      <c r="E792" s="735"/>
      <c r="F792" s="735"/>
      <c r="G792" s="735"/>
      <c r="H792" s="735"/>
      <c r="I792" s="735"/>
      <c r="J792" s="735"/>
      <c r="K792" s="735">
        <f t="shared" ref="K792" si="607">SUM(C792:J792)</f>
        <v>6240.78</v>
      </c>
      <c r="L792" s="735">
        <v>2000</v>
      </c>
      <c r="M792" s="735"/>
      <c r="N792" s="735">
        <f t="shared" ref="N792" si="608">SUM(L792:M792)</f>
        <v>2000</v>
      </c>
      <c r="O792" s="735">
        <f t="shared" ref="O792" si="609">(K792*12)+N792</f>
        <v>76889.36</v>
      </c>
      <c r="P792" s="735">
        <f>O792</f>
        <v>76889.36</v>
      </c>
      <c r="Q792" s="711">
        <v>2</v>
      </c>
      <c r="R792" s="735">
        <f>3120.39*Q792</f>
        <v>6240.78</v>
      </c>
      <c r="S792" s="735"/>
      <c r="T792" s="735"/>
      <c r="U792" s="735"/>
      <c r="V792" s="735"/>
      <c r="W792" s="735"/>
      <c r="X792" s="735"/>
      <c r="Y792" s="735"/>
      <c r="Z792" s="735">
        <f t="shared" ref="Z792" si="610">SUM(R792:Y792)</f>
        <v>6240.78</v>
      </c>
      <c r="AA792" s="735">
        <v>2000</v>
      </c>
      <c r="AB792" s="735"/>
      <c r="AC792" s="735">
        <f t="shared" ref="AC792" si="611">SUM(AA792:AB792)</f>
        <v>2000</v>
      </c>
      <c r="AD792" s="735">
        <f t="shared" ref="AD792" si="612">(Z792*12)+AC792</f>
        <v>76889.36</v>
      </c>
      <c r="AE792" s="735">
        <f>AD792</f>
        <v>76889.36</v>
      </c>
      <c r="AF792" s="735">
        <f t="shared" si="572"/>
        <v>0</v>
      </c>
      <c r="AG792" s="824">
        <f t="shared" si="586"/>
        <v>0</v>
      </c>
      <c r="AH792" s="711">
        <v>2</v>
      </c>
      <c r="AI792" s="735">
        <f t="shared" ref="AI792" si="613">(AE792*12)+AH792</f>
        <v>922674.32000000007</v>
      </c>
    </row>
    <row r="793" spans="1:35" x14ac:dyDescent="0.2">
      <c r="A793" s="873" t="s">
        <v>759</v>
      </c>
      <c r="B793" s="722">
        <f>SUM(B794:B833)</f>
        <v>40</v>
      </c>
      <c r="C793" s="784">
        <f>SUM(C794:C833)</f>
        <v>153619.20000000001</v>
      </c>
      <c r="D793" s="784"/>
      <c r="E793" s="784">
        <f t="shared" ref="E793:L793" si="614">SUM(E794:E833)</f>
        <v>0</v>
      </c>
      <c r="F793" s="784">
        <f t="shared" si="614"/>
        <v>0</v>
      </c>
      <c r="G793" s="784">
        <f t="shared" si="614"/>
        <v>0</v>
      </c>
      <c r="H793" s="784">
        <f t="shared" si="614"/>
        <v>0</v>
      </c>
      <c r="I793" s="784">
        <f t="shared" si="614"/>
        <v>0</v>
      </c>
      <c r="J793" s="784">
        <f t="shared" si="614"/>
        <v>28610</v>
      </c>
      <c r="K793" s="784">
        <f>SUM(K794:K833)</f>
        <v>182229.20000000004</v>
      </c>
      <c r="L793" s="784">
        <f t="shared" si="614"/>
        <v>40000</v>
      </c>
      <c r="M793" s="784"/>
      <c r="N793" s="784">
        <f>SUM(L793:M793)</f>
        <v>40000</v>
      </c>
      <c r="O793" s="784">
        <f>SUM(O794:O833)</f>
        <v>2226750.3999999994</v>
      </c>
      <c r="P793" s="784">
        <f>SUM(P794:P833)</f>
        <v>2226750.3999999994</v>
      </c>
      <c r="Q793" s="722">
        <f>SUM(Q794:Q833)</f>
        <v>40</v>
      </c>
      <c r="R793" s="784">
        <f>SUM(R794:R833)</f>
        <v>153619.20000000001</v>
      </c>
      <c r="S793" s="784"/>
      <c r="T793" s="784">
        <f t="shared" ref="T793:Y793" si="615">SUM(T794:T833)</f>
        <v>0</v>
      </c>
      <c r="U793" s="784">
        <f t="shared" si="615"/>
        <v>0</v>
      </c>
      <c r="V793" s="784">
        <f t="shared" si="615"/>
        <v>0</v>
      </c>
      <c r="W793" s="784">
        <f t="shared" si="615"/>
        <v>0</v>
      </c>
      <c r="X793" s="784">
        <f t="shared" si="615"/>
        <v>0</v>
      </c>
      <c r="Y793" s="784">
        <f t="shared" si="615"/>
        <v>28610</v>
      </c>
      <c r="Z793" s="784">
        <f>SUM(Z794:Z833)</f>
        <v>182229.20000000004</v>
      </c>
      <c r="AA793" s="784">
        <f t="shared" ref="AA793" si="616">SUM(AA794:AA833)</f>
        <v>40000</v>
      </c>
      <c r="AB793" s="784"/>
      <c r="AC793" s="784">
        <f>SUM(AA793:AB793)</f>
        <v>40000</v>
      </c>
      <c r="AD793" s="784">
        <f>SUM(AD794:AD833)</f>
        <v>2226750.3999999994</v>
      </c>
      <c r="AE793" s="784">
        <f>SUM(AE794:AE833)</f>
        <v>2226750.3999999994</v>
      </c>
      <c r="AF793" s="784">
        <f t="shared" ref="AF793:AG793" si="617">SUM(AF794:AF833)</f>
        <v>0</v>
      </c>
      <c r="AG793" s="786">
        <f t="shared" si="617"/>
        <v>0</v>
      </c>
      <c r="AH793" s="722">
        <f>SUM(AH794:AH833)</f>
        <v>40</v>
      </c>
      <c r="AI793" s="784">
        <f>SUM(AI794:AI833)</f>
        <v>26721044.800000004</v>
      </c>
    </row>
    <row r="794" spans="1:35" x14ac:dyDescent="0.2">
      <c r="A794" s="704"/>
      <c r="B794" s="711">
        <v>1</v>
      </c>
      <c r="C794" s="735">
        <v>3840.48</v>
      </c>
      <c r="D794" s="735"/>
      <c r="E794" s="735"/>
      <c r="F794" s="735"/>
      <c r="G794" s="735"/>
      <c r="H794" s="735"/>
      <c r="I794" s="735"/>
      <c r="J794" s="735">
        <v>1500</v>
      </c>
      <c r="K794" s="735">
        <f>SUM(C794:J794)</f>
        <v>5340.48</v>
      </c>
      <c r="L794" s="735">
        <v>1000</v>
      </c>
      <c r="M794" s="735"/>
      <c r="N794" s="735">
        <f t="shared" ref="N794:N857" si="618">SUM(L794:M794)</f>
        <v>1000</v>
      </c>
      <c r="O794" s="735">
        <f t="shared" ref="O794:O857" si="619">(K794*12)+N794</f>
        <v>65085.759999999995</v>
      </c>
      <c r="P794" s="735">
        <f t="shared" ref="P794:P857" si="620">B794*O794</f>
        <v>65085.759999999995</v>
      </c>
      <c r="Q794" s="711">
        <v>1</v>
      </c>
      <c r="R794" s="735">
        <v>3840.48</v>
      </c>
      <c r="S794" s="735"/>
      <c r="T794" s="735"/>
      <c r="U794" s="735"/>
      <c r="V794" s="735"/>
      <c r="W794" s="735"/>
      <c r="X794" s="735"/>
      <c r="Y794" s="735">
        <v>1500</v>
      </c>
      <c r="Z794" s="735">
        <f>SUM(R794:Y794)</f>
        <v>5340.48</v>
      </c>
      <c r="AA794" s="735">
        <v>1000</v>
      </c>
      <c r="AB794" s="735"/>
      <c r="AC794" s="735">
        <f t="shared" ref="AC794:AC833" si="621">SUM(AA794:AB794)</f>
        <v>1000</v>
      </c>
      <c r="AD794" s="735">
        <f t="shared" ref="AD794:AD833" si="622">(Z794*12)+AC794</f>
        <v>65085.759999999995</v>
      </c>
      <c r="AE794" s="735">
        <f t="shared" ref="AE794:AE833" si="623">Q794*AD794</f>
        <v>65085.759999999995</v>
      </c>
      <c r="AF794" s="735">
        <f t="shared" si="572"/>
        <v>0</v>
      </c>
      <c r="AG794" s="824">
        <f t="shared" si="586"/>
        <v>0</v>
      </c>
      <c r="AH794" s="711">
        <v>1</v>
      </c>
      <c r="AI794" s="735">
        <f t="shared" ref="AI794:AI833" si="624">(AE794*12)+AH794</f>
        <v>781030.11999999988</v>
      </c>
    </row>
    <row r="795" spans="1:35" x14ac:dyDescent="0.2">
      <c r="A795" s="704"/>
      <c r="B795" s="711">
        <v>1</v>
      </c>
      <c r="C795" s="735">
        <v>3840.48</v>
      </c>
      <c r="D795" s="735"/>
      <c r="E795" s="735"/>
      <c r="F795" s="735"/>
      <c r="G795" s="735"/>
      <c r="H795" s="735"/>
      <c r="I795" s="735"/>
      <c r="J795" s="735">
        <v>240</v>
      </c>
      <c r="K795" s="735">
        <f t="shared" ref="K795:K858" si="625">SUM(C795:J795)</f>
        <v>4080.48</v>
      </c>
      <c r="L795" s="735">
        <v>1000</v>
      </c>
      <c r="M795" s="735"/>
      <c r="N795" s="735">
        <f t="shared" si="618"/>
        <v>1000</v>
      </c>
      <c r="O795" s="735">
        <f t="shared" si="619"/>
        <v>49965.760000000002</v>
      </c>
      <c r="P795" s="735">
        <f t="shared" si="620"/>
        <v>49965.760000000002</v>
      </c>
      <c r="Q795" s="711">
        <v>1</v>
      </c>
      <c r="R795" s="735">
        <v>3840.48</v>
      </c>
      <c r="S795" s="735"/>
      <c r="T795" s="735"/>
      <c r="U795" s="735"/>
      <c r="V795" s="735"/>
      <c r="W795" s="735"/>
      <c r="X795" s="735"/>
      <c r="Y795" s="735">
        <v>240</v>
      </c>
      <c r="Z795" s="735">
        <f t="shared" ref="Z795:Z833" si="626">SUM(R795:Y795)</f>
        <v>4080.48</v>
      </c>
      <c r="AA795" s="735">
        <v>1000</v>
      </c>
      <c r="AB795" s="735"/>
      <c r="AC795" s="735">
        <f t="shared" si="621"/>
        <v>1000</v>
      </c>
      <c r="AD795" s="735">
        <f t="shared" si="622"/>
        <v>49965.760000000002</v>
      </c>
      <c r="AE795" s="735">
        <f t="shared" si="623"/>
        <v>49965.760000000002</v>
      </c>
      <c r="AF795" s="735">
        <f t="shared" si="572"/>
        <v>0</v>
      </c>
      <c r="AG795" s="824">
        <f t="shared" si="586"/>
        <v>0</v>
      </c>
      <c r="AH795" s="711">
        <v>1</v>
      </c>
      <c r="AI795" s="735">
        <f t="shared" si="624"/>
        <v>599590.12</v>
      </c>
    </row>
    <row r="796" spans="1:35" x14ac:dyDescent="0.2">
      <c r="A796" s="704"/>
      <c r="B796" s="711">
        <v>1</v>
      </c>
      <c r="C796" s="735">
        <v>3840.48</v>
      </c>
      <c r="D796" s="735"/>
      <c r="E796" s="735"/>
      <c r="F796" s="735"/>
      <c r="G796" s="735"/>
      <c r="H796" s="735"/>
      <c r="I796" s="735"/>
      <c r="J796" s="735">
        <v>240</v>
      </c>
      <c r="K796" s="735">
        <f t="shared" si="625"/>
        <v>4080.48</v>
      </c>
      <c r="L796" s="735">
        <v>1000</v>
      </c>
      <c r="M796" s="735"/>
      <c r="N796" s="735">
        <f t="shared" si="618"/>
        <v>1000</v>
      </c>
      <c r="O796" s="735">
        <f t="shared" si="619"/>
        <v>49965.760000000002</v>
      </c>
      <c r="P796" s="735">
        <f t="shared" si="620"/>
        <v>49965.760000000002</v>
      </c>
      <c r="Q796" s="711">
        <v>1</v>
      </c>
      <c r="R796" s="735">
        <v>3840.48</v>
      </c>
      <c r="S796" s="735"/>
      <c r="T796" s="735"/>
      <c r="U796" s="735"/>
      <c r="V796" s="735"/>
      <c r="W796" s="735"/>
      <c r="X796" s="735"/>
      <c r="Y796" s="735">
        <v>240</v>
      </c>
      <c r="Z796" s="735">
        <f t="shared" si="626"/>
        <v>4080.48</v>
      </c>
      <c r="AA796" s="735">
        <v>1000</v>
      </c>
      <c r="AB796" s="735"/>
      <c r="AC796" s="735">
        <f t="shared" si="621"/>
        <v>1000</v>
      </c>
      <c r="AD796" s="735">
        <f t="shared" si="622"/>
        <v>49965.760000000002</v>
      </c>
      <c r="AE796" s="735">
        <f t="shared" si="623"/>
        <v>49965.760000000002</v>
      </c>
      <c r="AF796" s="735">
        <f t="shared" si="572"/>
        <v>0</v>
      </c>
      <c r="AG796" s="824">
        <f t="shared" si="586"/>
        <v>0</v>
      </c>
      <c r="AH796" s="711">
        <v>1</v>
      </c>
      <c r="AI796" s="735">
        <f t="shared" si="624"/>
        <v>599590.12</v>
      </c>
    </row>
    <row r="797" spans="1:35" x14ac:dyDescent="0.2">
      <c r="A797" s="704"/>
      <c r="B797" s="711">
        <v>1</v>
      </c>
      <c r="C797" s="735">
        <v>3840.48</v>
      </c>
      <c r="D797" s="735"/>
      <c r="E797" s="735"/>
      <c r="F797" s="735"/>
      <c r="G797" s="735"/>
      <c r="H797" s="735"/>
      <c r="I797" s="735"/>
      <c r="J797" s="735">
        <v>240</v>
      </c>
      <c r="K797" s="735">
        <f t="shared" si="625"/>
        <v>4080.48</v>
      </c>
      <c r="L797" s="735">
        <v>1000</v>
      </c>
      <c r="M797" s="735"/>
      <c r="N797" s="735">
        <f t="shared" si="618"/>
        <v>1000</v>
      </c>
      <c r="O797" s="735">
        <f t="shared" si="619"/>
        <v>49965.760000000002</v>
      </c>
      <c r="P797" s="735">
        <f t="shared" si="620"/>
        <v>49965.760000000002</v>
      </c>
      <c r="Q797" s="711">
        <v>1</v>
      </c>
      <c r="R797" s="735">
        <v>3840.48</v>
      </c>
      <c r="S797" s="735"/>
      <c r="T797" s="735"/>
      <c r="U797" s="735"/>
      <c r="V797" s="735"/>
      <c r="W797" s="735"/>
      <c r="X797" s="735"/>
      <c r="Y797" s="735">
        <v>240</v>
      </c>
      <c r="Z797" s="735">
        <f t="shared" si="626"/>
        <v>4080.48</v>
      </c>
      <c r="AA797" s="735">
        <v>1000</v>
      </c>
      <c r="AB797" s="735"/>
      <c r="AC797" s="735">
        <f t="shared" si="621"/>
        <v>1000</v>
      </c>
      <c r="AD797" s="735">
        <f t="shared" si="622"/>
        <v>49965.760000000002</v>
      </c>
      <c r="AE797" s="735">
        <f t="shared" si="623"/>
        <v>49965.760000000002</v>
      </c>
      <c r="AF797" s="735">
        <f t="shared" si="572"/>
        <v>0</v>
      </c>
      <c r="AG797" s="824">
        <f t="shared" si="586"/>
        <v>0</v>
      </c>
      <c r="AH797" s="711">
        <v>1</v>
      </c>
      <c r="AI797" s="735">
        <f t="shared" si="624"/>
        <v>599590.12</v>
      </c>
    </row>
    <row r="798" spans="1:35" x14ac:dyDescent="0.2">
      <c r="A798" s="704"/>
      <c r="B798" s="711">
        <v>1</v>
      </c>
      <c r="C798" s="735">
        <v>3840.48</v>
      </c>
      <c r="D798" s="735"/>
      <c r="E798" s="735"/>
      <c r="F798" s="735"/>
      <c r="G798" s="735"/>
      <c r="H798" s="735"/>
      <c r="I798" s="735"/>
      <c r="J798" s="735">
        <v>240</v>
      </c>
      <c r="K798" s="735">
        <f t="shared" si="625"/>
        <v>4080.48</v>
      </c>
      <c r="L798" s="735">
        <v>1000</v>
      </c>
      <c r="M798" s="735"/>
      <c r="N798" s="735">
        <f t="shared" si="618"/>
        <v>1000</v>
      </c>
      <c r="O798" s="735">
        <f t="shared" si="619"/>
        <v>49965.760000000002</v>
      </c>
      <c r="P798" s="735">
        <f t="shared" si="620"/>
        <v>49965.760000000002</v>
      </c>
      <c r="Q798" s="711">
        <v>1</v>
      </c>
      <c r="R798" s="735">
        <v>3840.48</v>
      </c>
      <c r="S798" s="735"/>
      <c r="T798" s="735"/>
      <c r="U798" s="735"/>
      <c r="V798" s="735"/>
      <c r="W798" s="735"/>
      <c r="X798" s="735"/>
      <c r="Y798" s="735">
        <v>240</v>
      </c>
      <c r="Z798" s="735">
        <f t="shared" si="626"/>
        <v>4080.48</v>
      </c>
      <c r="AA798" s="735">
        <v>1000</v>
      </c>
      <c r="AB798" s="735"/>
      <c r="AC798" s="735">
        <f t="shared" si="621"/>
        <v>1000</v>
      </c>
      <c r="AD798" s="735">
        <f t="shared" si="622"/>
        <v>49965.760000000002</v>
      </c>
      <c r="AE798" s="735">
        <f t="shared" si="623"/>
        <v>49965.760000000002</v>
      </c>
      <c r="AF798" s="735">
        <f t="shared" si="572"/>
        <v>0</v>
      </c>
      <c r="AG798" s="824">
        <f t="shared" si="586"/>
        <v>0</v>
      </c>
      <c r="AH798" s="711">
        <v>1</v>
      </c>
      <c r="AI798" s="735">
        <f t="shared" si="624"/>
        <v>599590.12</v>
      </c>
    </row>
    <row r="799" spans="1:35" x14ac:dyDescent="0.2">
      <c r="A799" s="704"/>
      <c r="B799" s="711">
        <v>1</v>
      </c>
      <c r="C799" s="735">
        <v>3840.48</v>
      </c>
      <c r="D799" s="735"/>
      <c r="E799" s="735"/>
      <c r="F799" s="735"/>
      <c r="G799" s="735"/>
      <c r="H799" s="735"/>
      <c r="I799" s="735"/>
      <c r="J799" s="735">
        <v>240</v>
      </c>
      <c r="K799" s="735">
        <f t="shared" si="625"/>
        <v>4080.48</v>
      </c>
      <c r="L799" s="735">
        <v>1000</v>
      </c>
      <c r="M799" s="735"/>
      <c r="N799" s="735">
        <f t="shared" si="618"/>
        <v>1000</v>
      </c>
      <c r="O799" s="735">
        <f t="shared" si="619"/>
        <v>49965.760000000002</v>
      </c>
      <c r="P799" s="735">
        <f t="shared" si="620"/>
        <v>49965.760000000002</v>
      </c>
      <c r="Q799" s="711">
        <v>1</v>
      </c>
      <c r="R799" s="735">
        <v>3840.48</v>
      </c>
      <c r="S799" s="735"/>
      <c r="T799" s="735"/>
      <c r="U799" s="735"/>
      <c r="V799" s="735"/>
      <c r="W799" s="735"/>
      <c r="X799" s="735"/>
      <c r="Y799" s="735">
        <v>240</v>
      </c>
      <c r="Z799" s="735">
        <f t="shared" si="626"/>
        <v>4080.48</v>
      </c>
      <c r="AA799" s="735">
        <v>1000</v>
      </c>
      <c r="AB799" s="735"/>
      <c r="AC799" s="735">
        <f t="shared" si="621"/>
        <v>1000</v>
      </c>
      <c r="AD799" s="735">
        <f t="shared" si="622"/>
        <v>49965.760000000002</v>
      </c>
      <c r="AE799" s="735">
        <f t="shared" si="623"/>
        <v>49965.760000000002</v>
      </c>
      <c r="AF799" s="735">
        <f t="shared" si="572"/>
        <v>0</v>
      </c>
      <c r="AG799" s="824">
        <f t="shared" si="586"/>
        <v>0</v>
      </c>
      <c r="AH799" s="711">
        <v>1</v>
      </c>
      <c r="AI799" s="735">
        <f t="shared" si="624"/>
        <v>599590.12</v>
      </c>
    </row>
    <row r="800" spans="1:35" x14ac:dyDescent="0.2">
      <c r="A800" s="704"/>
      <c r="B800" s="711">
        <v>1</v>
      </c>
      <c r="C800" s="735">
        <v>3840.48</v>
      </c>
      <c r="D800" s="735"/>
      <c r="E800" s="735"/>
      <c r="F800" s="735"/>
      <c r="G800" s="735"/>
      <c r="H800" s="735"/>
      <c r="I800" s="735"/>
      <c r="J800" s="735">
        <v>700</v>
      </c>
      <c r="K800" s="735">
        <f t="shared" si="625"/>
        <v>4540.4799999999996</v>
      </c>
      <c r="L800" s="735">
        <v>1000</v>
      </c>
      <c r="M800" s="735"/>
      <c r="N800" s="735">
        <f t="shared" si="618"/>
        <v>1000</v>
      </c>
      <c r="O800" s="735">
        <f t="shared" si="619"/>
        <v>55485.759999999995</v>
      </c>
      <c r="P800" s="735">
        <f t="shared" si="620"/>
        <v>55485.759999999995</v>
      </c>
      <c r="Q800" s="711">
        <v>1</v>
      </c>
      <c r="R800" s="735">
        <v>3840.48</v>
      </c>
      <c r="S800" s="735"/>
      <c r="T800" s="735"/>
      <c r="U800" s="735"/>
      <c r="V800" s="735"/>
      <c r="W800" s="735"/>
      <c r="X800" s="735"/>
      <c r="Y800" s="735">
        <v>700</v>
      </c>
      <c r="Z800" s="735">
        <f t="shared" si="626"/>
        <v>4540.4799999999996</v>
      </c>
      <c r="AA800" s="735">
        <v>1000</v>
      </c>
      <c r="AB800" s="735"/>
      <c r="AC800" s="735">
        <f t="shared" si="621"/>
        <v>1000</v>
      </c>
      <c r="AD800" s="735">
        <f t="shared" si="622"/>
        <v>55485.759999999995</v>
      </c>
      <c r="AE800" s="735">
        <f t="shared" si="623"/>
        <v>55485.759999999995</v>
      </c>
      <c r="AF800" s="735">
        <f t="shared" si="572"/>
        <v>0</v>
      </c>
      <c r="AG800" s="824">
        <f t="shared" si="586"/>
        <v>0</v>
      </c>
      <c r="AH800" s="711">
        <v>1</v>
      </c>
      <c r="AI800" s="735">
        <f t="shared" si="624"/>
        <v>665830.11999999988</v>
      </c>
    </row>
    <row r="801" spans="1:35" x14ac:dyDescent="0.2">
      <c r="A801" s="704"/>
      <c r="B801" s="711">
        <v>1</v>
      </c>
      <c r="C801" s="735">
        <v>3840.48</v>
      </c>
      <c r="D801" s="735"/>
      <c r="E801" s="735"/>
      <c r="F801" s="735"/>
      <c r="G801" s="735"/>
      <c r="H801" s="735"/>
      <c r="I801" s="735"/>
      <c r="J801" s="735">
        <v>360</v>
      </c>
      <c r="K801" s="735">
        <f t="shared" si="625"/>
        <v>4200.4799999999996</v>
      </c>
      <c r="L801" s="735">
        <v>1000</v>
      </c>
      <c r="M801" s="735"/>
      <c r="N801" s="735">
        <f t="shared" si="618"/>
        <v>1000</v>
      </c>
      <c r="O801" s="735">
        <f t="shared" si="619"/>
        <v>51405.759999999995</v>
      </c>
      <c r="P801" s="735">
        <f t="shared" si="620"/>
        <v>51405.759999999995</v>
      </c>
      <c r="Q801" s="711">
        <v>1</v>
      </c>
      <c r="R801" s="735">
        <v>3840.48</v>
      </c>
      <c r="S801" s="735"/>
      <c r="T801" s="735"/>
      <c r="U801" s="735"/>
      <c r="V801" s="735"/>
      <c r="W801" s="735"/>
      <c r="X801" s="735"/>
      <c r="Y801" s="735">
        <v>360</v>
      </c>
      <c r="Z801" s="735">
        <f t="shared" si="626"/>
        <v>4200.4799999999996</v>
      </c>
      <c r="AA801" s="735">
        <v>1000</v>
      </c>
      <c r="AB801" s="735"/>
      <c r="AC801" s="735">
        <f t="shared" si="621"/>
        <v>1000</v>
      </c>
      <c r="AD801" s="735">
        <f t="shared" si="622"/>
        <v>51405.759999999995</v>
      </c>
      <c r="AE801" s="735">
        <f t="shared" si="623"/>
        <v>51405.759999999995</v>
      </c>
      <c r="AF801" s="735">
        <f t="shared" si="572"/>
        <v>0</v>
      </c>
      <c r="AG801" s="824">
        <f t="shared" si="586"/>
        <v>0</v>
      </c>
      <c r="AH801" s="711">
        <v>1</v>
      </c>
      <c r="AI801" s="735">
        <f t="shared" si="624"/>
        <v>616870.11999999988</v>
      </c>
    </row>
    <row r="802" spans="1:35" x14ac:dyDescent="0.2">
      <c r="A802" s="704"/>
      <c r="B802" s="711">
        <v>1</v>
      </c>
      <c r="C802" s="735">
        <v>3840.48</v>
      </c>
      <c r="D802" s="735"/>
      <c r="E802" s="735"/>
      <c r="F802" s="735"/>
      <c r="G802" s="735"/>
      <c r="H802" s="735"/>
      <c r="I802" s="735"/>
      <c r="J802" s="735">
        <v>0</v>
      </c>
      <c r="K802" s="735">
        <f t="shared" si="625"/>
        <v>3840.48</v>
      </c>
      <c r="L802" s="735">
        <v>1000</v>
      </c>
      <c r="M802" s="735"/>
      <c r="N802" s="735">
        <f t="shared" si="618"/>
        <v>1000</v>
      </c>
      <c r="O802" s="735">
        <f t="shared" si="619"/>
        <v>47085.760000000002</v>
      </c>
      <c r="P802" s="735">
        <f t="shared" si="620"/>
        <v>47085.760000000002</v>
      </c>
      <c r="Q802" s="711">
        <v>1</v>
      </c>
      <c r="R802" s="735">
        <v>3840.48</v>
      </c>
      <c r="S802" s="735"/>
      <c r="T802" s="735"/>
      <c r="U802" s="735"/>
      <c r="V802" s="735"/>
      <c r="W802" s="735"/>
      <c r="X802" s="735"/>
      <c r="Y802" s="735">
        <v>0</v>
      </c>
      <c r="Z802" s="735">
        <f t="shared" si="626"/>
        <v>3840.48</v>
      </c>
      <c r="AA802" s="735">
        <v>1000</v>
      </c>
      <c r="AB802" s="735"/>
      <c r="AC802" s="735">
        <f t="shared" si="621"/>
        <v>1000</v>
      </c>
      <c r="AD802" s="735">
        <f t="shared" si="622"/>
        <v>47085.760000000002</v>
      </c>
      <c r="AE802" s="735">
        <f t="shared" si="623"/>
        <v>47085.760000000002</v>
      </c>
      <c r="AF802" s="735">
        <f t="shared" si="572"/>
        <v>0</v>
      </c>
      <c r="AG802" s="824">
        <f t="shared" si="586"/>
        <v>0</v>
      </c>
      <c r="AH802" s="711">
        <v>1</v>
      </c>
      <c r="AI802" s="735">
        <f t="shared" si="624"/>
        <v>565030.12</v>
      </c>
    </row>
    <row r="803" spans="1:35" x14ac:dyDescent="0.2">
      <c r="A803" s="704"/>
      <c r="B803" s="711">
        <v>1</v>
      </c>
      <c r="C803" s="735">
        <v>3840.48</v>
      </c>
      <c r="D803" s="735"/>
      <c r="E803" s="735"/>
      <c r="F803" s="735"/>
      <c r="G803" s="735"/>
      <c r="H803" s="735"/>
      <c r="I803" s="735"/>
      <c r="J803" s="735">
        <v>240</v>
      </c>
      <c r="K803" s="735">
        <f t="shared" si="625"/>
        <v>4080.48</v>
      </c>
      <c r="L803" s="735">
        <v>1000</v>
      </c>
      <c r="M803" s="735"/>
      <c r="N803" s="735">
        <f t="shared" si="618"/>
        <v>1000</v>
      </c>
      <c r="O803" s="735">
        <f t="shared" si="619"/>
        <v>49965.760000000002</v>
      </c>
      <c r="P803" s="735">
        <f t="shared" si="620"/>
        <v>49965.760000000002</v>
      </c>
      <c r="Q803" s="711">
        <v>1</v>
      </c>
      <c r="R803" s="735">
        <v>3840.48</v>
      </c>
      <c r="S803" s="735"/>
      <c r="T803" s="735"/>
      <c r="U803" s="735"/>
      <c r="V803" s="735"/>
      <c r="W803" s="735"/>
      <c r="X803" s="735"/>
      <c r="Y803" s="735">
        <v>240</v>
      </c>
      <c r="Z803" s="735">
        <f t="shared" si="626"/>
        <v>4080.48</v>
      </c>
      <c r="AA803" s="735">
        <v>1000</v>
      </c>
      <c r="AB803" s="735"/>
      <c r="AC803" s="735">
        <f t="shared" si="621"/>
        <v>1000</v>
      </c>
      <c r="AD803" s="735">
        <f t="shared" si="622"/>
        <v>49965.760000000002</v>
      </c>
      <c r="AE803" s="735">
        <f t="shared" si="623"/>
        <v>49965.760000000002</v>
      </c>
      <c r="AF803" s="735">
        <f t="shared" si="572"/>
        <v>0</v>
      </c>
      <c r="AG803" s="824">
        <f t="shared" si="586"/>
        <v>0</v>
      </c>
      <c r="AH803" s="711">
        <v>1</v>
      </c>
      <c r="AI803" s="735">
        <f t="shared" si="624"/>
        <v>599590.12</v>
      </c>
    </row>
    <row r="804" spans="1:35" x14ac:dyDescent="0.2">
      <c r="A804" s="704"/>
      <c r="B804" s="711">
        <v>1</v>
      </c>
      <c r="C804" s="735">
        <v>3840.48</v>
      </c>
      <c r="D804" s="735"/>
      <c r="E804" s="735"/>
      <c r="F804" s="735"/>
      <c r="G804" s="735"/>
      <c r="H804" s="735"/>
      <c r="I804" s="735"/>
      <c r="J804" s="735">
        <v>1100</v>
      </c>
      <c r="K804" s="735">
        <f t="shared" si="625"/>
        <v>4940.4799999999996</v>
      </c>
      <c r="L804" s="735">
        <v>1000</v>
      </c>
      <c r="M804" s="735"/>
      <c r="N804" s="735">
        <f t="shared" si="618"/>
        <v>1000</v>
      </c>
      <c r="O804" s="735">
        <f t="shared" si="619"/>
        <v>60285.759999999995</v>
      </c>
      <c r="P804" s="735">
        <f t="shared" si="620"/>
        <v>60285.759999999995</v>
      </c>
      <c r="Q804" s="711">
        <v>1</v>
      </c>
      <c r="R804" s="735">
        <v>3840.48</v>
      </c>
      <c r="S804" s="735"/>
      <c r="T804" s="735"/>
      <c r="U804" s="735"/>
      <c r="V804" s="735"/>
      <c r="W804" s="735"/>
      <c r="X804" s="735"/>
      <c r="Y804" s="735">
        <v>1100</v>
      </c>
      <c r="Z804" s="735">
        <f t="shared" si="626"/>
        <v>4940.4799999999996</v>
      </c>
      <c r="AA804" s="735">
        <v>1000</v>
      </c>
      <c r="AB804" s="735"/>
      <c r="AC804" s="735">
        <f t="shared" si="621"/>
        <v>1000</v>
      </c>
      <c r="AD804" s="735">
        <f t="shared" si="622"/>
        <v>60285.759999999995</v>
      </c>
      <c r="AE804" s="735">
        <f t="shared" si="623"/>
        <v>60285.759999999995</v>
      </c>
      <c r="AF804" s="735">
        <f t="shared" si="572"/>
        <v>0</v>
      </c>
      <c r="AG804" s="824">
        <f t="shared" si="586"/>
        <v>0</v>
      </c>
      <c r="AH804" s="711">
        <v>1</v>
      </c>
      <c r="AI804" s="735">
        <f t="shared" si="624"/>
        <v>723430.11999999988</v>
      </c>
    </row>
    <row r="805" spans="1:35" x14ac:dyDescent="0.2">
      <c r="A805" s="704"/>
      <c r="B805" s="711">
        <v>1</v>
      </c>
      <c r="C805" s="735">
        <v>3840.48</v>
      </c>
      <c r="D805" s="735"/>
      <c r="E805" s="735"/>
      <c r="F805" s="735"/>
      <c r="G805" s="735"/>
      <c r="H805" s="735"/>
      <c r="I805" s="735"/>
      <c r="J805" s="735">
        <v>480</v>
      </c>
      <c r="K805" s="735">
        <f t="shared" si="625"/>
        <v>4320.4799999999996</v>
      </c>
      <c r="L805" s="735">
        <v>1000</v>
      </c>
      <c r="M805" s="735"/>
      <c r="N805" s="735">
        <f t="shared" si="618"/>
        <v>1000</v>
      </c>
      <c r="O805" s="735">
        <f t="shared" si="619"/>
        <v>52845.759999999995</v>
      </c>
      <c r="P805" s="735">
        <f t="shared" si="620"/>
        <v>52845.759999999995</v>
      </c>
      <c r="Q805" s="711">
        <v>1</v>
      </c>
      <c r="R805" s="735">
        <v>3840.48</v>
      </c>
      <c r="S805" s="735"/>
      <c r="T805" s="735"/>
      <c r="U805" s="735"/>
      <c r="V805" s="735"/>
      <c r="W805" s="735"/>
      <c r="X805" s="735"/>
      <c r="Y805" s="735">
        <v>480</v>
      </c>
      <c r="Z805" s="735">
        <f t="shared" si="626"/>
        <v>4320.4799999999996</v>
      </c>
      <c r="AA805" s="735">
        <v>1000</v>
      </c>
      <c r="AB805" s="735"/>
      <c r="AC805" s="735">
        <f t="shared" si="621"/>
        <v>1000</v>
      </c>
      <c r="AD805" s="735">
        <f t="shared" si="622"/>
        <v>52845.759999999995</v>
      </c>
      <c r="AE805" s="735">
        <f t="shared" si="623"/>
        <v>52845.759999999995</v>
      </c>
      <c r="AF805" s="735">
        <f t="shared" si="572"/>
        <v>0</v>
      </c>
      <c r="AG805" s="824">
        <f t="shared" si="586"/>
        <v>0</v>
      </c>
      <c r="AH805" s="711">
        <v>1</v>
      </c>
      <c r="AI805" s="735">
        <f t="shared" si="624"/>
        <v>634150.11999999988</v>
      </c>
    </row>
    <row r="806" spans="1:35" x14ac:dyDescent="0.2">
      <c r="A806" s="704"/>
      <c r="B806" s="711">
        <v>1</v>
      </c>
      <c r="C806" s="735">
        <v>3840.48</v>
      </c>
      <c r="D806" s="735"/>
      <c r="E806" s="735"/>
      <c r="F806" s="735"/>
      <c r="G806" s="735"/>
      <c r="H806" s="735"/>
      <c r="I806" s="735"/>
      <c r="J806" s="735">
        <v>900</v>
      </c>
      <c r="K806" s="735">
        <f t="shared" si="625"/>
        <v>4740.4799999999996</v>
      </c>
      <c r="L806" s="735">
        <v>1000</v>
      </c>
      <c r="M806" s="735"/>
      <c r="N806" s="735">
        <f t="shared" si="618"/>
        <v>1000</v>
      </c>
      <c r="O806" s="735">
        <f t="shared" si="619"/>
        <v>57885.759999999995</v>
      </c>
      <c r="P806" s="735">
        <f t="shared" si="620"/>
        <v>57885.759999999995</v>
      </c>
      <c r="Q806" s="711">
        <v>1</v>
      </c>
      <c r="R806" s="735">
        <v>3840.48</v>
      </c>
      <c r="S806" s="735"/>
      <c r="T806" s="735"/>
      <c r="U806" s="735"/>
      <c r="V806" s="735"/>
      <c r="W806" s="735"/>
      <c r="X806" s="735"/>
      <c r="Y806" s="735">
        <v>900</v>
      </c>
      <c r="Z806" s="735">
        <f t="shared" si="626"/>
        <v>4740.4799999999996</v>
      </c>
      <c r="AA806" s="735">
        <v>1000</v>
      </c>
      <c r="AB806" s="735"/>
      <c r="AC806" s="735">
        <f t="shared" si="621"/>
        <v>1000</v>
      </c>
      <c r="AD806" s="735">
        <f t="shared" si="622"/>
        <v>57885.759999999995</v>
      </c>
      <c r="AE806" s="735">
        <f t="shared" si="623"/>
        <v>57885.759999999995</v>
      </c>
      <c r="AF806" s="735">
        <f t="shared" si="572"/>
        <v>0</v>
      </c>
      <c r="AG806" s="824">
        <f t="shared" si="586"/>
        <v>0</v>
      </c>
      <c r="AH806" s="711">
        <v>1</v>
      </c>
      <c r="AI806" s="735">
        <f t="shared" si="624"/>
        <v>694630.11999999988</v>
      </c>
    </row>
    <row r="807" spans="1:35" x14ac:dyDescent="0.2">
      <c r="A807" s="704"/>
      <c r="B807" s="711">
        <v>1</v>
      </c>
      <c r="C807" s="735">
        <v>3840.48</v>
      </c>
      <c r="D807" s="735"/>
      <c r="E807" s="735"/>
      <c r="F807" s="735"/>
      <c r="G807" s="735"/>
      <c r="H807" s="735"/>
      <c r="I807" s="735"/>
      <c r="J807" s="735">
        <v>1500</v>
      </c>
      <c r="K807" s="735">
        <f t="shared" si="625"/>
        <v>5340.48</v>
      </c>
      <c r="L807" s="735">
        <v>1000</v>
      </c>
      <c r="M807" s="735"/>
      <c r="N807" s="735">
        <f t="shared" si="618"/>
        <v>1000</v>
      </c>
      <c r="O807" s="735">
        <f t="shared" si="619"/>
        <v>65085.759999999995</v>
      </c>
      <c r="P807" s="735">
        <f t="shared" si="620"/>
        <v>65085.759999999995</v>
      </c>
      <c r="Q807" s="711">
        <v>1</v>
      </c>
      <c r="R807" s="735">
        <v>3840.48</v>
      </c>
      <c r="S807" s="735"/>
      <c r="T807" s="735"/>
      <c r="U807" s="735"/>
      <c r="V807" s="735"/>
      <c r="W807" s="735"/>
      <c r="X807" s="735"/>
      <c r="Y807" s="735">
        <v>1500</v>
      </c>
      <c r="Z807" s="735">
        <f t="shared" si="626"/>
        <v>5340.48</v>
      </c>
      <c r="AA807" s="735">
        <v>1000</v>
      </c>
      <c r="AB807" s="735"/>
      <c r="AC807" s="735">
        <f t="shared" si="621"/>
        <v>1000</v>
      </c>
      <c r="AD807" s="735">
        <f t="shared" si="622"/>
        <v>65085.759999999995</v>
      </c>
      <c r="AE807" s="735">
        <f t="shared" si="623"/>
        <v>65085.759999999995</v>
      </c>
      <c r="AF807" s="735">
        <f t="shared" si="572"/>
        <v>0</v>
      </c>
      <c r="AG807" s="824">
        <f t="shared" si="586"/>
        <v>0</v>
      </c>
      <c r="AH807" s="711">
        <v>1</v>
      </c>
      <c r="AI807" s="735">
        <f t="shared" si="624"/>
        <v>781030.11999999988</v>
      </c>
    </row>
    <row r="808" spans="1:35" x14ac:dyDescent="0.2">
      <c r="A808" s="704"/>
      <c r="B808" s="711">
        <v>1</v>
      </c>
      <c r="C808" s="735">
        <v>3840.48</v>
      </c>
      <c r="D808" s="735"/>
      <c r="E808" s="735"/>
      <c r="F808" s="735"/>
      <c r="G808" s="735"/>
      <c r="H808" s="735"/>
      <c r="I808" s="735"/>
      <c r="J808" s="735">
        <v>900</v>
      </c>
      <c r="K808" s="735">
        <f t="shared" si="625"/>
        <v>4740.4799999999996</v>
      </c>
      <c r="L808" s="735">
        <v>1000</v>
      </c>
      <c r="M808" s="735"/>
      <c r="N808" s="735">
        <f t="shared" si="618"/>
        <v>1000</v>
      </c>
      <c r="O808" s="735">
        <f t="shared" si="619"/>
        <v>57885.759999999995</v>
      </c>
      <c r="P808" s="735">
        <f t="shared" si="620"/>
        <v>57885.759999999995</v>
      </c>
      <c r="Q808" s="711">
        <v>1</v>
      </c>
      <c r="R808" s="735">
        <v>3840.48</v>
      </c>
      <c r="S808" s="735"/>
      <c r="T808" s="735"/>
      <c r="U808" s="735"/>
      <c r="V808" s="735"/>
      <c r="W808" s="735"/>
      <c r="X808" s="735"/>
      <c r="Y808" s="735">
        <v>900</v>
      </c>
      <c r="Z808" s="735">
        <f t="shared" si="626"/>
        <v>4740.4799999999996</v>
      </c>
      <c r="AA808" s="735">
        <v>1000</v>
      </c>
      <c r="AB808" s="735"/>
      <c r="AC808" s="735">
        <f t="shared" si="621"/>
        <v>1000</v>
      </c>
      <c r="AD808" s="735">
        <f t="shared" si="622"/>
        <v>57885.759999999995</v>
      </c>
      <c r="AE808" s="735">
        <f t="shared" si="623"/>
        <v>57885.759999999995</v>
      </c>
      <c r="AF808" s="735">
        <f t="shared" si="572"/>
        <v>0</v>
      </c>
      <c r="AG808" s="824">
        <f t="shared" si="586"/>
        <v>0</v>
      </c>
      <c r="AH808" s="711">
        <v>1</v>
      </c>
      <c r="AI808" s="735">
        <f t="shared" si="624"/>
        <v>694630.11999999988</v>
      </c>
    </row>
    <row r="809" spans="1:35" x14ac:dyDescent="0.2">
      <c r="A809" s="704"/>
      <c r="B809" s="711">
        <v>1</v>
      </c>
      <c r="C809" s="735">
        <v>3840.48</v>
      </c>
      <c r="D809" s="735"/>
      <c r="E809" s="735"/>
      <c r="F809" s="735"/>
      <c r="G809" s="735"/>
      <c r="H809" s="735"/>
      <c r="I809" s="735"/>
      <c r="J809" s="735">
        <v>900</v>
      </c>
      <c r="K809" s="735">
        <f t="shared" si="625"/>
        <v>4740.4799999999996</v>
      </c>
      <c r="L809" s="735">
        <v>1000</v>
      </c>
      <c r="M809" s="735"/>
      <c r="N809" s="735">
        <f t="shared" si="618"/>
        <v>1000</v>
      </c>
      <c r="O809" s="735">
        <f t="shared" si="619"/>
        <v>57885.759999999995</v>
      </c>
      <c r="P809" s="735">
        <f t="shared" si="620"/>
        <v>57885.759999999995</v>
      </c>
      <c r="Q809" s="711">
        <v>1</v>
      </c>
      <c r="R809" s="735">
        <v>3840.48</v>
      </c>
      <c r="S809" s="735"/>
      <c r="T809" s="735"/>
      <c r="U809" s="735"/>
      <c r="V809" s="735"/>
      <c r="W809" s="735"/>
      <c r="X809" s="735"/>
      <c r="Y809" s="735">
        <v>900</v>
      </c>
      <c r="Z809" s="735">
        <f t="shared" si="626"/>
        <v>4740.4799999999996</v>
      </c>
      <c r="AA809" s="735">
        <v>1000</v>
      </c>
      <c r="AB809" s="735"/>
      <c r="AC809" s="735">
        <f t="shared" si="621"/>
        <v>1000</v>
      </c>
      <c r="AD809" s="735">
        <f t="shared" si="622"/>
        <v>57885.759999999995</v>
      </c>
      <c r="AE809" s="735">
        <f t="shared" si="623"/>
        <v>57885.759999999995</v>
      </c>
      <c r="AF809" s="735">
        <f t="shared" si="572"/>
        <v>0</v>
      </c>
      <c r="AG809" s="824">
        <f t="shared" si="586"/>
        <v>0</v>
      </c>
      <c r="AH809" s="711">
        <v>1</v>
      </c>
      <c r="AI809" s="735">
        <f t="shared" si="624"/>
        <v>694630.11999999988</v>
      </c>
    </row>
    <row r="810" spans="1:35" x14ac:dyDescent="0.2">
      <c r="A810" s="704"/>
      <c r="B810" s="711">
        <v>1</v>
      </c>
      <c r="C810" s="735">
        <v>3840.48</v>
      </c>
      <c r="D810" s="735"/>
      <c r="E810" s="735"/>
      <c r="F810" s="735"/>
      <c r="G810" s="735"/>
      <c r="H810" s="735"/>
      <c r="I810" s="735"/>
      <c r="J810" s="735">
        <v>1050</v>
      </c>
      <c r="K810" s="735">
        <f t="shared" si="625"/>
        <v>4890.4799999999996</v>
      </c>
      <c r="L810" s="735">
        <v>1000</v>
      </c>
      <c r="M810" s="735"/>
      <c r="N810" s="735">
        <f t="shared" si="618"/>
        <v>1000</v>
      </c>
      <c r="O810" s="735">
        <f t="shared" si="619"/>
        <v>59685.759999999995</v>
      </c>
      <c r="P810" s="735">
        <f t="shared" si="620"/>
        <v>59685.759999999995</v>
      </c>
      <c r="Q810" s="711">
        <v>1</v>
      </c>
      <c r="R810" s="735">
        <v>3840.48</v>
      </c>
      <c r="S810" s="735"/>
      <c r="T810" s="735"/>
      <c r="U810" s="735"/>
      <c r="V810" s="735"/>
      <c r="W810" s="735"/>
      <c r="X810" s="735"/>
      <c r="Y810" s="735">
        <v>1050</v>
      </c>
      <c r="Z810" s="735">
        <f t="shared" si="626"/>
        <v>4890.4799999999996</v>
      </c>
      <c r="AA810" s="735">
        <v>1000</v>
      </c>
      <c r="AB810" s="735"/>
      <c r="AC810" s="735">
        <f t="shared" si="621"/>
        <v>1000</v>
      </c>
      <c r="AD810" s="735">
        <f t="shared" si="622"/>
        <v>59685.759999999995</v>
      </c>
      <c r="AE810" s="735">
        <f t="shared" si="623"/>
        <v>59685.759999999995</v>
      </c>
      <c r="AF810" s="735">
        <f t="shared" si="572"/>
        <v>0</v>
      </c>
      <c r="AG810" s="824">
        <f t="shared" si="586"/>
        <v>0</v>
      </c>
      <c r="AH810" s="711">
        <v>1</v>
      </c>
      <c r="AI810" s="735">
        <f t="shared" si="624"/>
        <v>716230.11999999988</v>
      </c>
    </row>
    <row r="811" spans="1:35" x14ac:dyDescent="0.2">
      <c r="A811" s="704"/>
      <c r="B811" s="711">
        <v>1</v>
      </c>
      <c r="C811" s="735">
        <v>3840.48</v>
      </c>
      <c r="D811" s="735"/>
      <c r="E811" s="735"/>
      <c r="F811" s="735"/>
      <c r="G811" s="735"/>
      <c r="H811" s="735"/>
      <c r="I811" s="735"/>
      <c r="J811" s="735">
        <v>650</v>
      </c>
      <c r="K811" s="735">
        <f t="shared" si="625"/>
        <v>4490.4799999999996</v>
      </c>
      <c r="L811" s="735">
        <v>1000</v>
      </c>
      <c r="M811" s="735"/>
      <c r="N811" s="735">
        <f t="shared" si="618"/>
        <v>1000</v>
      </c>
      <c r="O811" s="735">
        <f t="shared" si="619"/>
        <v>54885.759999999995</v>
      </c>
      <c r="P811" s="735">
        <f t="shared" si="620"/>
        <v>54885.759999999995</v>
      </c>
      <c r="Q811" s="711">
        <v>1</v>
      </c>
      <c r="R811" s="735">
        <v>3840.48</v>
      </c>
      <c r="S811" s="735"/>
      <c r="T811" s="735"/>
      <c r="U811" s="735"/>
      <c r="V811" s="735"/>
      <c r="W811" s="735"/>
      <c r="X811" s="735"/>
      <c r="Y811" s="735">
        <v>650</v>
      </c>
      <c r="Z811" s="735">
        <f t="shared" si="626"/>
        <v>4490.4799999999996</v>
      </c>
      <c r="AA811" s="735">
        <v>1000</v>
      </c>
      <c r="AB811" s="735"/>
      <c r="AC811" s="735">
        <f t="shared" si="621"/>
        <v>1000</v>
      </c>
      <c r="AD811" s="735">
        <f t="shared" si="622"/>
        <v>54885.759999999995</v>
      </c>
      <c r="AE811" s="735">
        <f t="shared" si="623"/>
        <v>54885.759999999995</v>
      </c>
      <c r="AF811" s="735">
        <f t="shared" si="572"/>
        <v>0</v>
      </c>
      <c r="AG811" s="824">
        <f t="shared" si="586"/>
        <v>0</v>
      </c>
      <c r="AH811" s="711">
        <v>1</v>
      </c>
      <c r="AI811" s="735">
        <f t="shared" si="624"/>
        <v>658630.11999999988</v>
      </c>
    </row>
    <row r="812" spans="1:35" x14ac:dyDescent="0.2">
      <c r="A812" s="704"/>
      <c r="B812" s="711">
        <v>1</v>
      </c>
      <c r="C812" s="735">
        <v>3840.48</v>
      </c>
      <c r="D812" s="735"/>
      <c r="E812" s="735"/>
      <c r="F812" s="735"/>
      <c r="G812" s="735"/>
      <c r="H812" s="735"/>
      <c r="I812" s="735"/>
      <c r="J812" s="735">
        <v>1100</v>
      </c>
      <c r="K812" s="735">
        <f t="shared" si="625"/>
        <v>4940.4799999999996</v>
      </c>
      <c r="L812" s="735">
        <v>1000</v>
      </c>
      <c r="M812" s="735"/>
      <c r="N812" s="735">
        <f t="shared" si="618"/>
        <v>1000</v>
      </c>
      <c r="O812" s="735">
        <f t="shared" si="619"/>
        <v>60285.759999999995</v>
      </c>
      <c r="P812" s="735">
        <f t="shared" si="620"/>
        <v>60285.759999999995</v>
      </c>
      <c r="Q812" s="711">
        <v>1</v>
      </c>
      <c r="R812" s="735">
        <v>3840.48</v>
      </c>
      <c r="S812" s="735"/>
      <c r="T812" s="735"/>
      <c r="U812" s="735"/>
      <c r="V812" s="735"/>
      <c r="W812" s="735"/>
      <c r="X812" s="735"/>
      <c r="Y812" s="735">
        <v>1100</v>
      </c>
      <c r="Z812" s="735">
        <f t="shared" si="626"/>
        <v>4940.4799999999996</v>
      </c>
      <c r="AA812" s="735">
        <v>1000</v>
      </c>
      <c r="AB812" s="735"/>
      <c r="AC812" s="735">
        <f t="shared" si="621"/>
        <v>1000</v>
      </c>
      <c r="AD812" s="735">
        <f t="shared" si="622"/>
        <v>60285.759999999995</v>
      </c>
      <c r="AE812" s="735">
        <f t="shared" si="623"/>
        <v>60285.759999999995</v>
      </c>
      <c r="AF812" s="735">
        <f t="shared" si="572"/>
        <v>0</v>
      </c>
      <c r="AG812" s="824">
        <f t="shared" si="586"/>
        <v>0</v>
      </c>
      <c r="AH812" s="711">
        <v>1</v>
      </c>
      <c r="AI812" s="735">
        <f t="shared" si="624"/>
        <v>723430.11999999988</v>
      </c>
    </row>
    <row r="813" spans="1:35" x14ac:dyDescent="0.2">
      <c r="A813" s="704"/>
      <c r="B813" s="711">
        <v>1</v>
      </c>
      <c r="C813" s="735">
        <v>3840.48</v>
      </c>
      <c r="D813" s="735"/>
      <c r="E813" s="735"/>
      <c r="F813" s="735"/>
      <c r="G813" s="735"/>
      <c r="H813" s="735"/>
      <c r="I813" s="735"/>
      <c r="J813" s="735">
        <v>1150</v>
      </c>
      <c r="K813" s="735">
        <f t="shared" si="625"/>
        <v>4990.4799999999996</v>
      </c>
      <c r="L813" s="735">
        <v>1000</v>
      </c>
      <c r="M813" s="735"/>
      <c r="N813" s="735">
        <f t="shared" si="618"/>
        <v>1000</v>
      </c>
      <c r="O813" s="735">
        <f t="shared" si="619"/>
        <v>60885.759999999995</v>
      </c>
      <c r="P813" s="735">
        <f t="shared" si="620"/>
        <v>60885.759999999995</v>
      </c>
      <c r="Q813" s="711">
        <v>1</v>
      </c>
      <c r="R813" s="735">
        <v>3840.48</v>
      </c>
      <c r="S813" s="735"/>
      <c r="T813" s="735"/>
      <c r="U813" s="735"/>
      <c r="V813" s="735"/>
      <c r="W813" s="735"/>
      <c r="X813" s="735"/>
      <c r="Y813" s="735">
        <v>1150</v>
      </c>
      <c r="Z813" s="735">
        <f t="shared" si="626"/>
        <v>4990.4799999999996</v>
      </c>
      <c r="AA813" s="735">
        <v>1000</v>
      </c>
      <c r="AB813" s="735"/>
      <c r="AC813" s="735">
        <f t="shared" si="621"/>
        <v>1000</v>
      </c>
      <c r="AD813" s="735">
        <f t="shared" si="622"/>
        <v>60885.759999999995</v>
      </c>
      <c r="AE813" s="735">
        <f t="shared" si="623"/>
        <v>60885.759999999995</v>
      </c>
      <c r="AF813" s="735">
        <f t="shared" si="572"/>
        <v>0</v>
      </c>
      <c r="AG813" s="824">
        <f t="shared" si="586"/>
        <v>0</v>
      </c>
      <c r="AH813" s="711">
        <v>1</v>
      </c>
      <c r="AI813" s="735">
        <f t="shared" si="624"/>
        <v>730630.11999999988</v>
      </c>
    </row>
    <row r="814" spans="1:35" x14ac:dyDescent="0.2">
      <c r="A814" s="704"/>
      <c r="B814" s="711">
        <v>1</v>
      </c>
      <c r="C814" s="735">
        <v>3840.48</v>
      </c>
      <c r="D814" s="735"/>
      <c r="E814" s="735"/>
      <c r="F814" s="735"/>
      <c r="G814" s="735"/>
      <c r="H814" s="735"/>
      <c r="I814" s="735"/>
      <c r="J814" s="735">
        <v>1050</v>
      </c>
      <c r="K814" s="735">
        <f t="shared" si="625"/>
        <v>4890.4799999999996</v>
      </c>
      <c r="L814" s="735">
        <v>1000</v>
      </c>
      <c r="M814" s="735"/>
      <c r="N814" s="735">
        <f t="shared" si="618"/>
        <v>1000</v>
      </c>
      <c r="O814" s="735">
        <f t="shared" si="619"/>
        <v>59685.759999999995</v>
      </c>
      <c r="P814" s="735">
        <f t="shared" si="620"/>
        <v>59685.759999999995</v>
      </c>
      <c r="Q814" s="711">
        <v>1</v>
      </c>
      <c r="R814" s="735">
        <v>3840.48</v>
      </c>
      <c r="S814" s="735"/>
      <c r="T814" s="735"/>
      <c r="U814" s="735"/>
      <c r="V814" s="735"/>
      <c r="W814" s="735"/>
      <c r="X814" s="735"/>
      <c r="Y814" s="735">
        <v>1050</v>
      </c>
      <c r="Z814" s="735">
        <f t="shared" si="626"/>
        <v>4890.4799999999996</v>
      </c>
      <c r="AA814" s="735">
        <v>1000</v>
      </c>
      <c r="AB814" s="735"/>
      <c r="AC814" s="735">
        <f t="shared" si="621"/>
        <v>1000</v>
      </c>
      <c r="AD814" s="735">
        <f t="shared" si="622"/>
        <v>59685.759999999995</v>
      </c>
      <c r="AE814" s="735">
        <f t="shared" si="623"/>
        <v>59685.759999999995</v>
      </c>
      <c r="AF814" s="735">
        <f t="shared" si="572"/>
        <v>0</v>
      </c>
      <c r="AG814" s="824">
        <f t="shared" si="586"/>
        <v>0</v>
      </c>
      <c r="AH814" s="711">
        <v>1</v>
      </c>
      <c r="AI814" s="735">
        <f t="shared" si="624"/>
        <v>716230.11999999988</v>
      </c>
    </row>
    <row r="815" spans="1:35" x14ac:dyDescent="0.2">
      <c r="A815" s="704"/>
      <c r="B815" s="711">
        <v>1</v>
      </c>
      <c r="C815" s="735">
        <v>3840.48</v>
      </c>
      <c r="D815" s="735"/>
      <c r="E815" s="735"/>
      <c r="F815" s="735"/>
      <c r="G815" s="735"/>
      <c r="H815" s="735"/>
      <c r="I815" s="735"/>
      <c r="J815" s="735">
        <v>700</v>
      </c>
      <c r="K815" s="735">
        <f t="shared" si="625"/>
        <v>4540.4799999999996</v>
      </c>
      <c r="L815" s="735">
        <v>1000</v>
      </c>
      <c r="M815" s="735"/>
      <c r="N815" s="735">
        <f t="shared" si="618"/>
        <v>1000</v>
      </c>
      <c r="O815" s="735">
        <f t="shared" si="619"/>
        <v>55485.759999999995</v>
      </c>
      <c r="P815" s="735">
        <f t="shared" si="620"/>
        <v>55485.759999999995</v>
      </c>
      <c r="Q815" s="711">
        <v>1</v>
      </c>
      <c r="R815" s="735">
        <v>3840.48</v>
      </c>
      <c r="S815" s="735"/>
      <c r="T815" s="735"/>
      <c r="U815" s="735"/>
      <c r="V815" s="735"/>
      <c r="W815" s="735"/>
      <c r="X815" s="735"/>
      <c r="Y815" s="735">
        <v>700</v>
      </c>
      <c r="Z815" s="735">
        <f t="shared" si="626"/>
        <v>4540.4799999999996</v>
      </c>
      <c r="AA815" s="735">
        <v>1000</v>
      </c>
      <c r="AB815" s="735"/>
      <c r="AC815" s="735">
        <f t="shared" si="621"/>
        <v>1000</v>
      </c>
      <c r="AD815" s="735">
        <f t="shared" si="622"/>
        <v>55485.759999999995</v>
      </c>
      <c r="AE815" s="735">
        <f t="shared" si="623"/>
        <v>55485.759999999995</v>
      </c>
      <c r="AF815" s="735">
        <f t="shared" si="572"/>
        <v>0</v>
      </c>
      <c r="AG815" s="824">
        <f t="shared" si="586"/>
        <v>0</v>
      </c>
      <c r="AH815" s="711">
        <v>1</v>
      </c>
      <c r="AI815" s="735">
        <f t="shared" si="624"/>
        <v>665830.11999999988</v>
      </c>
    </row>
    <row r="816" spans="1:35" x14ac:dyDescent="0.2">
      <c r="A816" s="704"/>
      <c r="B816" s="711">
        <v>1</v>
      </c>
      <c r="C816" s="735">
        <v>3840.48</v>
      </c>
      <c r="D816" s="735"/>
      <c r="E816" s="735"/>
      <c r="F816" s="735"/>
      <c r="G816" s="735"/>
      <c r="H816" s="735"/>
      <c r="I816" s="735"/>
      <c r="J816" s="735">
        <v>600</v>
      </c>
      <c r="K816" s="735">
        <f t="shared" si="625"/>
        <v>4440.4799999999996</v>
      </c>
      <c r="L816" s="735">
        <v>1000</v>
      </c>
      <c r="M816" s="735"/>
      <c r="N816" s="735">
        <f t="shared" si="618"/>
        <v>1000</v>
      </c>
      <c r="O816" s="735">
        <f t="shared" si="619"/>
        <v>54285.759999999995</v>
      </c>
      <c r="P816" s="735">
        <f t="shared" si="620"/>
        <v>54285.759999999995</v>
      </c>
      <c r="Q816" s="711">
        <v>1</v>
      </c>
      <c r="R816" s="735">
        <v>3840.48</v>
      </c>
      <c r="S816" s="735"/>
      <c r="T816" s="735"/>
      <c r="U816" s="735"/>
      <c r="V816" s="735"/>
      <c r="W816" s="735"/>
      <c r="X816" s="735"/>
      <c r="Y816" s="735">
        <v>600</v>
      </c>
      <c r="Z816" s="735">
        <f t="shared" si="626"/>
        <v>4440.4799999999996</v>
      </c>
      <c r="AA816" s="735">
        <v>1000</v>
      </c>
      <c r="AB816" s="735"/>
      <c r="AC816" s="735">
        <f t="shared" si="621"/>
        <v>1000</v>
      </c>
      <c r="AD816" s="735">
        <f t="shared" si="622"/>
        <v>54285.759999999995</v>
      </c>
      <c r="AE816" s="735">
        <f t="shared" si="623"/>
        <v>54285.759999999995</v>
      </c>
      <c r="AF816" s="735">
        <f t="shared" si="572"/>
        <v>0</v>
      </c>
      <c r="AG816" s="824">
        <f t="shared" si="586"/>
        <v>0</v>
      </c>
      <c r="AH816" s="711">
        <v>1</v>
      </c>
      <c r="AI816" s="735">
        <f t="shared" si="624"/>
        <v>651430.11999999988</v>
      </c>
    </row>
    <row r="817" spans="1:35" x14ac:dyDescent="0.2">
      <c r="A817" s="704"/>
      <c r="B817" s="711">
        <v>1</v>
      </c>
      <c r="C817" s="735">
        <v>3840.48</v>
      </c>
      <c r="D817" s="735"/>
      <c r="E817" s="735"/>
      <c r="F817" s="735"/>
      <c r="G817" s="735"/>
      <c r="H817" s="735"/>
      <c r="I817" s="735"/>
      <c r="J817" s="735">
        <v>1200</v>
      </c>
      <c r="K817" s="735">
        <f t="shared" si="625"/>
        <v>5040.4799999999996</v>
      </c>
      <c r="L817" s="735">
        <v>1000</v>
      </c>
      <c r="M817" s="735"/>
      <c r="N817" s="735">
        <f t="shared" si="618"/>
        <v>1000</v>
      </c>
      <c r="O817" s="735">
        <f t="shared" si="619"/>
        <v>61485.759999999995</v>
      </c>
      <c r="P817" s="735">
        <f t="shared" si="620"/>
        <v>61485.759999999995</v>
      </c>
      <c r="Q817" s="711">
        <v>1</v>
      </c>
      <c r="R817" s="735">
        <v>3840.48</v>
      </c>
      <c r="S817" s="735"/>
      <c r="T817" s="735"/>
      <c r="U817" s="735"/>
      <c r="V817" s="735"/>
      <c r="W817" s="735"/>
      <c r="X817" s="735"/>
      <c r="Y817" s="735">
        <v>1200</v>
      </c>
      <c r="Z817" s="735">
        <f t="shared" si="626"/>
        <v>5040.4799999999996</v>
      </c>
      <c r="AA817" s="735">
        <v>1000</v>
      </c>
      <c r="AB817" s="735"/>
      <c r="AC817" s="735">
        <f t="shared" si="621"/>
        <v>1000</v>
      </c>
      <c r="AD817" s="735">
        <f t="shared" si="622"/>
        <v>61485.759999999995</v>
      </c>
      <c r="AE817" s="735">
        <f t="shared" si="623"/>
        <v>61485.759999999995</v>
      </c>
      <c r="AF817" s="735">
        <f t="shared" si="572"/>
        <v>0</v>
      </c>
      <c r="AG817" s="824">
        <f t="shared" si="586"/>
        <v>0</v>
      </c>
      <c r="AH817" s="711">
        <v>1</v>
      </c>
      <c r="AI817" s="735">
        <f t="shared" si="624"/>
        <v>737830.11999999988</v>
      </c>
    </row>
    <row r="818" spans="1:35" x14ac:dyDescent="0.2">
      <c r="A818" s="704"/>
      <c r="B818" s="711">
        <v>1</v>
      </c>
      <c r="C818" s="735">
        <v>3840.48</v>
      </c>
      <c r="D818" s="735"/>
      <c r="E818" s="735"/>
      <c r="F818" s="735"/>
      <c r="G818" s="735"/>
      <c r="H818" s="735"/>
      <c r="I818" s="735"/>
      <c r="J818" s="735">
        <v>570</v>
      </c>
      <c r="K818" s="735">
        <f t="shared" si="625"/>
        <v>4410.4799999999996</v>
      </c>
      <c r="L818" s="735">
        <v>1000</v>
      </c>
      <c r="M818" s="735"/>
      <c r="N818" s="735">
        <f t="shared" si="618"/>
        <v>1000</v>
      </c>
      <c r="O818" s="735">
        <f t="shared" si="619"/>
        <v>53925.759999999995</v>
      </c>
      <c r="P818" s="735">
        <f t="shared" si="620"/>
        <v>53925.759999999995</v>
      </c>
      <c r="Q818" s="711">
        <v>1</v>
      </c>
      <c r="R818" s="735">
        <v>3840.48</v>
      </c>
      <c r="S818" s="735"/>
      <c r="T818" s="735"/>
      <c r="U818" s="735"/>
      <c r="V818" s="735"/>
      <c r="W818" s="735"/>
      <c r="X818" s="735"/>
      <c r="Y818" s="735">
        <v>570</v>
      </c>
      <c r="Z818" s="735">
        <f t="shared" si="626"/>
        <v>4410.4799999999996</v>
      </c>
      <c r="AA818" s="735">
        <v>1000</v>
      </c>
      <c r="AB818" s="735"/>
      <c r="AC818" s="735">
        <f t="shared" si="621"/>
        <v>1000</v>
      </c>
      <c r="AD818" s="735">
        <f t="shared" si="622"/>
        <v>53925.759999999995</v>
      </c>
      <c r="AE818" s="735">
        <f t="shared" si="623"/>
        <v>53925.759999999995</v>
      </c>
      <c r="AF818" s="735">
        <f t="shared" si="572"/>
        <v>0</v>
      </c>
      <c r="AG818" s="824">
        <f t="shared" si="586"/>
        <v>0</v>
      </c>
      <c r="AH818" s="711">
        <v>1</v>
      </c>
      <c r="AI818" s="735">
        <f t="shared" si="624"/>
        <v>647110.11999999988</v>
      </c>
    </row>
    <row r="819" spans="1:35" x14ac:dyDescent="0.2">
      <c r="A819" s="704"/>
      <c r="B819" s="711">
        <v>1</v>
      </c>
      <c r="C819" s="735">
        <v>3840.48</v>
      </c>
      <c r="D819" s="735"/>
      <c r="E819" s="735"/>
      <c r="F819" s="735"/>
      <c r="G819" s="735"/>
      <c r="H819" s="735"/>
      <c r="I819" s="735"/>
      <c r="J819" s="735">
        <v>1100</v>
      </c>
      <c r="K819" s="735">
        <f t="shared" si="625"/>
        <v>4940.4799999999996</v>
      </c>
      <c r="L819" s="735">
        <v>1000</v>
      </c>
      <c r="M819" s="735"/>
      <c r="N819" s="735">
        <f t="shared" si="618"/>
        <v>1000</v>
      </c>
      <c r="O819" s="735">
        <f t="shared" si="619"/>
        <v>60285.759999999995</v>
      </c>
      <c r="P819" s="735">
        <f t="shared" si="620"/>
        <v>60285.759999999995</v>
      </c>
      <c r="Q819" s="711">
        <v>1</v>
      </c>
      <c r="R819" s="735">
        <v>3840.48</v>
      </c>
      <c r="S819" s="735"/>
      <c r="T819" s="735"/>
      <c r="U819" s="735"/>
      <c r="V819" s="735"/>
      <c r="W819" s="735"/>
      <c r="X819" s="735"/>
      <c r="Y819" s="735">
        <v>1100</v>
      </c>
      <c r="Z819" s="735">
        <f t="shared" si="626"/>
        <v>4940.4799999999996</v>
      </c>
      <c r="AA819" s="735">
        <v>1000</v>
      </c>
      <c r="AB819" s="735"/>
      <c r="AC819" s="735">
        <f t="shared" si="621"/>
        <v>1000</v>
      </c>
      <c r="AD819" s="735">
        <f t="shared" si="622"/>
        <v>60285.759999999995</v>
      </c>
      <c r="AE819" s="735">
        <f t="shared" si="623"/>
        <v>60285.759999999995</v>
      </c>
      <c r="AF819" s="735">
        <f t="shared" si="572"/>
        <v>0</v>
      </c>
      <c r="AG819" s="824">
        <f t="shared" si="586"/>
        <v>0</v>
      </c>
      <c r="AH819" s="711">
        <v>1</v>
      </c>
      <c r="AI819" s="735">
        <f t="shared" si="624"/>
        <v>723430.11999999988</v>
      </c>
    </row>
    <row r="820" spans="1:35" x14ac:dyDescent="0.2">
      <c r="A820" s="704"/>
      <c r="B820" s="711">
        <v>1</v>
      </c>
      <c r="C820" s="735">
        <v>3840.48</v>
      </c>
      <c r="D820" s="735"/>
      <c r="E820" s="735"/>
      <c r="F820" s="735"/>
      <c r="G820" s="735"/>
      <c r="H820" s="735"/>
      <c r="I820" s="735"/>
      <c r="J820" s="735">
        <v>1100</v>
      </c>
      <c r="K820" s="735">
        <f t="shared" si="625"/>
        <v>4940.4799999999996</v>
      </c>
      <c r="L820" s="735">
        <v>1000</v>
      </c>
      <c r="M820" s="735"/>
      <c r="N820" s="735">
        <f t="shared" si="618"/>
        <v>1000</v>
      </c>
      <c r="O820" s="735">
        <f t="shared" si="619"/>
        <v>60285.759999999995</v>
      </c>
      <c r="P820" s="735">
        <f t="shared" si="620"/>
        <v>60285.759999999995</v>
      </c>
      <c r="Q820" s="711">
        <v>1</v>
      </c>
      <c r="R820" s="735">
        <v>3840.48</v>
      </c>
      <c r="S820" s="735"/>
      <c r="T820" s="735"/>
      <c r="U820" s="735"/>
      <c r="V820" s="735"/>
      <c r="W820" s="735"/>
      <c r="X820" s="735"/>
      <c r="Y820" s="735">
        <v>1100</v>
      </c>
      <c r="Z820" s="735">
        <f t="shared" si="626"/>
        <v>4940.4799999999996</v>
      </c>
      <c r="AA820" s="735">
        <v>1000</v>
      </c>
      <c r="AB820" s="735"/>
      <c r="AC820" s="735">
        <f t="shared" si="621"/>
        <v>1000</v>
      </c>
      <c r="AD820" s="735">
        <f t="shared" si="622"/>
        <v>60285.759999999995</v>
      </c>
      <c r="AE820" s="735">
        <f t="shared" si="623"/>
        <v>60285.759999999995</v>
      </c>
      <c r="AF820" s="735">
        <f t="shared" si="572"/>
        <v>0</v>
      </c>
      <c r="AG820" s="824">
        <f t="shared" si="586"/>
        <v>0</v>
      </c>
      <c r="AH820" s="711">
        <v>1</v>
      </c>
      <c r="AI820" s="735">
        <f t="shared" si="624"/>
        <v>723430.11999999988</v>
      </c>
    </row>
    <row r="821" spans="1:35" x14ac:dyDescent="0.2">
      <c r="A821" s="704"/>
      <c r="B821" s="711">
        <v>1</v>
      </c>
      <c r="C821" s="735">
        <v>3840.48</v>
      </c>
      <c r="D821" s="735"/>
      <c r="E821" s="735"/>
      <c r="F821" s="735"/>
      <c r="G821" s="735"/>
      <c r="H821" s="735"/>
      <c r="I821" s="735"/>
      <c r="J821" s="735">
        <v>910</v>
      </c>
      <c r="K821" s="735">
        <f t="shared" si="625"/>
        <v>4750.4799999999996</v>
      </c>
      <c r="L821" s="735">
        <v>1000</v>
      </c>
      <c r="M821" s="735"/>
      <c r="N821" s="735">
        <f t="shared" si="618"/>
        <v>1000</v>
      </c>
      <c r="O821" s="735">
        <f t="shared" si="619"/>
        <v>58005.759999999995</v>
      </c>
      <c r="P821" s="735">
        <f t="shared" si="620"/>
        <v>58005.759999999995</v>
      </c>
      <c r="Q821" s="711">
        <v>1</v>
      </c>
      <c r="R821" s="735">
        <v>3840.48</v>
      </c>
      <c r="S821" s="735"/>
      <c r="T821" s="735"/>
      <c r="U821" s="735"/>
      <c r="V821" s="735"/>
      <c r="W821" s="735"/>
      <c r="X821" s="735"/>
      <c r="Y821" s="735">
        <v>910</v>
      </c>
      <c r="Z821" s="735">
        <f t="shared" si="626"/>
        <v>4750.4799999999996</v>
      </c>
      <c r="AA821" s="735">
        <v>1000</v>
      </c>
      <c r="AB821" s="735"/>
      <c r="AC821" s="735">
        <f t="shared" si="621"/>
        <v>1000</v>
      </c>
      <c r="AD821" s="735">
        <f t="shared" si="622"/>
        <v>58005.759999999995</v>
      </c>
      <c r="AE821" s="735">
        <f t="shared" si="623"/>
        <v>58005.759999999995</v>
      </c>
      <c r="AF821" s="735">
        <f t="shared" si="572"/>
        <v>0</v>
      </c>
      <c r="AG821" s="824">
        <f t="shared" si="586"/>
        <v>0</v>
      </c>
      <c r="AH821" s="711">
        <v>1</v>
      </c>
      <c r="AI821" s="735">
        <f t="shared" si="624"/>
        <v>696070.11999999988</v>
      </c>
    </row>
    <row r="822" spans="1:35" x14ac:dyDescent="0.2">
      <c r="A822" s="704"/>
      <c r="B822" s="711">
        <v>1</v>
      </c>
      <c r="C822" s="735">
        <v>3840.48</v>
      </c>
      <c r="D822" s="735"/>
      <c r="E822" s="735"/>
      <c r="F822" s="735"/>
      <c r="G822" s="735"/>
      <c r="H822" s="735"/>
      <c r="I822" s="735"/>
      <c r="J822" s="735">
        <v>0</v>
      </c>
      <c r="K822" s="735">
        <f t="shared" si="625"/>
        <v>3840.48</v>
      </c>
      <c r="L822" s="735">
        <v>1000</v>
      </c>
      <c r="M822" s="735"/>
      <c r="N822" s="735">
        <f t="shared" si="618"/>
        <v>1000</v>
      </c>
      <c r="O822" s="735">
        <f t="shared" si="619"/>
        <v>47085.760000000002</v>
      </c>
      <c r="P822" s="735">
        <f t="shared" si="620"/>
        <v>47085.760000000002</v>
      </c>
      <c r="Q822" s="711">
        <v>1</v>
      </c>
      <c r="R822" s="735">
        <v>3840.48</v>
      </c>
      <c r="S822" s="735"/>
      <c r="T822" s="735"/>
      <c r="U822" s="735"/>
      <c r="V822" s="735"/>
      <c r="W822" s="735"/>
      <c r="X822" s="735"/>
      <c r="Y822" s="735">
        <v>0</v>
      </c>
      <c r="Z822" s="735">
        <f t="shared" si="626"/>
        <v>3840.48</v>
      </c>
      <c r="AA822" s="735">
        <v>1000</v>
      </c>
      <c r="AB822" s="735"/>
      <c r="AC822" s="735">
        <f t="shared" si="621"/>
        <v>1000</v>
      </c>
      <c r="AD822" s="735">
        <f t="shared" si="622"/>
        <v>47085.760000000002</v>
      </c>
      <c r="AE822" s="735">
        <f t="shared" si="623"/>
        <v>47085.760000000002</v>
      </c>
      <c r="AF822" s="735">
        <f t="shared" si="572"/>
        <v>0</v>
      </c>
      <c r="AG822" s="824">
        <f t="shared" si="586"/>
        <v>0</v>
      </c>
      <c r="AH822" s="711">
        <v>1</v>
      </c>
      <c r="AI822" s="735">
        <f t="shared" si="624"/>
        <v>565030.12</v>
      </c>
    </row>
    <row r="823" spans="1:35" x14ac:dyDescent="0.2">
      <c r="A823" s="704"/>
      <c r="B823" s="711">
        <v>1</v>
      </c>
      <c r="C823" s="735">
        <v>3840.48</v>
      </c>
      <c r="D823" s="735"/>
      <c r="E823" s="735"/>
      <c r="F823" s="735"/>
      <c r="G823" s="735"/>
      <c r="H823" s="735"/>
      <c r="I823" s="735"/>
      <c r="J823" s="735">
        <v>960</v>
      </c>
      <c r="K823" s="735">
        <f t="shared" si="625"/>
        <v>4800.4799999999996</v>
      </c>
      <c r="L823" s="735">
        <v>1000</v>
      </c>
      <c r="M823" s="735"/>
      <c r="N823" s="735">
        <f t="shared" si="618"/>
        <v>1000</v>
      </c>
      <c r="O823" s="735">
        <f t="shared" si="619"/>
        <v>58605.759999999995</v>
      </c>
      <c r="P823" s="735">
        <f t="shared" si="620"/>
        <v>58605.759999999995</v>
      </c>
      <c r="Q823" s="711">
        <v>1</v>
      </c>
      <c r="R823" s="735">
        <v>3840.48</v>
      </c>
      <c r="S823" s="735"/>
      <c r="T823" s="735"/>
      <c r="U823" s="735"/>
      <c r="V823" s="735"/>
      <c r="W823" s="735"/>
      <c r="X823" s="735"/>
      <c r="Y823" s="735">
        <v>960</v>
      </c>
      <c r="Z823" s="735">
        <f t="shared" si="626"/>
        <v>4800.4799999999996</v>
      </c>
      <c r="AA823" s="735">
        <v>1000</v>
      </c>
      <c r="AB823" s="735"/>
      <c r="AC823" s="735">
        <f t="shared" si="621"/>
        <v>1000</v>
      </c>
      <c r="AD823" s="735">
        <f t="shared" si="622"/>
        <v>58605.759999999995</v>
      </c>
      <c r="AE823" s="735">
        <f t="shared" si="623"/>
        <v>58605.759999999995</v>
      </c>
      <c r="AF823" s="735">
        <f t="shared" si="572"/>
        <v>0</v>
      </c>
      <c r="AG823" s="824">
        <f t="shared" si="586"/>
        <v>0</v>
      </c>
      <c r="AH823" s="711">
        <v>1</v>
      </c>
      <c r="AI823" s="735">
        <f t="shared" si="624"/>
        <v>703270.11999999988</v>
      </c>
    </row>
    <row r="824" spans="1:35" x14ac:dyDescent="0.2">
      <c r="A824" s="704"/>
      <c r="B824" s="711">
        <v>1</v>
      </c>
      <c r="C824" s="735">
        <v>3840.48</v>
      </c>
      <c r="D824" s="735"/>
      <c r="E824" s="735"/>
      <c r="F824" s="735"/>
      <c r="G824" s="735"/>
      <c r="H824" s="735"/>
      <c r="I824" s="735"/>
      <c r="J824" s="735">
        <v>620</v>
      </c>
      <c r="K824" s="735">
        <f t="shared" si="625"/>
        <v>4460.4799999999996</v>
      </c>
      <c r="L824" s="735">
        <v>1000</v>
      </c>
      <c r="M824" s="735"/>
      <c r="N824" s="735">
        <f t="shared" si="618"/>
        <v>1000</v>
      </c>
      <c r="O824" s="735">
        <f t="shared" si="619"/>
        <v>54525.759999999995</v>
      </c>
      <c r="P824" s="735">
        <f t="shared" si="620"/>
        <v>54525.759999999995</v>
      </c>
      <c r="Q824" s="711">
        <v>1</v>
      </c>
      <c r="R824" s="735">
        <v>3840.48</v>
      </c>
      <c r="S824" s="735"/>
      <c r="T824" s="735"/>
      <c r="U824" s="735"/>
      <c r="V824" s="735"/>
      <c r="W824" s="735"/>
      <c r="X824" s="735"/>
      <c r="Y824" s="735">
        <v>620</v>
      </c>
      <c r="Z824" s="735">
        <f t="shared" si="626"/>
        <v>4460.4799999999996</v>
      </c>
      <c r="AA824" s="735">
        <v>1000</v>
      </c>
      <c r="AB824" s="735"/>
      <c r="AC824" s="735">
        <f t="shared" si="621"/>
        <v>1000</v>
      </c>
      <c r="AD824" s="735">
        <f t="shared" si="622"/>
        <v>54525.759999999995</v>
      </c>
      <c r="AE824" s="735">
        <f t="shared" si="623"/>
        <v>54525.759999999995</v>
      </c>
      <c r="AF824" s="735">
        <f t="shared" si="572"/>
        <v>0</v>
      </c>
      <c r="AG824" s="824">
        <f t="shared" si="586"/>
        <v>0</v>
      </c>
      <c r="AH824" s="711">
        <v>1</v>
      </c>
      <c r="AI824" s="735">
        <f t="shared" si="624"/>
        <v>654310.11999999988</v>
      </c>
    </row>
    <row r="825" spans="1:35" x14ac:dyDescent="0.2">
      <c r="A825" s="704"/>
      <c r="B825" s="711">
        <v>1</v>
      </c>
      <c r="C825" s="735">
        <v>3840.48</v>
      </c>
      <c r="D825" s="735"/>
      <c r="E825" s="735"/>
      <c r="F825" s="735"/>
      <c r="G825" s="735"/>
      <c r="H825" s="735"/>
      <c r="I825" s="735"/>
      <c r="J825" s="735">
        <v>860</v>
      </c>
      <c r="K825" s="735">
        <f t="shared" si="625"/>
        <v>4700.4799999999996</v>
      </c>
      <c r="L825" s="735">
        <v>1000</v>
      </c>
      <c r="M825" s="735"/>
      <c r="N825" s="735">
        <f t="shared" si="618"/>
        <v>1000</v>
      </c>
      <c r="O825" s="735">
        <f t="shared" si="619"/>
        <v>57405.759999999995</v>
      </c>
      <c r="P825" s="735">
        <f t="shared" si="620"/>
        <v>57405.759999999995</v>
      </c>
      <c r="Q825" s="711">
        <v>1</v>
      </c>
      <c r="R825" s="735">
        <v>3840.48</v>
      </c>
      <c r="S825" s="735"/>
      <c r="T825" s="735"/>
      <c r="U825" s="735"/>
      <c r="V825" s="735"/>
      <c r="W825" s="735"/>
      <c r="X825" s="735"/>
      <c r="Y825" s="735">
        <v>860</v>
      </c>
      <c r="Z825" s="735">
        <f t="shared" si="626"/>
        <v>4700.4799999999996</v>
      </c>
      <c r="AA825" s="735">
        <v>1000</v>
      </c>
      <c r="AB825" s="735"/>
      <c r="AC825" s="735">
        <f t="shared" si="621"/>
        <v>1000</v>
      </c>
      <c r="AD825" s="735">
        <f t="shared" si="622"/>
        <v>57405.759999999995</v>
      </c>
      <c r="AE825" s="735">
        <f t="shared" si="623"/>
        <v>57405.759999999995</v>
      </c>
      <c r="AF825" s="735">
        <f t="shared" si="572"/>
        <v>0</v>
      </c>
      <c r="AG825" s="824">
        <f t="shared" si="586"/>
        <v>0</v>
      </c>
      <c r="AH825" s="711">
        <v>1</v>
      </c>
      <c r="AI825" s="735">
        <f t="shared" si="624"/>
        <v>688870.11999999988</v>
      </c>
    </row>
    <row r="826" spans="1:35" x14ac:dyDescent="0.2">
      <c r="A826" s="704"/>
      <c r="B826" s="711">
        <v>1</v>
      </c>
      <c r="C826" s="735">
        <v>3840.48</v>
      </c>
      <c r="D826" s="735"/>
      <c r="E826" s="735"/>
      <c r="F826" s="735"/>
      <c r="G826" s="735"/>
      <c r="H826" s="735"/>
      <c r="I826" s="735"/>
      <c r="J826" s="735">
        <v>1050</v>
      </c>
      <c r="K826" s="735">
        <f t="shared" si="625"/>
        <v>4890.4799999999996</v>
      </c>
      <c r="L826" s="735">
        <v>1000</v>
      </c>
      <c r="M826" s="735"/>
      <c r="N826" s="735">
        <f t="shared" si="618"/>
        <v>1000</v>
      </c>
      <c r="O826" s="735">
        <f t="shared" si="619"/>
        <v>59685.759999999995</v>
      </c>
      <c r="P826" s="735">
        <f t="shared" si="620"/>
        <v>59685.759999999995</v>
      </c>
      <c r="Q826" s="711">
        <v>1</v>
      </c>
      <c r="R826" s="735">
        <v>3840.48</v>
      </c>
      <c r="S826" s="735"/>
      <c r="T826" s="735"/>
      <c r="U826" s="735"/>
      <c r="V826" s="735"/>
      <c r="W826" s="735"/>
      <c r="X826" s="735"/>
      <c r="Y826" s="735">
        <v>1050</v>
      </c>
      <c r="Z826" s="735">
        <f t="shared" si="626"/>
        <v>4890.4799999999996</v>
      </c>
      <c r="AA826" s="735">
        <v>1000</v>
      </c>
      <c r="AB826" s="735"/>
      <c r="AC826" s="735">
        <f t="shared" si="621"/>
        <v>1000</v>
      </c>
      <c r="AD826" s="735">
        <f t="shared" si="622"/>
        <v>59685.759999999995</v>
      </c>
      <c r="AE826" s="735">
        <f t="shared" si="623"/>
        <v>59685.759999999995</v>
      </c>
      <c r="AF826" s="735">
        <f t="shared" si="572"/>
        <v>0</v>
      </c>
      <c r="AG826" s="824">
        <f t="shared" si="586"/>
        <v>0</v>
      </c>
      <c r="AH826" s="711">
        <v>1</v>
      </c>
      <c r="AI826" s="735">
        <f t="shared" si="624"/>
        <v>716230.11999999988</v>
      </c>
    </row>
    <row r="827" spans="1:35" x14ac:dyDescent="0.2">
      <c r="A827" s="704"/>
      <c r="B827" s="711">
        <v>1</v>
      </c>
      <c r="C827" s="735">
        <v>3840.48</v>
      </c>
      <c r="D827" s="735"/>
      <c r="E827" s="735"/>
      <c r="F827" s="735"/>
      <c r="G827" s="735"/>
      <c r="H827" s="735"/>
      <c r="I827" s="735"/>
      <c r="J827" s="735">
        <v>410</v>
      </c>
      <c r="K827" s="735">
        <f t="shared" si="625"/>
        <v>4250.4799999999996</v>
      </c>
      <c r="L827" s="735">
        <v>1000</v>
      </c>
      <c r="M827" s="735"/>
      <c r="N827" s="735">
        <f t="shared" si="618"/>
        <v>1000</v>
      </c>
      <c r="O827" s="735">
        <f t="shared" si="619"/>
        <v>52005.759999999995</v>
      </c>
      <c r="P827" s="735">
        <f t="shared" si="620"/>
        <v>52005.759999999995</v>
      </c>
      <c r="Q827" s="711">
        <v>1</v>
      </c>
      <c r="R827" s="735">
        <v>3840.48</v>
      </c>
      <c r="S827" s="735"/>
      <c r="T827" s="735"/>
      <c r="U827" s="735"/>
      <c r="V827" s="735"/>
      <c r="W827" s="735"/>
      <c r="X827" s="735"/>
      <c r="Y827" s="735">
        <v>410</v>
      </c>
      <c r="Z827" s="735">
        <f t="shared" si="626"/>
        <v>4250.4799999999996</v>
      </c>
      <c r="AA827" s="735">
        <v>1000</v>
      </c>
      <c r="AB827" s="735"/>
      <c r="AC827" s="735">
        <f t="shared" si="621"/>
        <v>1000</v>
      </c>
      <c r="AD827" s="735">
        <f t="shared" si="622"/>
        <v>52005.759999999995</v>
      </c>
      <c r="AE827" s="735">
        <f t="shared" si="623"/>
        <v>52005.759999999995</v>
      </c>
      <c r="AF827" s="735">
        <f t="shared" si="572"/>
        <v>0</v>
      </c>
      <c r="AG827" s="824">
        <f t="shared" si="586"/>
        <v>0</v>
      </c>
      <c r="AH827" s="711">
        <v>1</v>
      </c>
      <c r="AI827" s="735">
        <f t="shared" si="624"/>
        <v>624070.11999999988</v>
      </c>
    </row>
    <row r="828" spans="1:35" x14ac:dyDescent="0.2">
      <c r="A828" s="704"/>
      <c r="B828" s="711">
        <v>1</v>
      </c>
      <c r="C828" s="735">
        <v>3840.48</v>
      </c>
      <c r="D828" s="735"/>
      <c r="E828" s="735"/>
      <c r="F828" s="735"/>
      <c r="G828" s="735"/>
      <c r="H828" s="735"/>
      <c r="I828" s="735"/>
      <c r="J828" s="735">
        <v>410</v>
      </c>
      <c r="K828" s="735">
        <f t="shared" si="625"/>
        <v>4250.4799999999996</v>
      </c>
      <c r="L828" s="735">
        <v>1000</v>
      </c>
      <c r="M828" s="735"/>
      <c r="N828" s="735">
        <f t="shared" si="618"/>
        <v>1000</v>
      </c>
      <c r="O828" s="735">
        <f t="shared" si="619"/>
        <v>52005.759999999995</v>
      </c>
      <c r="P828" s="735">
        <f t="shared" si="620"/>
        <v>52005.759999999995</v>
      </c>
      <c r="Q828" s="711">
        <v>1</v>
      </c>
      <c r="R828" s="735">
        <v>3840.48</v>
      </c>
      <c r="S828" s="735"/>
      <c r="T828" s="735"/>
      <c r="U828" s="735"/>
      <c r="V828" s="735"/>
      <c r="W828" s="735"/>
      <c r="X828" s="735"/>
      <c r="Y828" s="735">
        <v>410</v>
      </c>
      <c r="Z828" s="735">
        <f t="shared" si="626"/>
        <v>4250.4799999999996</v>
      </c>
      <c r="AA828" s="735">
        <v>1000</v>
      </c>
      <c r="AB828" s="735"/>
      <c r="AC828" s="735">
        <f t="shared" si="621"/>
        <v>1000</v>
      </c>
      <c r="AD828" s="735">
        <f t="shared" si="622"/>
        <v>52005.759999999995</v>
      </c>
      <c r="AE828" s="735">
        <f t="shared" si="623"/>
        <v>52005.759999999995</v>
      </c>
      <c r="AF828" s="735">
        <f t="shared" si="572"/>
        <v>0</v>
      </c>
      <c r="AG828" s="824">
        <f t="shared" si="586"/>
        <v>0</v>
      </c>
      <c r="AH828" s="711">
        <v>1</v>
      </c>
      <c r="AI828" s="735">
        <f t="shared" si="624"/>
        <v>624070.11999999988</v>
      </c>
    </row>
    <row r="829" spans="1:35" x14ac:dyDescent="0.2">
      <c r="A829" s="704"/>
      <c r="B829" s="711">
        <v>1</v>
      </c>
      <c r="C829" s="735">
        <v>3840.48</v>
      </c>
      <c r="D829" s="735"/>
      <c r="E829" s="735"/>
      <c r="F829" s="735"/>
      <c r="G829" s="735"/>
      <c r="H829" s="735"/>
      <c r="I829" s="735"/>
      <c r="J829" s="735">
        <v>410</v>
      </c>
      <c r="K829" s="735">
        <f t="shared" si="625"/>
        <v>4250.4799999999996</v>
      </c>
      <c r="L829" s="735">
        <v>1000</v>
      </c>
      <c r="M829" s="735"/>
      <c r="N829" s="735">
        <f t="shared" si="618"/>
        <v>1000</v>
      </c>
      <c r="O829" s="735">
        <f t="shared" si="619"/>
        <v>52005.759999999995</v>
      </c>
      <c r="P829" s="735">
        <f t="shared" si="620"/>
        <v>52005.759999999995</v>
      </c>
      <c r="Q829" s="711">
        <v>1</v>
      </c>
      <c r="R829" s="735">
        <v>3840.48</v>
      </c>
      <c r="S829" s="735"/>
      <c r="T829" s="735"/>
      <c r="U829" s="735"/>
      <c r="V829" s="735"/>
      <c r="W829" s="735"/>
      <c r="X829" s="735"/>
      <c r="Y829" s="735">
        <v>410</v>
      </c>
      <c r="Z829" s="735">
        <f t="shared" si="626"/>
        <v>4250.4799999999996</v>
      </c>
      <c r="AA829" s="735">
        <v>1000</v>
      </c>
      <c r="AB829" s="735"/>
      <c r="AC829" s="735">
        <f t="shared" si="621"/>
        <v>1000</v>
      </c>
      <c r="AD829" s="735">
        <f t="shared" si="622"/>
        <v>52005.759999999995</v>
      </c>
      <c r="AE829" s="735">
        <f t="shared" si="623"/>
        <v>52005.759999999995</v>
      </c>
      <c r="AF829" s="735">
        <f t="shared" si="572"/>
        <v>0</v>
      </c>
      <c r="AG829" s="824">
        <f t="shared" si="586"/>
        <v>0</v>
      </c>
      <c r="AH829" s="711">
        <v>1</v>
      </c>
      <c r="AI829" s="735">
        <f t="shared" si="624"/>
        <v>624070.11999999988</v>
      </c>
    </row>
    <row r="830" spans="1:35" x14ac:dyDescent="0.2">
      <c r="A830" s="704"/>
      <c r="B830" s="711">
        <v>1</v>
      </c>
      <c r="C830" s="735">
        <v>3840.48</v>
      </c>
      <c r="D830" s="735"/>
      <c r="E830" s="735"/>
      <c r="F830" s="735"/>
      <c r="G830" s="735"/>
      <c r="H830" s="735"/>
      <c r="I830" s="735"/>
      <c r="J830" s="735">
        <v>360</v>
      </c>
      <c r="K830" s="735">
        <f t="shared" si="625"/>
        <v>4200.4799999999996</v>
      </c>
      <c r="L830" s="735">
        <v>1000</v>
      </c>
      <c r="M830" s="735"/>
      <c r="N830" s="735">
        <f t="shared" si="618"/>
        <v>1000</v>
      </c>
      <c r="O830" s="735">
        <f t="shared" si="619"/>
        <v>51405.759999999995</v>
      </c>
      <c r="P830" s="735">
        <f t="shared" si="620"/>
        <v>51405.759999999995</v>
      </c>
      <c r="Q830" s="711">
        <v>1</v>
      </c>
      <c r="R830" s="735">
        <v>3840.48</v>
      </c>
      <c r="S830" s="735"/>
      <c r="T830" s="735"/>
      <c r="U830" s="735"/>
      <c r="V830" s="735"/>
      <c r="W830" s="735"/>
      <c r="X830" s="735"/>
      <c r="Y830" s="735">
        <v>360</v>
      </c>
      <c r="Z830" s="735">
        <f t="shared" si="626"/>
        <v>4200.4799999999996</v>
      </c>
      <c r="AA830" s="735">
        <v>1000</v>
      </c>
      <c r="AB830" s="735"/>
      <c r="AC830" s="735">
        <f t="shared" si="621"/>
        <v>1000</v>
      </c>
      <c r="AD830" s="735">
        <f t="shared" si="622"/>
        <v>51405.759999999995</v>
      </c>
      <c r="AE830" s="735">
        <f t="shared" si="623"/>
        <v>51405.759999999995</v>
      </c>
      <c r="AF830" s="735">
        <f t="shared" si="572"/>
        <v>0</v>
      </c>
      <c r="AG830" s="824">
        <f t="shared" si="586"/>
        <v>0</v>
      </c>
      <c r="AH830" s="711">
        <v>1</v>
      </c>
      <c r="AI830" s="735">
        <f t="shared" si="624"/>
        <v>616870.11999999988</v>
      </c>
    </row>
    <row r="831" spans="1:35" x14ac:dyDescent="0.2">
      <c r="A831" s="704"/>
      <c r="B831" s="711">
        <v>1</v>
      </c>
      <c r="C831" s="735">
        <v>3840.48</v>
      </c>
      <c r="D831" s="735"/>
      <c r="E831" s="735"/>
      <c r="F831" s="735"/>
      <c r="G831" s="735"/>
      <c r="H831" s="735"/>
      <c r="I831" s="735"/>
      <c r="J831" s="735">
        <v>1200</v>
      </c>
      <c r="K831" s="735">
        <f t="shared" si="625"/>
        <v>5040.4799999999996</v>
      </c>
      <c r="L831" s="735">
        <v>1000</v>
      </c>
      <c r="M831" s="735"/>
      <c r="N831" s="735">
        <f t="shared" si="618"/>
        <v>1000</v>
      </c>
      <c r="O831" s="735">
        <f t="shared" si="619"/>
        <v>61485.759999999995</v>
      </c>
      <c r="P831" s="735">
        <f t="shared" si="620"/>
        <v>61485.759999999995</v>
      </c>
      <c r="Q831" s="711">
        <v>1</v>
      </c>
      <c r="R831" s="735">
        <v>3840.48</v>
      </c>
      <c r="S831" s="735"/>
      <c r="T831" s="735"/>
      <c r="U831" s="735"/>
      <c r="V831" s="735"/>
      <c r="W831" s="735"/>
      <c r="X831" s="735"/>
      <c r="Y831" s="735">
        <v>1200</v>
      </c>
      <c r="Z831" s="735">
        <f t="shared" si="626"/>
        <v>5040.4799999999996</v>
      </c>
      <c r="AA831" s="735">
        <v>1000</v>
      </c>
      <c r="AB831" s="735"/>
      <c r="AC831" s="735">
        <f t="shared" si="621"/>
        <v>1000</v>
      </c>
      <c r="AD831" s="735">
        <f t="shared" si="622"/>
        <v>61485.759999999995</v>
      </c>
      <c r="AE831" s="735">
        <f t="shared" si="623"/>
        <v>61485.759999999995</v>
      </c>
      <c r="AF831" s="735">
        <f t="shared" si="572"/>
        <v>0</v>
      </c>
      <c r="AG831" s="824">
        <f t="shared" si="586"/>
        <v>0</v>
      </c>
      <c r="AH831" s="711">
        <v>1</v>
      </c>
      <c r="AI831" s="735">
        <f t="shared" si="624"/>
        <v>737830.11999999988</v>
      </c>
    </row>
    <row r="832" spans="1:35" x14ac:dyDescent="0.2">
      <c r="A832" s="704"/>
      <c r="B832" s="711">
        <v>1</v>
      </c>
      <c r="C832" s="735">
        <v>3840.48</v>
      </c>
      <c r="D832" s="735"/>
      <c r="E832" s="735"/>
      <c r="F832" s="735"/>
      <c r="G832" s="735"/>
      <c r="H832" s="735"/>
      <c r="I832" s="735"/>
      <c r="J832" s="735">
        <v>460</v>
      </c>
      <c r="K832" s="735">
        <f t="shared" si="625"/>
        <v>4300.4799999999996</v>
      </c>
      <c r="L832" s="735">
        <v>1000</v>
      </c>
      <c r="M832" s="735"/>
      <c r="N832" s="735">
        <f t="shared" si="618"/>
        <v>1000</v>
      </c>
      <c r="O832" s="735">
        <f t="shared" si="619"/>
        <v>52605.759999999995</v>
      </c>
      <c r="P832" s="735">
        <f t="shared" si="620"/>
        <v>52605.759999999995</v>
      </c>
      <c r="Q832" s="711">
        <v>1</v>
      </c>
      <c r="R832" s="735">
        <v>3840.48</v>
      </c>
      <c r="S832" s="735"/>
      <c r="T832" s="735"/>
      <c r="U832" s="735"/>
      <c r="V832" s="735"/>
      <c r="W832" s="735"/>
      <c r="X832" s="735"/>
      <c r="Y832" s="735">
        <v>460</v>
      </c>
      <c r="Z832" s="735">
        <f t="shared" si="626"/>
        <v>4300.4799999999996</v>
      </c>
      <c r="AA832" s="735">
        <v>1000</v>
      </c>
      <c r="AB832" s="735"/>
      <c r="AC832" s="735">
        <f t="shared" si="621"/>
        <v>1000</v>
      </c>
      <c r="AD832" s="735">
        <f t="shared" si="622"/>
        <v>52605.759999999995</v>
      </c>
      <c r="AE832" s="735">
        <f t="shared" si="623"/>
        <v>52605.759999999995</v>
      </c>
      <c r="AF832" s="735">
        <f t="shared" ref="AF832:AF895" si="627">AD832-O832</f>
        <v>0</v>
      </c>
      <c r="AG832" s="824">
        <f t="shared" si="586"/>
        <v>0</v>
      </c>
      <c r="AH832" s="711">
        <v>1</v>
      </c>
      <c r="AI832" s="735">
        <f t="shared" si="624"/>
        <v>631270.11999999988</v>
      </c>
    </row>
    <row r="833" spans="1:35" x14ac:dyDescent="0.2">
      <c r="A833" s="704"/>
      <c r="B833" s="711">
        <v>1</v>
      </c>
      <c r="C833" s="735">
        <v>3840.48</v>
      </c>
      <c r="D833" s="735"/>
      <c r="E833" s="735"/>
      <c r="F833" s="735"/>
      <c r="G833" s="735"/>
      <c r="H833" s="735"/>
      <c r="I833" s="735"/>
      <c r="J833" s="735">
        <v>910</v>
      </c>
      <c r="K833" s="735">
        <f t="shared" si="625"/>
        <v>4750.4799999999996</v>
      </c>
      <c r="L833" s="735">
        <v>1000</v>
      </c>
      <c r="M833" s="735"/>
      <c r="N833" s="735">
        <f t="shared" si="618"/>
        <v>1000</v>
      </c>
      <c r="O833" s="735">
        <f t="shared" si="619"/>
        <v>58005.759999999995</v>
      </c>
      <c r="P833" s="735">
        <f t="shared" si="620"/>
        <v>58005.759999999995</v>
      </c>
      <c r="Q833" s="711">
        <v>1</v>
      </c>
      <c r="R833" s="735">
        <v>3840.48</v>
      </c>
      <c r="S833" s="735"/>
      <c r="T833" s="735"/>
      <c r="U833" s="735"/>
      <c r="V833" s="735"/>
      <c r="W833" s="735"/>
      <c r="X833" s="735"/>
      <c r="Y833" s="735">
        <v>910</v>
      </c>
      <c r="Z833" s="735">
        <f t="shared" si="626"/>
        <v>4750.4799999999996</v>
      </c>
      <c r="AA833" s="735">
        <v>1000</v>
      </c>
      <c r="AB833" s="735"/>
      <c r="AC833" s="735">
        <f t="shared" si="621"/>
        <v>1000</v>
      </c>
      <c r="AD833" s="735">
        <f t="shared" si="622"/>
        <v>58005.759999999995</v>
      </c>
      <c r="AE833" s="735">
        <f t="shared" si="623"/>
        <v>58005.759999999995</v>
      </c>
      <c r="AF833" s="735">
        <f t="shared" si="627"/>
        <v>0</v>
      </c>
      <c r="AG833" s="824">
        <f t="shared" si="586"/>
        <v>0</v>
      </c>
      <c r="AH833" s="711">
        <v>1</v>
      </c>
      <c r="AI833" s="735">
        <f t="shared" si="624"/>
        <v>696070.11999999988</v>
      </c>
    </row>
    <row r="834" spans="1:35" x14ac:dyDescent="0.2">
      <c r="A834" s="873" t="s">
        <v>760</v>
      </c>
      <c r="B834" s="722">
        <f>SUM(B835:B884)</f>
        <v>50</v>
      </c>
      <c r="C834" s="784">
        <f>SUM(C835:C884)</f>
        <v>144017.99999999994</v>
      </c>
      <c r="D834" s="784">
        <f t="shared" ref="D834:L834" si="628">SUM(D835:D884)</f>
        <v>0</v>
      </c>
      <c r="E834" s="784">
        <f t="shared" si="628"/>
        <v>0</v>
      </c>
      <c r="F834" s="784">
        <f t="shared" si="628"/>
        <v>0</v>
      </c>
      <c r="G834" s="784">
        <f t="shared" si="628"/>
        <v>0</v>
      </c>
      <c r="H834" s="784">
        <f t="shared" si="628"/>
        <v>0</v>
      </c>
      <c r="I834" s="784">
        <f t="shared" si="628"/>
        <v>0</v>
      </c>
      <c r="J834" s="784">
        <f t="shared" si="628"/>
        <v>6830</v>
      </c>
      <c r="K834" s="784">
        <f>SUM(K835:K884)</f>
        <v>150847.99999999991</v>
      </c>
      <c r="L834" s="784">
        <f t="shared" si="628"/>
        <v>50000</v>
      </c>
      <c r="M834" s="784"/>
      <c r="N834" s="784">
        <f>SUM(L834:M834)</f>
        <v>50000</v>
      </c>
      <c r="O834" s="784">
        <f>SUM(O835:O884)</f>
        <v>1860176.0000000007</v>
      </c>
      <c r="P834" s="784">
        <f>SUM(P835:P884)</f>
        <v>1860176.0000000007</v>
      </c>
      <c r="Q834" s="722">
        <f>SUM(Q835:Q884)</f>
        <v>50</v>
      </c>
      <c r="R834" s="784">
        <f>SUM(R835:R884)</f>
        <v>144017.99999999994</v>
      </c>
      <c r="S834" s="784">
        <f t="shared" ref="S834:Y834" si="629">SUM(S835:S884)</f>
        <v>0</v>
      </c>
      <c r="T834" s="784">
        <f t="shared" si="629"/>
        <v>0</v>
      </c>
      <c r="U834" s="784">
        <f t="shared" si="629"/>
        <v>0</v>
      </c>
      <c r="V834" s="784">
        <f t="shared" si="629"/>
        <v>0</v>
      </c>
      <c r="W834" s="784">
        <f t="shared" si="629"/>
        <v>0</v>
      </c>
      <c r="X834" s="784">
        <f t="shared" si="629"/>
        <v>0</v>
      </c>
      <c r="Y834" s="784">
        <f t="shared" si="629"/>
        <v>6830</v>
      </c>
      <c r="Z834" s="784">
        <f>SUM(Z835:Z884)</f>
        <v>150847.99999999991</v>
      </c>
      <c r="AA834" s="784">
        <f t="shared" ref="AA834" si="630">SUM(AA835:AA884)</f>
        <v>50000</v>
      </c>
      <c r="AB834" s="784"/>
      <c r="AC834" s="784">
        <f>SUM(AA834:AB834)</f>
        <v>50000</v>
      </c>
      <c r="AD834" s="784">
        <f>SUM(AD835:AD884)</f>
        <v>1860176.0000000007</v>
      </c>
      <c r="AE834" s="784">
        <f>SUM(AE835:AE884)</f>
        <v>1860176.0000000007</v>
      </c>
      <c r="AF834" s="784">
        <f t="shared" ref="AF834:AG834" si="631">SUM(AF835:AF884)</f>
        <v>0</v>
      </c>
      <c r="AG834" s="786">
        <f t="shared" si="631"/>
        <v>0</v>
      </c>
      <c r="AH834" s="722">
        <f>SUM(AH835:AH884)</f>
        <v>50</v>
      </c>
      <c r="AI834" s="784">
        <f>SUM(AI835:AI884)</f>
        <v>22322161.999999996</v>
      </c>
    </row>
    <row r="835" spans="1:35" x14ac:dyDescent="0.2">
      <c r="A835" s="704"/>
      <c r="B835" s="711">
        <v>1</v>
      </c>
      <c r="C835" s="735">
        <v>2880.36</v>
      </c>
      <c r="D835" s="735"/>
      <c r="E835" s="735"/>
      <c r="F835" s="735"/>
      <c r="G835" s="735"/>
      <c r="H835" s="735"/>
      <c r="I835" s="735"/>
      <c r="J835" s="735">
        <v>0</v>
      </c>
      <c r="K835" s="735">
        <f t="shared" si="625"/>
        <v>2880.36</v>
      </c>
      <c r="L835" s="735">
        <v>1000</v>
      </c>
      <c r="M835" s="735"/>
      <c r="N835" s="735">
        <f t="shared" si="618"/>
        <v>1000</v>
      </c>
      <c r="O835" s="735">
        <f t="shared" si="619"/>
        <v>35564.32</v>
      </c>
      <c r="P835" s="735">
        <f t="shared" si="620"/>
        <v>35564.32</v>
      </c>
      <c r="Q835" s="711">
        <v>1</v>
      </c>
      <c r="R835" s="735">
        <v>2880.36</v>
      </c>
      <c r="S835" s="735"/>
      <c r="T835" s="735"/>
      <c r="U835" s="735"/>
      <c r="V835" s="735"/>
      <c r="W835" s="735"/>
      <c r="X835" s="735"/>
      <c r="Y835" s="735">
        <v>0</v>
      </c>
      <c r="Z835" s="735">
        <f t="shared" ref="Z835:Z884" si="632">SUM(R835:Y835)</f>
        <v>2880.36</v>
      </c>
      <c r="AA835" s="735">
        <v>1000</v>
      </c>
      <c r="AB835" s="735"/>
      <c r="AC835" s="735">
        <f t="shared" ref="AC835:AC857" si="633">SUM(AA835:AB835)</f>
        <v>1000</v>
      </c>
      <c r="AD835" s="735">
        <f t="shared" ref="AD835:AD884" si="634">(Z835*12)+AC835</f>
        <v>35564.32</v>
      </c>
      <c r="AE835" s="735">
        <f t="shared" ref="AE835:AE884" si="635">Q835*AD835</f>
        <v>35564.32</v>
      </c>
      <c r="AF835" s="735">
        <f t="shared" si="627"/>
        <v>0</v>
      </c>
      <c r="AG835" s="824">
        <f t="shared" si="586"/>
        <v>0</v>
      </c>
      <c r="AH835" s="711">
        <v>1</v>
      </c>
      <c r="AI835" s="735">
        <f t="shared" ref="AI835:AI884" si="636">(AE835*12)+AH835</f>
        <v>426772.83999999997</v>
      </c>
    </row>
    <row r="836" spans="1:35" x14ac:dyDescent="0.2">
      <c r="A836" s="704"/>
      <c r="B836" s="711">
        <v>1</v>
      </c>
      <c r="C836" s="735">
        <v>2880.36</v>
      </c>
      <c r="D836" s="735"/>
      <c r="E836" s="735"/>
      <c r="F836" s="735"/>
      <c r="G836" s="735"/>
      <c r="H836" s="735"/>
      <c r="I836" s="735"/>
      <c r="J836" s="735">
        <v>0</v>
      </c>
      <c r="K836" s="735">
        <f t="shared" si="625"/>
        <v>2880.36</v>
      </c>
      <c r="L836" s="735">
        <v>1000</v>
      </c>
      <c r="M836" s="735"/>
      <c r="N836" s="735">
        <f t="shared" si="618"/>
        <v>1000</v>
      </c>
      <c r="O836" s="735">
        <f t="shared" si="619"/>
        <v>35564.32</v>
      </c>
      <c r="P836" s="735">
        <f t="shared" si="620"/>
        <v>35564.32</v>
      </c>
      <c r="Q836" s="711">
        <v>1</v>
      </c>
      <c r="R836" s="735">
        <v>2880.36</v>
      </c>
      <c r="S836" s="735"/>
      <c r="T836" s="735"/>
      <c r="U836" s="735"/>
      <c r="V836" s="735"/>
      <c r="W836" s="735"/>
      <c r="X836" s="735"/>
      <c r="Y836" s="735">
        <v>0</v>
      </c>
      <c r="Z836" s="735">
        <f t="shared" si="632"/>
        <v>2880.36</v>
      </c>
      <c r="AA836" s="735">
        <v>1000</v>
      </c>
      <c r="AB836" s="735"/>
      <c r="AC836" s="735">
        <f t="shared" si="633"/>
        <v>1000</v>
      </c>
      <c r="AD836" s="735">
        <f t="shared" si="634"/>
        <v>35564.32</v>
      </c>
      <c r="AE836" s="735">
        <f t="shared" si="635"/>
        <v>35564.32</v>
      </c>
      <c r="AF836" s="735">
        <f t="shared" si="627"/>
        <v>0</v>
      </c>
      <c r="AG836" s="824">
        <f t="shared" si="586"/>
        <v>0</v>
      </c>
      <c r="AH836" s="711">
        <v>1</v>
      </c>
      <c r="AI836" s="735">
        <f t="shared" si="636"/>
        <v>426772.83999999997</v>
      </c>
    </row>
    <row r="837" spans="1:35" x14ac:dyDescent="0.2">
      <c r="A837" s="704"/>
      <c r="B837" s="711">
        <v>1</v>
      </c>
      <c r="C837" s="735">
        <v>2880.36</v>
      </c>
      <c r="D837" s="735"/>
      <c r="E837" s="735"/>
      <c r="F837" s="735"/>
      <c r="G837" s="735"/>
      <c r="H837" s="735"/>
      <c r="I837" s="735"/>
      <c r="J837" s="735">
        <v>0</v>
      </c>
      <c r="K837" s="735">
        <f t="shared" si="625"/>
        <v>2880.36</v>
      </c>
      <c r="L837" s="735">
        <v>1000</v>
      </c>
      <c r="M837" s="735"/>
      <c r="N837" s="735">
        <f t="shared" si="618"/>
        <v>1000</v>
      </c>
      <c r="O837" s="735">
        <f t="shared" si="619"/>
        <v>35564.32</v>
      </c>
      <c r="P837" s="735">
        <f t="shared" si="620"/>
        <v>35564.32</v>
      </c>
      <c r="Q837" s="711">
        <v>1</v>
      </c>
      <c r="R837" s="735">
        <v>2880.36</v>
      </c>
      <c r="S837" s="735"/>
      <c r="T837" s="735"/>
      <c r="U837" s="735"/>
      <c r="V837" s="735"/>
      <c r="W837" s="735"/>
      <c r="X837" s="735"/>
      <c r="Y837" s="735">
        <v>0</v>
      </c>
      <c r="Z837" s="735">
        <f t="shared" si="632"/>
        <v>2880.36</v>
      </c>
      <c r="AA837" s="735">
        <v>1000</v>
      </c>
      <c r="AB837" s="735"/>
      <c r="AC837" s="735">
        <f t="shared" si="633"/>
        <v>1000</v>
      </c>
      <c r="AD837" s="735">
        <f t="shared" si="634"/>
        <v>35564.32</v>
      </c>
      <c r="AE837" s="735">
        <f t="shared" si="635"/>
        <v>35564.32</v>
      </c>
      <c r="AF837" s="735">
        <f t="shared" si="627"/>
        <v>0</v>
      </c>
      <c r="AG837" s="824">
        <f t="shared" si="586"/>
        <v>0</v>
      </c>
      <c r="AH837" s="711">
        <v>1</v>
      </c>
      <c r="AI837" s="735">
        <f t="shared" si="636"/>
        <v>426772.83999999997</v>
      </c>
    </row>
    <row r="838" spans="1:35" x14ac:dyDescent="0.2">
      <c r="A838" s="704"/>
      <c r="B838" s="711">
        <v>1</v>
      </c>
      <c r="C838" s="735">
        <v>2880.36</v>
      </c>
      <c r="D838" s="735"/>
      <c r="E838" s="735"/>
      <c r="F838" s="735"/>
      <c r="G838" s="735"/>
      <c r="H838" s="735"/>
      <c r="I838" s="735"/>
      <c r="J838" s="735">
        <v>0</v>
      </c>
      <c r="K838" s="735">
        <f t="shared" si="625"/>
        <v>2880.36</v>
      </c>
      <c r="L838" s="735">
        <v>1000</v>
      </c>
      <c r="M838" s="735"/>
      <c r="N838" s="735">
        <f t="shared" si="618"/>
        <v>1000</v>
      </c>
      <c r="O838" s="735">
        <f t="shared" si="619"/>
        <v>35564.32</v>
      </c>
      <c r="P838" s="735">
        <f t="shared" si="620"/>
        <v>35564.32</v>
      </c>
      <c r="Q838" s="711">
        <v>1</v>
      </c>
      <c r="R838" s="735">
        <v>2880.36</v>
      </c>
      <c r="S838" s="735"/>
      <c r="T838" s="735"/>
      <c r="U838" s="735"/>
      <c r="V838" s="735"/>
      <c r="W838" s="735"/>
      <c r="X838" s="735"/>
      <c r="Y838" s="735">
        <v>0</v>
      </c>
      <c r="Z838" s="735">
        <f t="shared" si="632"/>
        <v>2880.36</v>
      </c>
      <c r="AA838" s="735">
        <v>1000</v>
      </c>
      <c r="AB838" s="735"/>
      <c r="AC838" s="735">
        <f t="shared" si="633"/>
        <v>1000</v>
      </c>
      <c r="AD838" s="735">
        <f t="shared" si="634"/>
        <v>35564.32</v>
      </c>
      <c r="AE838" s="735">
        <f t="shared" si="635"/>
        <v>35564.32</v>
      </c>
      <c r="AF838" s="735">
        <f t="shared" si="627"/>
        <v>0</v>
      </c>
      <c r="AG838" s="824">
        <f t="shared" si="586"/>
        <v>0</v>
      </c>
      <c r="AH838" s="711">
        <v>1</v>
      </c>
      <c r="AI838" s="735">
        <f t="shared" si="636"/>
        <v>426772.83999999997</v>
      </c>
    </row>
    <row r="839" spans="1:35" x14ac:dyDescent="0.2">
      <c r="A839" s="704"/>
      <c r="B839" s="711">
        <v>1</v>
      </c>
      <c r="C839" s="735">
        <v>2880.36</v>
      </c>
      <c r="D839" s="735"/>
      <c r="E839" s="735"/>
      <c r="F839" s="735"/>
      <c r="G839" s="735"/>
      <c r="H839" s="735"/>
      <c r="I839" s="735"/>
      <c r="J839" s="735">
        <v>0</v>
      </c>
      <c r="K839" s="735">
        <f t="shared" si="625"/>
        <v>2880.36</v>
      </c>
      <c r="L839" s="735">
        <v>1000</v>
      </c>
      <c r="M839" s="735"/>
      <c r="N839" s="735">
        <f t="shared" si="618"/>
        <v>1000</v>
      </c>
      <c r="O839" s="735">
        <f t="shared" si="619"/>
        <v>35564.32</v>
      </c>
      <c r="P839" s="735">
        <f t="shared" si="620"/>
        <v>35564.32</v>
      </c>
      <c r="Q839" s="711">
        <v>1</v>
      </c>
      <c r="R839" s="735">
        <v>2880.36</v>
      </c>
      <c r="S839" s="735"/>
      <c r="T839" s="735"/>
      <c r="U839" s="735"/>
      <c r="V839" s="735"/>
      <c r="W839" s="735"/>
      <c r="X839" s="735"/>
      <c r="Y839" s="735">
        <v>0</v>
      </c>
      <c r="Z839" s="735">
        <f t="shared" si="632"/>
        <v>2880.36</v>
      </c>
      <c r="AA839" s="735">
        <v>1000</v>
      </c>
      <c r="AB839" s="735"/>
      <c r="AC839" s="735">
        <f t="shared" si="633"/>
        <v>1000</v>
      </c>
      <c r="AD839" s="735">
        <f t="shared" si="634"/>
        <v>35564.32</v>
      </c>
      <c r="AE839" s="735">
        <f t="shared" si="635"/>
        <v>35564.32</v>
      </c>
      <c r="AF839" s="735">
        <f t="shared" si="627"/>
        <v>0</v>
      </c>
      <c r="AG839" s="824">
        <f t="shared" si="586"/>
        <v>0</v>
      </c>
      <c r="AH839" s="711">
        <v>1</v>
      </c>
      <c r="AI839" s="735">
        <f t="shared" si="636"/>
        <v>426772.83999999997</v>
      </c>
    </row>
    <row r="840" spans="1:35" x14ac:dyDescent="0.2">
      <c r="A840" s="704"/>
      <c r="B840" s="711">
        <v>1</v>
      </c>
      <c r="C840" s="735">
        <v>2880.36</v>
      </c>
      <c r="D840" s="735"/>
      <c r="E840" s="735"/>
      <c r="F840" s="735"/>
      <c r="G840" s="735"/>
      <c r="H840" s="735"/>
      <c r="I840" s="735"/>
      <c r="J840" s="735">
        <v>0</v>
      </c>
      <c r="K840" s="735">
        <f t="shared" si="625"/>
        <v>2880.36</v>
      </c>
      <c r="L840" s="735">
        <v>1000</v>
      </c>
      <c r="M840" s="735"/>
      <c r="N840" s="735">
        <f t="shared" si="618"/>
        <v>1000</v>
      </c>
      <c r="O840" s="735">
        <f t="shared" si="619"/>
        <v>35564.32</v>
      </c>
      <c r="P840" s="735">
        <f t="shared" si="620"/>
        <v>35564.32</v>
      </c>
      <c r="Q840" s="711">
        <v>1</v>
      </c>
      <c r="R840" s="735">
        <v>2880.36</v>
      </c>
      <c r="S840" s="735"/>
      <c r="T840" s="735"/>
      <c r="U840" s="735"/>
      <c r="V840" s="735"/>
      <c r="W840" s="735"/>
      <c r="X840" s="735"/>
      <c r="Y840" s="735">
        <v>0</v>
      </c>
      <c r="Z840" s="735">
        <f t="shared" si="632"/>
        <v>2880.36</v>
      </c>
      <c r="AA840" s="735">
        <v>1000</v>
      </c>
      <c r="AB840" s="735"/>
      <c r="AC840" s="735">
        <f t="shared" si="633"/>
        <v>1000</v>
      </c>
      <c r="AD840" s="735">
        <f t="shared" si="634"/>
        <v>35564.32</v>
      </c>
      <c r="AE840" s="735">
        <f t="shared" si="635"/>
        <v>35564.32</v>
      </c>
      <c r="AF840" s="735">
        <f t="shared" si="627"/>
        <v>0</v>
      </c>
      <c r="AG840" s="824">
        <f t="shared" si="586"/>
        <v>0</v>
      </c>
      <c r="AH840" s="711">
        <v>1</v>
      </c>
      <c r="AI840" s="735">
        <f t="shared" si="636"/>
        <v>426772.83999999997</v>
      </c>
    </row>
    <row r="841" spans="1:35" x14ac:dyDescent="0.2">
      <c r="A841" s="704"/>
      <c r="B841" s="711">
        <v>1</v>
      </c>
      <c r="C841" s="735">
        <v>2880.36</v>
      </c>
      <c r="D841" s="735"/>
      <c r="E841" s="735"/>
      <c r="F841" s="735"/>
      <c r="G841" s="735"/>
      <c r="H841" s="735"/>
      <c r="I841" s="735"/>
      <c r="J841" s="735">
        <v>0</v>
      </c>
      <c r="K841" s="735">
        <f t="shared" si="625"/>
        <v>2880.36</v>
      </c>
      <c r="L841" s="735">
        <v>1000</v>
      </c>
      <c r="M841" s="735"/>
      <c r="N841" s="735">
        <f t="shared" si="618"/>
        <v>1000</v>
      </c>
      <c r="O841" s="735">
        <f t="shared" si="619"/>
        <v>35564.32</v>
      </c>
      <c r="P841" s="735">
        <f t="shared" si="620"/>
        <v>35564.32</v>
      </c>
      <c r="Q841" s="711">
        <v>1</v>
      </c>
      <c r="R841" s="735">
        <v>2880.36</v>
      </c>
      <c r="S841" s="735"/>
      <c r="T841" s="735"/>
      <c r="U841" s="735"/>
      <c r="V841" s="735"/>
      <c r="W841" s="735"/>
      <c r="X841" s="735"/>
      <c r="Y841" s="735">
        <v>0</v>
      </c>
      <c r="Z841" s="735">
        <f t="shared" si="632"/>
        <v>2880.36</v>
      </c>
      <c r="AA841" s="735">
        <v>1000</v>
      </c>
      <c r="AB841" s="735"/>
      <c r="AC841" s="735">
        <f t="shared" si="633"/>
        <v>1000</v>
      </c>
      <c r="AD841" s="735">
        <f t="shared" si="634"/>
        <v>35564.32</v>
      </c>
      <c r="AE841" s="735">
        <f t="shared" si="635"/>
        <v>35564.32</v>
      </c>
      <c r="AF841" s="735">
        <f t="shared" si="627"/>
        <v>0</v>
      </c>
      <c r="AG841" s="824">
        <f t="shared" si="586"/>
        <v>0</v>
      </c>
      <c r="AH841" s="711">
        <v>1</v>
      </c>
      <c r="AI841" s="735">
        <f t="shared" si="636"/>
        <v>426772.83999999997</v>
      </c>
    </row>
    <row r="842" spans="1:35" x14ac:dyDescent="0.2">
      <c r="A842" s="704"/>
      <c r="B842" s="711">
        <v>1</v>
      </c>
      <c r="C842" s="735">
        <v>2880.36</v>
      </c>
      <c r="D842" s="735"/>
      <c r="E842" s="735"/>
      <c r="F842" s="735"/>
      <c r="G842" s="735"/>
      <c r="H842" s="735"/>
      <c r="I842" s="735"/>
      <c r="J842" s="735">
        <v>0</v>
      </c>
      <c r="K842" s="735">
        <f t="shared" si="625"/>
        <v>2880.36</v>
      </c>
      <c r="L842" s="735">
        <v>1000</v>
      </c>
      <c r="M842" s="735"/>
      <c r="N842" s="735">
        <f t="shared" si="618"/>
        <v>1000</v>
      </c>
      <c r="O842" s="735">
        <f t="shared" si="619"/>
        <v>35564.32</v>
      </c>
      <c r="P842" s="735">
        <f t="shared" si="620"/>
        <v>35564.32</v>
      </c>
      <c r="Q842" s="711">
        <v>1</v>
      </c>
      <c r="R842" s="735">
        <v>2880.36</v>
      </c>
      <c r="S842" s="735"/>
      <c r="T842" s="735"/>
      <c r="U842" s="735"/>
      <c r="V842" s="735"/>
      <c r="W842" s="735"/>
      <c r="X842" s="735"/>
      <c r="Y842" s="735">
        <v>0</v>
      </c>
      <c r="Z842" s="735">
        <f t="shared" si="632"/>
        <v>2880.36</v>
      </c>
      <c r="AA842" s="735">
        <v>1000</v>
      </c>
      <c r="AB842" s="735"/>
      <c r="AC842" s="735">
        <f t="shared" si="633"/>
        <v>1000</v>
      </c>
      <c r="AD842" s="735">
        <f t="shared" si="634"/>
        <v>35564.32</v>
      </c>
      <c r="AE842" s="735">
        <f t="shared" si="635"/>
        <v>35564.32</v>
      </c>
      <c r="AF842" s="735">
        <f t="shared" si="627"/>
        <v>0</v>
      </c>
      <c r="AG842" s="824">
        <f t="shared" ref="AG842:AG905" si="637">P842-AE842</f>
        <v>0</v>
      </c>
      <c r="AH842" s="711">
        <v>1</v>
      </c>
      <c r="AI842" s="735">
        <f t="shared" si="636"/>
        <v>426772.83999999997</v>
      </c>
    </row>
    <row r="843" spans="1:35" x14ac:dyDescent="0.2">
      <c r="A843" s="704"/>
      <c r="B843" s="711">
        <v>1</v>
      </c>
      <c r="C843" s="735">
        <v>2880.36</v>
      </c>
      <c r="D843" s="735"/>
      <c r="E843" s="735"/>
      <c r="F843" s="735"/>
      <c r="G843" s="735"/>
      <c r="H843" s="735"/>
      <c r="I843" s="735"/>
      <c r="J843" s="735">
        <v>400</v>
      </c>
      <c r="K843" s="735">
        <f t="shared" si="625"/>
        <v>3280.36</v>
      </c>
      <c r="L843" s="735">
        <v>1000</v>
      </c>
      <c r="M843" s="735"/>
      <c r="N843" s="735">
        <f t="shared" si="618"/>
        <v>1000</v>
      </c>
      <c r="O843" s="735">
        <f t="shared" si="619"/>
        <v>40364.32</v>
      </c>
      <c r="P843" s="735">
        <f t="shared" si="620"/>
        <v>40364.32</v>
      </c>
      <c r="Q843" s="711">
        <v>1</v>
      </c>
      <c r="R843" s="735">
        <v>2880.36</v>
      </c>
      <c r="S843" s="735"/>
      <c r="T843" s="735"/>
      <c r="U843" s="735"/>
      <c r="V843" s="735"/>
      <c r="W843" s="735"/>
      <c r="X843" s="735"/>
      <c r="Y843" s="735">
        <v>400</v>
      </c>
      <c r="Z843" s="735">
        <f t="shared" si="632"/>
        <v>3280.36</v>
      </c>
      <c r="AA843" s="735">
        <v>1000</v>
      </c>
      <c r="AB843" s="735"/>
      <c r="AC843" s="735">
        <f t="shared" si="633"/>
        <v>1000</v>
      </c>
      <c r="AD843" s="735">
        <f t="shared" si="634"/>
        <v>40364.32</v>
      </c>
      <c r="AE843" s="735">
        <f t="shared" si="635"/>
        <v>40364.32</v>
      </c>
      <c r="AF843" s="735">
        <f t="shared" si="627"/>
        <v>0</v>
      </c>
      <c r="AG843" s="824">
        <f t="shared" si="637"/>
        <v>0</v>
      </c>
      <c r="AH843" s="711">
        <v>1</v>
      </c>
      <c r="AI843" s="735">
        <f t="shared" si="636"/>
        <v>484372.83999999997</v>
      </c>
    </row>
    <row r="844" spans="1:35" x14ac:dyDescent="0.2">
      <c r="A844" s="704"/>
      <c r="B844" s="711">
        <v>1</v>
      </c>
      <c r="C844" s="735">
        <v>2880.36</v>
      </c>
      <c r="D844" s="735"/>
      <c r="E844" s="735"/>
      <c r="F844" s="735"/>
      <c r="G844" s="735"/>
      <c r="H844" s="735"/>
      <c r="I844" s="735"/>
      <c r="J844" s="735">
        <v>0</v>
      </c>
      <c r="K844" s="735">
        <f t="shared" si="625"/>
        <v>2880.36</v>
      </c>
      <c r="L844" s="735">
        <v>1000</v>
      </c>
      <c r="M844" s="735"/>
      <c r="N844" s="735">
        <f t="shared" si="618"/>
        <v>1000</v>
      </c>
      <c r="O844" s="735">
        <f t="shared" si="619"/>
        <v>35564.32</v>
      </c>
      <c r="P844" s="735">
        <f t="shared" si="620"/>
        <v>35564.32</v>
      </c>
      <c r="Q844" s="711">
        <v>1</v>
      </c>
      <c r="R844" s="735">
        <v>2880.36</v>
      </c>
      <c r="S844" s="735"/>
      <c r="T844" s="735"/>
      <c r="U844" s="735"/>
      <c r="V844" s="735"/>
      <c r="W844" s="735"/>
      <c r="X844" s="735"/>
      <c r="Y844" s="735">
        <v>0</v>
      </c>
      <c r="Z844" s="735">
        <f t="shared" si="632"/>
        <v>2880.36</v>
      </c>
      <c r="AA844" s="735">
        <v>1000</v>
      </c>
      <c r="AB844" s="735"/>
      <c r="AC844" s="735">
        <f t="shared" si="633"/>
        <v>1000</v>
      </c>
      <c r="AD844" s="735">
        <f t="shared" si="634"/>
        <v>35564.32</v>
      </c>
      <c r="AE844" s="735">
        <f t="shared" si="635"/>
        <v>35564.32</v>
      </c>
      <c r="AF844" s="735">
        <f t="shared" si="627"/>
        <v>0</v>
      </c>
      <c r="AG844" s="824">
        <f t="shared" si="637"/>
        <v>0</v>
      </c>
      <c r="AH844" s="711">
        <v>1</v>
      </c>
      <c r="AI844" s="735">
        <f t="shared" si="636"/>
        <v>426772.83999999997</v>
      </c>
    </row>
    <row r="845" spans="1:35" x14ac:dyDescent="0.2">
      <c r="A845" s="704"/>
      <c r="B845" s="711">
        <v>1</v>
      </c>
      <c r="C845" s="735">
        <v>2880.36</v>
      </c>
      <c r="D845" s="735"/>
      <c r="E845" s="735"/>
      <c r="F845" s="735"/>
      <c r="G845" s="735"/>
      <c r="H845" s="735"/>
      <c r="I845" s="735"/>
      <c r="J845" s="735">
        <v>0</v>
      </c>
      <c r="K845" s="735">
        <f t="shared" si="625"/>
        <v>2880.36</v>
      </c>
      <c r="L845" s="735">
        <v>1000</v>
      </c>
      <c r="M845" s="735"/>
      <c r="N845" s="735">
        <f t="shared" si="618"/>
        <v>1000</v>
      </c>
      <c r="O845" s="735">
        <f t="shared" si="619"/>
        <v>35564.32</v>
      </c>
      <c r="P845" s="735">
        <f t="shared" si="620"/>
        <v>35564.32</v>
      </c>
      <c r="Q845" s="711">
        <v>1</v>
      </c>
      <c r="R845" s="735">
        <v>2880.36</v>
      </c>
      <c r="S845" s="735"/>
      <c r="T845" s="735"/>
      <c r="U845" s="735"/>
      <c r="V845" s="735"/>
      <c r="W845" s="735"/>
      <c r="X845" s="735"/>
      <c r="Y845" s="735">
        <v>0</v>
      </c>
      <c r="Z845" s="735">
        <f t="shared" si="632"/>
        <v>2880.36</v>
      </c>
      <c r="AA845" s="735">
        <v>1000</v>
      </c>
      <c r="AB845" s="735"/>
      <c r="AC845" s="735">
        <f t="shared" si="633"/>
        <v>1000</v>
      </c>
      <c r="AD845" s="735">
        <f t="shared" si="634"/>
        <v>35564.32</v>
      </c>
      <c r="AE845" s="735">
        <f t="shared" si="635"/>
        <v>35564.32</v>
      </c>
      <c r="AF845" s="735">
        <f t="shared" si="627"/>
        <v>0</v>
      </c>
      <c r="AG845" s="824">
        <f t="shared" si="637"/>
        <v>0</v>
      </c>
      <c r="AH845" s="711">
        <v>1</v>
      </c>
      <c r="AI845" s="735">
        <f t="shared" si="636"/>
        <v>426772.83999999997</v>
      </c>
    </row>
    <row r="846" spans="1:35" x14ac:dyDescent="0.2">
      <c r="A846" s="704"/>
      <c r="B846" s="711">
        <v>1</v>
      </c>
      <c r="C846" s="735">
        <v>2880.36</v>
      </c>
      <c r="D846" s="735"/>
      <c r="E846" s="735"/>
      <c r="F846" s="735"/>
      <c r="G846" s="735"/>
      <c r="H846" s="735"/>
      <c r="I846" s="735"/>
      <c r="J846" s="735">
        <v>0</v>
      </c>
      <c r="K846" s="735">
        <f t="shared" si="625"/>
        <v>2880.36</v>
      </c>
      <c r="L846" s="735">
        <v>1000</v>
      </c>
      <c r="M846" s="735"/>
      <c r="N846" s="735">
        <f t="shared" si="618"/>
        <v>1000</v>
      </c>
      <c r="O846" s="735">
        <f t="shared" si="619"/>
        <v>35564.32</v>
      </c>
      <c r="P846" s="735">
        <f t="shared" si="620"/>
        <v>35564.32</v>
      </c>
      <c r="Q846" s="711">
        <v>1</v>
      </c>
      <c r="R846" s="735">
        <v>2880.36</v>
      </c>
      <c r="S846" s="735"/>
      <c r="T846" s="735"/>
      <c r="U846" s="735"/>
      <c r="V846" s="735"/>
      <c r="W846" s="735"/>
      <c r="X846" s="735"/>
      <c r="Y846" s="735">
        <v>0</v>
      </c>
      <c r="Z846" s="735">
        <f t="shared" si="632"/>
        <v>2880.36</v>
      </c>
      <c r="AA846" s="735">
        <v>1000</v>
      </c>
      <c r="AB846" s="735"/>
      <c r="AC846" s="735">
        <f t="shared" si="633"/>
        <v>1000</v>
      </c>
      <c r="AD846" s="735">
        <f t="shared" si="634"/>
        <v>35564.32</v>
      </c>
      <c r="AE846" s="735">
        <f t="shared" si="635"/>
        <v>35564.32</v>
      </c>
      <c r="AF846" s="735">
        <f t="shared" si="627"/>
        <v>0</v>
      </c>
      <c r="AG846" s="824">
        <f t="shared" si="637"/>
        <v>0</v>
      </c>
      <c r="AH846" s="711">
        <v>1</v>
      </c>
      <c r="AI846" s="735">
        <f t="shared" si="636"/>
        <v>426772.83999999997</v>
      </c>
    </row>
    <row r="847" spans="1:35" x14ac:dyDescent="0.2">
      <c r="A847" s="704"/>
      <c r="B847" s="711">
        <v>1</v>
      </c>
      <c r="C847" s="735">
        <v>2880.36</v>
      </c>
      <c r="D847" s="735"/>
      <c r="E847" s="735"/>
      <c r="F847" s="735"/>
      <c r="G847" s="735"/>
      <c r="H847" s="735"/>
      <c r="I847" s="735"/>
      <c r="J847" s="735">
        <v>650</v>
      </c>
      <c r="K847" s="735">
        <f t="shared" si="625"/>
        <v>3530.36</v>
      </c>
      <c r="L847" s="735">
        <v>1000</v>
      </c>
      <c r="M847" s="735"/>
      <c r="N847" s="735">
        <f t="shared" si="618"/>
        <v>1000</v>
      </c>
      <c r="O847" s="735">
        <f t="shared" si="619"/>
        <v>43364.32</v>
      </c>
      <c r="P847" s="735">
        <f t="shared" si="620"/>
        <v>43364.32</v>
      </c>
      <c r="Q847" s="711">
        <v>1</v>
      </c>
      <c r="R847" s="735">
        <v>2880.36</v>
      </c>
      <c r="S847" s="735"/>
      <c r="T847" s="735"/>
      <c r="U847" s="735"/>
      <c r="V847" s="735"/>
      <c r="W847" s="735"/>
      <c r="X847" s="735"/>
      <c r="Y847" s="735">
        <v>650</v>
      </c>
      <c r="Z847" s="735">
        <f t="shared" si="632"/>
        <v>3530.36</v>
      </c>
      <c r="AA847" s="735">
        <v>1000</v>
      </c>
      <c r="AB847" s="735"/>
      <c r="AC847" s="735">
        <f t="shared" si="633"/>
        <v>1000</v>
      </c>
      <c r="AD847" s="735">
        <f t="shared" si="634"/>
        <v>43364.32</v>
      </c>
      <c r="AE847" s="735">
        <f t="shared" si="635"/>
        <v>43364.32</v>
      </c>
      <c r="AF847" s="735">
        <f t="shared" si="627"/>
        <v>0</v>
      </c>
      <c r="AG847" s="824">
        <f t="shared" si="637"/>
        <v>0</v>
      </c>
      <c r="AH847" s="711">
        <v>1</v>
      </c>
      <c r="AI847" s="735">
        <f t="shared" si="636"/>
        <v>520372.83999999997</v>
      </c>
    </row>
    <row r="848" spans="1:35" x14ac:dyDescent="0.2">
      <c r="A848" s="704"/>
      <c r="B848" s="711">
        <v>1</v>
      </c>
      <c r="C848" s="735">
        <v>2880.36</v>
      </c>
      <c r="D848" s="735"/>
      <c r="E848" s="735"/>
      <c r="F848" s="735"/>
      <c r="G848" s="735"/>
      <c r="H848" s="735"/>
      <c r="I848" s="735"/>
      <c r="J848" s="735">
        <v>550</v>
      </c>
      <c r="K848" s="735">
        <f t="shared" si="625"/>
        <v>3430.36</v>
      </c>
      <c r="L848" s="735">
        <v>1000</v>
      </c>
      <c r="M848" s="735"/>
      <c r="N848" s="735">
        <f t="shared" si="618"/>
        <v>1000</v>
      </c>
      <c r="O848" s="735">
        <f t="shared" si="619"/>
        <v>42164.32</v>
      </c>
      <c r="P848" s="735">
        <f t="shared" si="620"/>
        <v>42164.32</v>
      </c>
      <c r="Q848" s="711">
        <v>1</v>
      </c>
      <c r="R848" s="735">
        <v>2880.36</v>
      </c>
      <c r="S848" s="735"/>
      <c r="T848" s="735"/>
      <c r="U848" s="735"/>
      <c r="V848" s="735"/>
      <c r="W848" s="735"/>
      <c r="X848" s="735"/>
      <c r="Y848" s="735">
        <v>550</v>
      </c>
      <c r="Z848" s="735">
        <f t="shared" si="632"/>
        <v>3430.36</v>
      </c>
      <c r="AA848" s="735">
        <v>1000</v>
      </c>
      <c r="AB848" s="735"/>
      <c r="AC848" s="735">
        <f t="shared" si="633"/>
        <v>1000</v>
      </c>
      <c r="AD848" s="735">
        <f t="shared" si="634"/>
        <v>42164.32</v>
      </c>
      <c r="AE848" s="735">
        <f t="shared" si="635"/>
        <v>42164.32</v>
      </c>
      <c r="AF848" s="735">
        <f t="shared" si="627"/>
        <v>0</v>
      </c>
      <c r="AG848" s="824">
        <f t="shared" si="637"/>
        <v>0</v>
      </c>
      <c r="AH848" s="711">
        <v>1</v>
      </c>
      <c r="AI848" s="735">
        <f t="shared" si="636"/>
        <v>505972.83999999997</v>
      </c>
    </row>
    <row r="849" spans="1:35" x14ac:dyDescent="0.2">
      <c r="A849" s="704"/>
      <c r="B849" s="711">
        <v>1</v>
      </c>
      <c r="C849" s="735">
        <v>2880.36</v>
      </c>
      <c r="D849" s="735"/>
      <c r="E849" s="735"/>
      <c r="F849" s="735"/>
      <c r="G849" s="735"/>
      <c r="H849" s="735"/>
      <c r="I849" s="735"/>
      <c r="J849" s="735">
        <v>640</v>
      </c>
      <c r="K849" s="735">
        <f t="shared" si="625"/>
        <v>3520.36</v>
      </c>
      <c r="L849" s="735">
        <v>1000</v>
      </c>
      <c r="M849" s="735"/>
      <c r="N849" s="735">
        <f t="shared" si="618"/>
        <v>1000</v>
      </c>
      <c r="O849" s="735">
        <f t="shared" si="619"/>
        <v>43244.32</v>
      </c>
      <c r="P849" s="735">
        <f t="shared" si="620"/>
        <v>43244.32</v>
      </c>
      <c r="Q849" s="711">
        <v>1</v>
      </c>
      <c r="R849" s="735">
        <v>2880.36</v>
      </c>
      <c r="S849" s="735"/>
      <c r="T849" s="735"/>
      <c r="U849" s="735"/>
      <c r="V849" s="735"/>
      <c r="W849" s="735"/>
      <c r="X849" s="735"/>
      <c r="Y849" s="735">
        <v>640</v>
      </c>
      <c r="Z849" s="735">
        <f t="shared" si="632"/>
        <v>3520.36</v>
      </c>
      <c r="AA849" s="735">
        <v>1000</v>
      </c>
      <c r="AB849" s="735"/>
      <c r="AC849" s="735">
        <f t="shared" si="633"/>
        <v>1000</v>
      </c>
      <c r="AD849" s="735">
        <f t="shared" si="634"/>
        <v>43244.32</v>
      </c>
      <c r="AE849" s="735">
        <f t="shared" si="635"/>
        <v>43244.32</v>
      </c>
      <c r="AF849" s="735">
        <f t="shared" si="627"/>
        <v>0</v>
      </c>
      <c r="AG849" s="824">
        <f t="shared" si="637"/>
        <v>0</v>
      </c>
      <c r="AH849" s="711">
        <v>1</v>
      </c>
      <c r="AI849" s="735">
        <f t="shared" si="636"/>
        <v>518932.83999999997</v>
      </c>
    </row>
    <row r="850" spans="1:35" x14ac:dyDescent="0.2">
      <c r="A850" s="704"/>
      <c r="B850" s="711">
        <v>1</v>
      </c>
      <c r="C850" s="735">
        <v>2880.36</v>
      </c>
      <c r="D850" s="735"/>
      <c r="E850" s="735"/>
      <c r="F850" s="735"/>
      <c r="G850" s="735"/>
      <c r="H850" s="735"/>
      <c r="I850" s="735"/>
      <c r="J850" s="735">
        <v>0</v>
      </c>
      <c r="K850" s="735">
        <f t="shared" si="625"/>
        <v>2880.36</v>
      </c>
      <c r="L850" s="735">
        <v>1000</v>
      </c>
      <c r="M850" s="735"/>
      <c r="N850" s="735">
        <f t="shared" si="618"/>
        <v>1000</v>
      </c>
      <c r="O850" s="735">
        <f t="shared" si="619"/>
        <v>35564.32</v>
      </c>
      <c r="P850" s="735">
        <f t="shared" si="620"/>
        <v>35564.32</v>
      </c>
      <c r="Q850" s="711">
        <v>1</v>
      </c>
      <c r="R850" s="735">
        <v>2880.36</v>
      </c>
      <c r="S850" s="735"/>
      <c r="T850" s="735"/>
      <c r="U850" s="735"/>
      <c r="V850" s="735"/>
      <c r="W850" s="735"/>
      <c r="X850" s="735"/>
      <c r="Y850" s="735">
        <v>0</v>
      </c>
      <c r="Z850" s="735">
        <f t="shared" si="632"/>
        <v>2880.36</v>
      </c>
      <c r="AA850" s="735">
        <v>1000</v>
      </c>
      <c r="AB850" s="735"/>
      <c r="AC850" s="735">
        <f t="shared" si="633"/>
        <v>1000</v>
      </c>
      <c r="AD850" s="735">
        <f t="shared" si="634"/>
        <v>35564.32</v>
      </c>
      <c r="AE850" s="735">
        <f t="shared" si="635"/>
        <v>35564.32</v>
      </c>
      <c r="AF850" s="735">
        <f t="shared" si="627"/>
        <v>0</v>
      </c>
      <c r="AG850" s="824">
        <f t="shared" si="637"/>
        <v>0</v>
      </c>
      <c r="AH850" s="711">
        <v>1</v>
      </c>
      <c r="AI850" s="735">
        <f t="shared" si="636"/>
        <v>426772.83999999997</v>
      </c>
    </row>
    <row r="851" spans="1:35" x14ac:dyDescent="0.2">
      <c r="A851" s="704"/>
      <c r="B851" s="711">
        <v>1</v>
      </c>
      <c r="C851" s="735">
        <v>2880.36</v>
      </c>
      <c r="D851" s="735"/>
      <c r="E851" s="735"/>
      <c r="F851" s="735"/>
      <c r="G851" s="735"/>
      <c r="H851" s="735"/>
      <c r="I851" s="735"/>
      <c r="J851" s="735">
        <v>0</v>
      </c>
      <c r="K851" s="735">
        <f t="shared" si="625"/>
        <v>2880.36</v>
      </c>
      <c r="L851" s="735">
        <v>1000</v>
      </c>
      <c r="M851" s="735"/>
      <c r="N851" s="735">
        <f t="shared" si="618"/>
        <v>1000</v>
      </c>
      <c r="O851" s="735">
        <f t="shared" si="619"/>
        <v>35564.32</v>
      </c>
      <c r="P851" s="735">
        <f t="shared" si="620"/>
        <v>35564.32</v>
      </c>
      <c r="Q851" s="711">
        <v>1</v>
      </c>
      <c r="R851" s="735">
        <v>2880.36</v>
      </c>
      <c r="S851" s="735"/>
      <c r="T851" s="735"/>
      <c r="U851" s="735"/>
      <c r="V851" s="735"/>
      <c r="W851" s="735"/>
      <c r="X851" s="735"/>
      <c r="Y851" s="735">
        <v>0</v>
      </c>
      <c r="Z851" s="735">
        <f t="shared" si="632"/>
        <v>2880.36</v>
      </c>
      <c r="AA851" s="735">
        <v>1000</v>
      </c>
      <c r="AB851" s="735"/>
      <c r="AC851" s="735">
        <f t="shared" si="633"/>
        <v>1000</v>
      </c>
      <c r="AD851" s="735">
        <f t="shared" si="634"/>
        <v>35564.32</v>
      </c>
      <c r="AE851" s="735">
        <f t="shared" si="635"/>
        <v>35564.32</v>
      </c>
      <c r="AF851" s="735">
        <f t="shared" si="627"/>
        <v>0</v>
      </c>
      <c r="AG851" s="824">
        <f t="shared" si="637"/>
        <v>0</v>
      </c>
      <c r="AH851" s="711">
        <v>1</v>
      </c>
      <c r="AI851" s="735">
        <f t="shared" si="636"/>
        <v>426772.83999999997</v>
      </c>
    </row>
    <row r="852" spans="1:35" x14ac:dyDescent="0.2">
      <c r="A852" s="704"/>
      <c r="B852" s="711">
        <v>1</v>
      </c>
      <c r="C852" s="735">
        <v>2880.36</v>
      </c>
      <c r="D852" s="735"/>
      <c r="E852" s="735"/>
      <c r="F852" s="735"/>
      <c r="G852" s="735"/>
      <c r="H852" s="735"/>
      <c r="I852" s="735"/>
      <c r="J852" s="735">
        <v>790</v>
      </c>
      <c r="K852" s="735">
        <f t="shared" si="625"/>
        <v>3670.36</v>
      </c>
      <c r="L852" s="735">
        <v>1000</v>
      </c>
      <c r="M852" s="735"/>
      <c r="N852" s="735">
        <f t="shared" si="618"/>
        <v>1000</v>
      </c>
      <c r="O852" s="735">
        <f t="shared" si="619"/>
        <v>45044.32</v>
      </c>
      <c r="P852" s="735">
        <f t="shared" si="620"/>
        <v>45044.32</v>
      </c>
      <c r="Q852" s="711">
        <v>1</v>
      </c>
      <c r="R852" s="735">
        <v>2880.36</v>
      </c>
      <c r="S852" s="735"/>
      <c r="T852" s="735"/>
      <c r="U852" s="735"/>
      <c r="V852" s="735"/>
      <c r="W852" s="735"/>
      <c r="X852" s="735"/>
      <c r="Y852" s="735">
        <v>790</v>
      </c>
      <c r="Z852" s="735">
        <f t="shared" si="632"/>
        <v>3670.36</v>
      </c>
      <c r="AA852" s="735">
        <v>1000</v>
      </c>
      <c r="AB852" s="735"/>
      <c r="AC852" s="735">
        <f t="shared" si="633"/>
        <v>1000</v>
      </c>
      <c r="AD852" s="735">
        <f t="shared" si="634"/>
        <v>45044.32</v>
      </c>
      <c r="AE852" s="735">
        <f t="shared" si="635"/>
        <v>45044.32</v>
      </c>
      <c r="AF852" s="735">
        <f t="shared" si="627"/>
        <v>0</v>
      </c>
      <c r="AG852" s="824">
        <f t="shared" si="637"/>
        <v>0</v>
      </c>
      <c r="AH852" s="711">
        <v>1</v>
      </c>
      <c r="AI852" s="735">
        <f t="shared" si="636"/>
        <v>540532.84</v>
      </c>
    </row>
    <row r="853" spans="1:35" x14ac:dyDescent="0.2">
      <c r="A853" s="704"/>
      <c r="B853" s="711">
        <v>1</v>
      </c>
      <c r="C853" s="735">
        <v>2880.36</v>
      </c>
      <c r="D853" s="735"/>
      <c r="E853" s="735"/>
      <c r="F853" s="735"/>
      <c r="G853" s="735"/>
      <c r="H853" s="735"/>
      <c r="I853" s="735"/>
      <c r="J853" s="735">
        <v>0</v>
      </c>
      <c r="K853" s="735">
        <f t="shared" si="625"/>
        <v>2880.36</v>
      </c>
      <c r="L853" s="735">
        <v>1000</v>
      </c>
      <c r="M853" s="735"/>
      <c r="N853" s="735">
        <f t="shared" si="618"/>
        <v>1000</v>
      </c>
      <c r="O853" s="735">
        <f t="shared" si="619"/>
        <v>35564.32</v>
      </c>
      <c r="P853" s="735">
        <f t="shared" si="620"/>
        <v>35564.32</v>
      </c>
      <c r="Q853" s="711">
        <v>1</v>
      </c>
      <c r="R853" s="735">
        <v>2880.36</v>
      </c>
      <c r="S853" s="735"/>
      <c r="T853" s="735"/>
      <c r="U853" s="735"/>
      <c r="V853" s="735"/>
      <c r="W853" s="735"/>
      <c r="X853" s="735"/>
      <c r="Y853" s="735">
        <v>0</v>
      </c>
      <c r="Z853" s="735">
        <f t="shared" si="632"/>
        <v>2880.36</v>
      </c>
      <c r="AA853" s="735">
        <v>1000</v>
      </c>
      <c r="AB853" s="735"/>
      <c r="AC853" s="735">
        <f t="shared" si="633"/>
        <v>1000</v>
      </c>
      <c r="AD853" s="735">
        <f t="shared" si="634"/>
        <v>35564.32</v>
      </c>
      <c r="AE853" s="735">
        <f t="shared" si="635"/>
        <v>35564.32</v>
      </c>
      <c r="AF853" s="735">
        <f t="shared" si="627"/>
        <v>0</v>
      </c>
      <c r="AG853" s="824">
        <f t="shared" si="637"/>
        <v>0</v>
      </c>
      <c r="AH853" s="711">
        <v>1</v>
      </c>
      <c r="AI853" s="735">
        <f t="shared" si="636"/>
        <v>426772.83999999997</v>
      </c>
    </row>
    <row r="854" spans="1:35" x14ac:dyDescent="0.2">
      <c r="A854" s="704"/>
      <c r="B854" s="711">
        <v>1</v>
      </c>
      <c r="C854" s="735">
        <v>2880.36</v>
      </c>
      <c r="D854" s="735"/>
      <c r="E854" s="735"/>
      <c r="F854" s="735"/>
      <c r="G854" s="735"/>
      <c r="H854" s="735"/>
      <c r="I854" s="735"/>
      <c r="J854" s="735">
        <v>0</v>
      </c>
      <c r="K854" s="735">
        <f t="shared" si="625"/>
        <v>2880.36</v>
      </c>
      <c r="L854" s="735">
        <v>1000</v>
      </c>
      <c r="M854" s="735"/>
      <c r="N854" s="735">
        <f t="shared" si="618"/>
        <v>1000</v>
      </c>
      <c r="O854" s="735">
        <f t="shared" si="619"/>
        <v>35564.32</v>
      </c>
      <c r="P854" s="735">
        <f t="shared" si="620"/>
        <v>35564.32</v>
      </c>
      <c r="Q854" s="711">
        <v>1</v>
      </c>
      <c r="R854" s="735">
        <v>2880.36</v>
      </c>
      <c r="S854" s="735"/>
      <c r="T854" s="735"/>
      <c r="U854" s="735"/>
      <c r="V854" s="735"/>
      <c r="W854" s="735"/>
      <c r="X854" s="735"/>
      <c r="Y854" s="735">
        <v>0</v>
      </c>
      <c r="Z854" s="735">
        <f t="shared" si="632"/>
        <v>2880.36</v>
      </c>
      <c r="AA854" s="735">
        <v>1000</v>
      </c>
      <c r="AB854" s="735"/>
      <c r="AC854" s="735">
        <f t="shared" si="633"/>
        <v>1000</v>
      </c>
      <c r="AD854" s="735">
        <f t="shared" si="634"/>
        <v>35564.32</v>
      </c>
      <c r="AE854" s="735">
        <f t="shared" si="635"/>
        <v>35564.32</v>
      </c>
      <c r="AF854" s="735">
        <f t="shared" si="627"/>
        <v>0</v>
      </c>
      <c r="AG854" s="824">
        <f t="shared" si="637"/>
        <v>0</v>
      </c>
      <c r="AH854" s="711">
        <v>1</v>
      </c>
      <c r="AI854" s="735">
        <f t="shared" si="636"/>
        <v>426772.83999999997</v>
      </c>
    </row>
    <row r="855" spans="1:35" x14ac:dyDescent="0.2">
      <c r="A855" s="704"/>
      <c r="B855" s="711">
        <v>1</v>
      </c>
      <c r="C855" s="735">
        <v>2880.36</v>
      </c>
      <c r="D855" s="735"/>
      <c r="E855" s="735"/>
      <c r="F855" s="735"/>
      <c r="G855" s="735"/>
      <c r="H855" s="735"/>
      <c r="I855" s="735"/>
      <c r="J855" s="735">
        <v>200</v>
      </c>
      <c r="K855" s="735">
        <f t="shared" si="625"/>
        <v>3080.36</v>
      </c>
      <c r="L855" s="735">
        <v>1000</v>
      </c>
      <c r="M855" s="735"/>
      <c r="N855" s="735">
        <f t="shared" si="618"/>
        <v>1000</v>
      </c>
      <c r="O855" s="735">
        <f t="shared" si="619"/>
        <v>37964.32</v>
      </c>
      <c r="P855" s="735">
        <f t="shared" si="620"/>
        <v>37964.32</v>
      </c>
      <c r="Q855" s="711">
        <v>1</v>
      </c>
      <c r="R855" s="735">
        <v>2880.36</v>
      </c>
      <c r="S855" s="735"/>
      <c r="T855" s="735"/>
      <c r="U855" s="735"/>
      <c r="V855" s="735"/>
      <c r="W855" s="735"/>
      <c r="X855" s="735"/>
      <c r="Y855" s="735">
        <v>200</v>
      </c>
      <c r="Z855" s="735">
        <f t="shared" si="632"/>
        <v>3080.36</v>
      </c>
      <c r="AA855" s="735">
        <v>1000</v>
      </c>
      <c r="AB855" s="735"/>
      <c r="AC855" s="735">
        <f t="shared" si="633"/>
        <v>1000</v>
      </c>
      <c r="AD855" s="735">
        <f t="shared" si="634"/>
        <v>37964.32</v>
      </c>
      <c r="AE855" s="735">
        <f t="shared" si="635"/>
        <v>37964.32</v>
      </c>
      <c r="AF855" s="735">
        <f t="shared" si="627"/>
        <v>0</v>
      </c>
      <c r="AG855" s="824">
        <f t="shared" si="637"/>
        <v>0</v>
      </c>
      <c r="AH855" s="711">
        <v>1</v>
      </c>
      <c r="AI855" s="735">
        <f t="shared" si="636"/>
        <v>455572.83999999997</v>
      </c>
    </row>
    <row r="856" spans="1:35" x14ac:dyDescent="0.2">
      <c r="A856" s="704"/>
      <c r="B856" s="711">
        <v>1</v>
      </c>
      <c r="C856" s="735">
        <v>2880.36</v>
      </c>
      <c r="D856" s="735"/>
      <c r="E856" s="735"/>
      <c r="F856" s="735"/>
      <c r="G856" s="735"/>
      <c r="H856" s="735"/>
      <c r="I856" s="735"/>
      <c r="J856" s="735">
        <v>0</v>
      </c>
      <c r="K856" s="735">
        <f t="shared" si="625"/>
        <v>2880.36</v>
      </c>
      <c r="L856" s="735">
        <v>1000</v>
      </c>
      <c r="M856" s="735"/>
      <c r="N856" s="735">
        <f t="shared" si="618"/>
        <v>1000</v>
      </c>
      <c r="O856" s="735">
        <f t="shared" si="619"/>
        <v>35564.32</v>
      </c>
      <c r="P856" s="735">
        <f t="shared" si="620"/>
        <v>35564.32</v>
      </c>
      <c r="Q856" s="711">
        <v>1</v>
      </c>
      <c r="R856" s="735">
        <v>2880.36</v>
      </c>
      <c r="S856" s="735"/>
      <c r="T856" s="735"/>
      <c r="U856" s="735"/>
      <c r="V856" s="735"/>
      <c r="W856" s="735"/>
      <c r="X856" s="735"/>
      <c r="Y856" s="735">
        <v>0</v>
      </c>
      <c r="Z856" s="735">
        <f t="shared" si="632"/>
        <v>2880.36</v>
      </c>
      <c r="AA856" s="735">
        <v>1000</v>
      </c>
      <c r="AB856" s="735"/>
      <c r="AC856" s="735">
        <f t="shared" si="633"/>
        <v>1000</v>
      </c>
      <c r="AD856" s="735">
        <f t="shared" si="634"/>
        <v>35564.32</v>
      </c>
      <c r="AE856" s="735">
        <f t="shared" si="635"/>
        <v>35564.32</v>
      </c>
      <c r="AF856" s="735">
        <f t="shared" si="627"/>
        <v>0</v>
      </c>
      <c r="AG856" s="824">
        <f t="shared" si="637"/>
        <v>0</v>
      </c>
      <c r="AH856" s="711">
        <v>1</v>
      </c>
      <c r="AI856" s="735">
        <f t="shared" si="636"/>
        <v>426772.83999999997</v>
      </c>
    </row>
    <row r="857" spans="1:35" x14ac:dyDescent="0.2">
      <c r="A857" s="704"/>
      <c r="B857" s="711">
        <v>1</v>
      </c>
      <c r="C857" s="735">
        <v>2880.36</v>
      </c>
      <c r="D857" s="735"/>
      <c r="E857" s="735"/>
      <c r="F857" s="735"/>
      <c r="G857" s="735"/>
      <c r="H857" s="735"/>
      <c r="I857" s="735"/>
      <c r="J857" s="735">
        <v>0</v>
      </c>
      <c r="K857" s="735">
        <f t="shared" si="625"/>
        <v>2880.36</v>
      </c>
      <c r="L857" s="735">
        <v>1000</v>
      </c>
      <c r="M857" s="735"/>
      <c r="N857" s="735">
        <f t="shared" si="618"/>
        <v>1000</v>
      </c>
      <c r="O857" s="735">
        <f t="shared" si="619"/>
        <v>35564.32</v>
      </c>
      <c r="P857" s="735">
        <f t="shared" si="620"/>
        <v>35564.32</v>
      </c>
      <c r="Q857" s="711">
        <v>1</v>
      </c>
      <c r="R857" s="735">
        <v>2880.36</v>
      </c>
      <c r="S857" s="735"/>
      <c r="T857" s="735"/>
      <c r="U857" s="735"/>
      <c r="V857" s="735"/>
      <c r="W857" s="735"/>
      <c r="X857" s="735"/>
      <c r="Y857" s="735">
        <v>0</v>
      </c>
      <c r="Z857" s="735">
        <f t="shared" si="632"/>
        <v>2880.36</v>
      </c>
      <c r="AA857" s="735">
        <v>1000</v>
      </c>
      <c r="AB857" s="735"/>
      <c r="AC857" s="735">
        <f t="shared" si="633"/>
        <v>1000</v>
      </c>
      <c r="AD857" s="735">
        <f t="shared" si="634"/>
        <v>35564.32</v>
      </c>
      <c r="AE857" s="735">
        <f t="shared" si="635"/>
        <v>35564.32</v>
      </c>
      <c r="AF857" s="735">
        <f t="shared" si="627"/>
        <v>0</v>
      </c>
      <c r="AG857" s="824">
        <f t="shared" si="637"/>
        <v>0</v>
      </c>
      <c r="AH857" s="711">
        <v>1</v>
      </c>
      <c r="AI857" s="735">
        <f t="shared" si="636"/>
        <v>426772.83999999997</v>
      </c>
    </row>
    <row r="858" spans="1:35" x14ac:dyDescent="0.2">
      <c r="A858" s="704"/>
      <c r="B858" s="711">
        <v>1</v>
      </c>
      <c r="C858" s="735">
        <v>2880.36</v>
      </c>
      <c r="D858" s="735"/>
      <c r="E858" s="735"/>
      <c r="F858" s="735"/>
      <c r="G858" s="735"/>
      <c r="H858" s="735"/>
      <c r="I858" s="735"/>
      <c r="J858" s="735">
        <v>70</v>
      </c>
      <c r="K858" s="735">
        <f t="shared" si="625"/>
        <v>2950.36</v>
      </c>
      <c r="L858" s="735">
        <v>1000</v>
      </c>
      <c r="M858" s="735"/>
      <c r="N858" s="735">
        <f t="shared" ref="N858:N921" si="638">SUM(L858:M858)</f>
        <v>1000</v>
      </c>
      <c r="O858" s="735">
        <f t="shared" ref="O858:O921" si="639">(K858*12)+N858</f>
        <v>36404.32</v>
      </c>
      <c r="P858" s="735">
        <f t="shared" ref="P858:P921" si="640">B858*O858</f>
        <v>36404.32</v>
      </c>
      <c r="Q858" s="711">
        <v>1</v>
      </c>
      <c r="R858" s="735">
        <v>2880.36</v>
      </c>
      <c r="S858" s="735"/>
      <c r="T858" s="735"/>
      <c r="U858" s="735"/>
      <c r="V858" s="735"/>
      <c r="W858" s="735"/>
      <c r="X858" s="735"/>
      <c r="Y858" s="735">
        <v>70</v>
      </c>
      <c r="Z858" s="735">
        <f t="shared" si="632"/>
        <v>2950.36</v>
      </c>
      <c r="AA858" s="735">
        <v>1000</v>
      </c>
      <c r="AB858" s="735"/>
      <c r="AC858" s="735">
        <f t="shared" ref="AC858:AC884" si="641">SUM(AA858:AB858)</f>
        <v>1000</v>
      </c>
      <c r="AD858" s="735">
        <f t="shared" si="634"/>
        <v>36404.32</v>
      </c>
      <c r="AE858" s="735">
        <f t="shared" si="635"/>
        <v>36404.32</v>
      </c>
      <c r="AF858" s="735">
        <f t="shared" si="627"/>
        <v>0</v>
      </c>
      <c r="AG858" s="824">
        <f t="shared" si="637"/>
        <v>0</v>
      </c>
      <c r="AH858" s="711">
        <v>1</v>
      </c>
      <c r="AI858" s="735">
        <f t="shared" si="636"/>
        <v>436852.83999999997</v>
      </c>
    </row>
    <row r="859" spans="1:35" x14ac:dyDescent="0.2">
      <c r="A859" s="704"/>
      <c r="B859" s="711">
        <v>1</v>
      </c>
      <c r="C859" s="735">
        <v>2880.36</v>
      </c>
      <c r="D859" s="735"/>
      <c r="E859" s="735"/>
      <c r="F859" s="735"/>
      <c r="G859" s="735"/>
      <c r="H859" s="735"/>
      <c r="I859" s="735"/>
      <c r="J859" s="735">
        <v>650</v>
      </c>
      <c r="K859" s="735">
        <f t="shared" ref="K859:K922" si="642">SUM(C859:J859)</f>
        <v>3530.36</v>
      </c>
      <c r="L859" s="735">
        <v>1000</v>
      </c>
      <c r="M859" s="735"/>
      <c r="N859" s="735">
        <f t="shared" si="638"/>
        <v>1000</v>
      </c>
      <c r="O859" s="735">
        <f t="shared" si="639"/>
        <v>43364.32</v>
      </c>
      <c r="P859" s="735">
        <f t="shared" si="640"/>
        <v>43364.32</v>
      </c>
      <c r="Q859" s="711">
        <v>1</v>
      </c>
      <c r="R859" s="735">
        <v>2880.36</v>
      </c>
      <c r="S859" s="735"/>
      <c r="T859" s="735"/>
      <c r="U859" s="735"/>
      <c r="V859" s="735"/>
      <c r="W859" s="735"/>
      <c r="X859" s="735"/>
      <c r="Y859" s="735">
        <v>650</v>
      </c>
      <c r="Z859" s="735">
        <f t="shared" si="632"/>
        <v>3530.36</v>
      </c>
      <c r="AA859" s="735">
        <v>1000</v>
      </c>
      <c r="AB859" s="735"/>
      <c r="AC859" s="735">
        <f t="shared" si="641"/>
        <v>1000</v>
      </c>
      <c r="AD859" s="735">
        <f t="shared" si="634"/>
        <v>43364.32</v>
      </c>
      <c r="AE859" s="735">
        <f t="shared" si="635"/>
        <v>43364.32</v>
      </c>
      <c r="AF859" s="735">
        <f t="shared" si="627"/>
        <v>0</v>
      </c>
      <c r="AG859" s="824">
        <f t="shared" si="637"/>
        <v>0</v>
      </c>
      <c r="AH859" s="711">
        <v>1</v>
      </c>
      <c r="AI859" s="735">
        <f t="shared" si="636"/>
        <v>520372.83999999997</v>
      </c>
    </row>
    <row r="860" spans="1:35" x14ac:dyDescent="0.2">
      <c r="A860" s="704"/>
      <c r="B860" s="711">
        <v>1</v>
      </c>
      <c r="C860" s="735">
        <v>2880.36</v>
      </c>
      <c r="D860" s="735"/>
      <c r="E860" s="735"/>
      <c r="F860" s="735"/>
      <c r="G860" s="735"/>
      <c r="H860" s="735"/>
      <c r="I860" s="735"/>
      <c r="J860" s="735">
        <v>0</v>
      </c>
      <c r="K860" s="735">
        <f t="shared" si="642"/>
        <v>2880.36</v>
      </c>
      <c r="L860" s="735">
        <v>1000</v>
      </c>
      <c r="M860" s="735"/>
      <c r="N860" s="735">
        <f t="shared" si="638"/>
        <v>1000</v>
      </c>
      <c r="O860" s="735">
        <f t="shared" si="639"/>
        <v>35564.32</v>
      </c>
      <c r="P860" s="735">
        <f t="shared" si="640"/>
        <v>35564.32</v>
      </c>
      <c r="Q860" s="711">
        <v>1</v>
      </c>
      <c r="R860" s="735">
        <v>2880.36</v>
      </c>
      <c r="S860" s="735"/>
      <c r="T860" s="735"/>
      <c r="U860" s="735"/>
      <c r="V860" s="735"/>
      <c r="W860" s="735"/>
      <c r="X860" s="735"/>
      <c r="Y860" s="735">
        <v>0</v>
      </c>
      <c r="Z860" s="735">
        <f t="shared" si="632"/>
        <v>2880.36</v>
      </c>
      <c r="AA860" s="735">
        <v>1000</v>
      </c>
      <c r="AB860" s="735"/>
      <c r="AC860" s="735">
        <f t="shared" si="641"/>
        <v>1000</v>
      </c>
      <c r="AD860" s="735">
        <f t="shared" si="634"/>
        <v>35564.32</v>
      </c>
      <c r="AE860" s="735">
        <f t="shared" si="635"/>
        <v>35564.32</v>
      </c>
      <c r="AF860" s="735">
        <f t="shared" si="627"/>
        <v>0</v>
      </c>
      <c r="AG860" s="824">
        <f t="shared" si="637"/>
        <v>0</v>
      </c>
      <c r="AH860" s="711">
        <v>1</v>
      </c>
      <c r="AI860" s="735">
        <f t="shared" si="636"/>
        <v>426772.83999999997</v>
      </c>
    </row>
    <row r="861" spans="1:35" x14ac:dyDescent="0.2">
      <c r="A861" s="704"/>
      <c r="B861" s="711">
        <v>1</v>
      </c>
      <c r="C861" s="735">
        <v>2880.36</v>
      </c>
      <c r="D861" s="735"/>
      <c r="E861" s="735"/>
      <c r="F861" s="735"/>
      <c r="G861" s="735"/>
      <c r="H861" s="735"/>
      <c r="I861" s="735"/>
      <c r="J861" s="735">
        <v>0</v>
      </c>
      <c r="K861" s="735">
        <f t="shared" si="642"/>
        <v>2880.36</v>
      </c>
      <c r="L861" s="735">
        <v>1000</v>
      </c>
      <c r="M861" s="735"/>
      <c r="N861" s="735">
        <f t="shared" si="638"/>
        <v>1000</v>
      </c>
      <c r="O861" s="735">
        <f t="shared" si="639"/>
        <v>35564.32</v>
      </c>
      <c r="P861" s="735">
        <f t="shared" si="640"/>
        <v>35564.32</v>
      </c>
      <c r="Q861" s="711">
        <v>1</v>
      </c>
      <c r="R861" s="735">
        <v>2880.36</v>
      </c>
      <c r="S861" s="735"/>
      <c r="T861" s="735"/>
      <c r="U861" s="735"/>
      <c r="V861" s="735"/>
      <c r="W861" s="735"/>
      <c r="X861" s="735"/>
      <c r="Y861" s="735">
        <v>0</v>
      </c>
      <c r="Z861" s="735">
        <f t="shared" si="632"/>
        <v>2880.36</v>
      </c>
      <c r="AA861" s="735">
        <v>1000</v>
      </c>
      <c r="AB861" s="735"/>
      <c r="AC861" s="735">
        <f t="shared" si="641"/>
        <v>1000</v>
      </c>
      <c r="AD861" s="735">
        <f t="shared" si="634"/>
        <v>35564.32</v>
      </c>
      <c r="AE861" s="735">
        <f t="shared" si="635"/>
        <v>35564.32</v>
      </c>
      <c r="AF861" s="735">
        <f t="shared" si="627"/>
        <v>0</v>
      </c>
      <c r="AG861" s="824">
        <f t="shared" si="637"/>
        <v>0</v>
      </c>
      <c r="AH861" s="711">
        <v>1</v>
      </c>
      <c r="AI861" s="735">
        <f t="shared" si="636"/>
        <v>426772.83999999997</v>
      </c>
    </row>
    <row r="862" spans="1:35" x14ac:dyDescent="0.2">
      <c r="A862" s="704"/>
      <c r="B862" s="711">
        <v>1</v>
      </c>
      <c r="C862" s="735">
        <v>2880.36</v>
      </c>
      <c r="D862" s="735"/>
      <c r="E862" s="735"/>
      <c r="F862" s="735"/>
      <c r="G862" s="735"/>
      <c r="H862" s="735"/>
      <c r="I862" s="735"/>
      <c r="J862" s="735">
        <v>0</v>
      </c>
      <c r="K862" s="735">
        <f t="shared" si="642"/>
        <v>2880.36</v>
      </c>
      <c r="L862" s="735">
        <v>1000</v>
      </c>
      <c r="M862" s="735"/>
      <c r="N862" s="735">
        <f t="shared" si="638"/>
        <v>1000</v>
      </c>
      <c r="O862" s="735">
        <f t="shared" si="639"/>
        <v>35564.32</v>
      </c>
      <c r="P862" s="735">
        <f t="shared" si="640"/>
        <v>35564.32</v>
      </c>
      <c r="Q862" s="711">
        <v>1</v>
      </c>
      <c r="R862" s="735">
        <v>2880.36</v>
      </c>
      <c r="S862" s="735"/>
      <c r="T862" s="735"/>
      <c r="U862" s="735"/>
      <c r="V862" s="735"/>
      <c r="W862" s="735"/>
      <c r="X862" s="735"/>
      <c r="Y862" s="735">
        <v>0</v>
      </c>
      <c r="Z862" s="735">
        <f t="shared" si="632"/>
        <v>2880.36</v>
      </c>
      <c r="AA862" s="735">
        <v>1000</v>
      </c>
      <c r="AB862" s="735"/>
      <c r="AC862" s="735">
        <f t="shared" si="641"/>
        <v>1000</v>
      </c>
      <c r="AD862" s="735">
        <f t="shared" si="634"/>
        <v>35564.32</v>
      </c>
      <c r="AE862" s="735">
        <f t="shared" si="635"/>
        <v>35564.32</v>
      </c>
      <c r="AF862" s="735">
        <f t="shared" si="627"/>
        <v>0</v>
      </c>
      <c r="AG862" s="824">
        <f t="shared" si="637"/>
        <v>0</v>
      </c>
      <c r="AH862" s="711">
        <v>1</v>
      </c>
      <c r="AI862" s="735">
        <f t="shared" si="636"/>
        <v>426772.83999999997</v>
      </c>
    </row>
    <row r="863" spans="1:35" x14ac:dyDescent="0.2">
      <c r="A863" s="704"/>
      <c r="B863" s="711">
        <v>1</v>
      </c>
      <c r="C863" s="735">
        <v>2880.36</v>
      </c>
      <c r="D863" s="735"/>
      <c r="E863" s="735"/>
      <c r="F863" s="735"/>
      <c r="G863" s="735"/>
      <c r="H863" s="735"/>
      <c r="I863" s="735"/>
      <c r="J863" s="735">
        <v>0</v>
      </c>
      <c r="K863" s="735">
        <f t="shared" si="642"/>
        <v>2880.36</v>
      </c>
      <c r="L863" s="735">
        <v>1000</v>
      </c>
      <c r="M863" s="735"/>
      <c r="N863" s="735">
        <f t="shared" si="638"/>
        <v>1000</v>
      </c>
      <c r="O863" s="735">
        <f t="shared" si="639"/>
        <v>35564.32</v>
      </c>
      <c r="P863" s="735">
        <f t="shared" si="640"/>
        <v>35564.32</v>
      </c>
      <c r="Q863" s="711">
        <v>1</v>
      </c>
      <c r="R863" s="735">
        <v>2880.36</v>
      </c>
      <c r="S863" s="735"/>
      <c r="T863" s="735"/>
      <c r="U863" s="735"/>
      <c r="V863" s="735"/>
      <c r="W863" s="735"/>
      <c r="X863" s="735"/>
      <c r="Y863" s="735">
        <v>0</v>
      </c>
      <c r="Z863" s="735">
        <f t="shared" si="632"/>
        <v>2880.36</v>
      </c>
      <c r="AA863" s="735">
        <v>1000</v>
      </c>
      <c r="AB863" s="735"/>
      <c r="AC863" s="735">
        <f t="shared" si="641"/>
        <v>1000</v>
      </c>
      <c r="AD863" s="735">
        <f t="shared" si="634"/>
        <v>35564.32</v>
      </c>
      <c r="AE863" s="735">
        <f t="shared" si="635"/>
        <v>35564.32</v>
      </c>
      <c r="AF863" s="735">
        <f t="shared" si="627"/>
        <v>0</v>
      </c>
      <c r="AG863" s="824">
        <f t="shared" si="637"/>
        <v>0</v>
      </c>
      <c r="AH863" s="711">
        <v>1</v>
      </c>
      <c r="AI863" s="735">
        <f t="shared" si="636"/>
        <v>426772.83999999997</v>
      </c>
    </row>
    <row r="864" spans="1:35" x14ac:dyDescent="0.2">
      <c r="A864" s="704"/>
      <c r="B864" s="711">
        <v>1</v>
      </c>
      <c r="C864" s="735">
        <v>2880.36</v>
      </c>
      <c r="D864" s="735"/>
      <c r="E864" s="735"/>
      <c r="F864" s="735"/>
      <c r="G864" s="735"/>
      <c r="H864" s="735"/>
      <c r="I864" s="735"/>
      <c r="J864" s="735">
        <v>0</v>
      </c>
      <c r="K864" s="735">
        <f t="shared" si="642"/>
        <v>2880.36</v>
      </c>
      <c r="L864" s="735">
        <v>1000</v>
      </c>
      <c r="M864" s="735"/>
      <c r="N864" s="735">
        <f t="shared" si="638"/>
        <v>1000</v>
      </c>
      <c r="O864" s="735">
        <f t="shared" si="639"/>
        <v>35564.32</v>
      </c>
      <c r="P864" s="735">
        <f t="shared" si="640"/>
        <v>35564.32</v>
      </c>
      <c r="Q864" s="711">
        <v>1</v>
      </c>
      <c r="R864" s="735">
        <v>2880.36</v>
      </c>
      <c r="S864" s="735"/>
      <c r="T864" s="735"/>
      <c r="U864" s="735"/>
      <c r="V864" s="735"/>
      <c r="W864" s="735"/>
      <c r="X864" s="735"/>
      <c r="Y864" s="735">
        <v>0</v>
      </c>
      <c r="Z864" s="735">
        <f t="shared" si="632"/>
        <v>2880.36</v>
      </c>
      <c r="AA864" s="735">
        <v>1000</v>
      </c>
      <c r="AB864" s="735"/>
      <c r="AC864" s="735">
        <f t="shared" si="641"/>
        <v>1000</v>
      </c>
      <c r="AD864" s="735">
        <f t="shared" si="634"/>
        <v>35564.32</v>
      </c>
      <c r="AE864" s="735">
        <f t="shared" si="635"/>
        <v>35564.32</v>
      </c>
      <c r="AF864" s="735">
        <f t="shared" si="627"/>
        <v>0</v>
      </c>
      <c r="AG864" s="824">
        <f t="shared" si="637"/>
        <v>0</v>
      </c>
      <c r="AH864" s="711">
        <v>1</v>
      </c>
      <c r="AI864" s="735">
        <f t="shared" si="636"/>
        <v>426772.83999999997</v>
      </c>
    </row>
    <row r="865" spans="1:35" x14ac:dyDescent="0.2">
      <c r="A865" s="704"/>
      <c r="B865" s="711">
        <v>1</v>
      </c>
      <c r="C865" s="735">
        <v>2880.36</v>
      </c>
      <c r="D865" s="735"/>
      <c r="E865" s="735"/>
      <c r="F865" s="735"/>
      <c r="G865" s="735"/>
      <c r="H865" s="735"/>
      <c r="I865" s="735"/>
      <c r="J865" s="735">
        <v>0</v>
      </c>
      <c r="K865" s="735">
        <f t="shared" si="642"/>
        <v>2880.36</v>
      </c>
      <c r="L865" s="735">
        <v>1000</v>
      </c>
      <c r="M865" s="735"/>
      <c r="N865" s="735">
        <f t="shared" si="638"/>
        <v>1000</v>
      </c>
      <c r="O865" s="735">
        <f t="shared" si="639"/>
        <v>35564.32</v>
      </c>
      <c r="P865" s="735">
        <f t="shared" si="640"/>
        <v>35564.32</v>
      </c>
      <c r="Q865" s="711">
        <v>1</v>
      </c>
      <c r="R865" s="735">
        <v>2880.36</v>
      </c>
      <c r="S865" s="735"/>
      <c r="T865" s="735"/>
      <c r="U865" s="735"/>
      <c r="V865" s="735"/>
      <c r="W865" s="735"/>
      <c r="X865" s="735"/>
      <c r="Y865" s="735">
        <v>0</v>
      </c>
      <c r="Z865" s="735">
        <f t="shared" si="632"/>
        <v>2880.36</v>
      </c>
      <c r="AA865" s="735">
        <v>1000</v>
      </c>
      <c r="AB865" s="735"/>
      <c r="AC865" s="735">
        <f t="shared" si="641"/>
        <v>1000</v>
      </c>
      <c r="AD865" s="735">
        <f t="shared" si="634"/>
        <v>35564.32</v>
      </c>
      <c r="AE865" s="735">
        <f t="shared" si="635"/>
        <v>35564.32</v>
      </c>
      <c r="AF865" s="735">
        <f t="shared" si="627"/>
        <v>0</v>
      </c>
      <c r="AG865" s="824">
        <f t="shared" si="637"/>
        <v>0</v>
      </c>
      <c r="AH865" s="711">
        <v>1</v>
      </c>
      <c r="AI865" s="735">
        <f t="shared" si="636"/>
        <v>426772.83999999997</v>
      </c>
    </row>
    <row r="866" spans="1:35" x14ac:dyDescent="0.2">
      <c r="A866" s="704"/>
      <c r="B866" s="711">
        <v>1</v>
      </c>
      <c r="C866" s="735">
        <v>2880.36</v>
      </c>
      <c r="D866" s="735"/>
      <c r="E866" s="735"/>
      <c r="F866" s="735"/>
      <c r="G866" s="735"/>
      <c r="H866" s="735"/>
      <c r="I866" s="735"/>
      <c r="J866" s="735">
        <v>740</v>
      </c>
      <c r="K866" s="735">
        <f t="shared" si="642"/>
        <v>3620.36</v>
      </c>
      <c r="L866" s="735">
        <v>1000</v>
      </c>
      <c r="M866" s="735"/>
      <c r="N866" s="735">
        <f t="shared" si="638"/>
        <v>1000</v>
      </c>
      <c r="O866" s="735">
        <f t="shared" si="639"/>
        <v>44444.32</v>
      </c>
      <c r="P866" s="735">
        <f t="shared" si="640"/>
        <v>44444.32</v>
      </c>
      <c r="Q866" s="711">
        <v>1</v>
      </c>
      <c r="R866" s="735">
        <v>2880.36</v>
      </c>
      <c r="S866" s="735"/>
      <c r="T866" s="735"/>
      <c r="U866" s="735"/>
      <c r="V866" s="735"/>
      <c r="W866" s="735"/>
      <c r="X866" s="735"/>
      <c r="Y866" s="735">
        <v>740</v>
      </c>
      <c r="Z866" s="735">
        <f t="shared" si="632"/>
        <v>3620.36</v>
      </c>
      <c r="AA866" s="735">
        <v>1000</v>
      </c>
      <c r="AB866" s="735"/>
      <c r="AC866" s="735">
        <f t="shared" si="641"/>
        <v>1000</v>
      </c>
      <c r="AD866" s="735">
        <f t="shared" si="634"/>
        <v>44444.32</v>
      </c>
      <c r="AE866" s="735">
        <f t="shared" si="635"/>
        <v>44444.32</v>
      </c>
      <c r="AF866" s="735">
        <f t="shared" si="627"/>
        <v>0</v>
      </c>
      <c r="AG866" s="824">
        <f t="shared" si="637"/>
        <v>0</v>
      </c>
      <c r="AH866" s="711">
        <v>1</v>
      </c>
      <c r="AI866" s="735">
        <f t="shared" si="636"/>
        <v>533332.84</v>
      </c>
    </row>
    <row r="867" spans="1:35" x14ac:dyDescent="0.2">
      <c r="A867" s="704"/>
      <c r="B867" s="711">
        <v>1</v>
      </c>
      <c r="C867" s="735">
        <v>2880.36</v>
      </c>
      <c r="D867" s="735"/>
      <c r="E867" s="735"/>
      <c r="F867" s="735"/>
      <c r="G867" s="735"/>
      <c r="H867" s="735"/>
      <c r="I867" s="735"/>
      <c r="J867" s="735">
        <v>0</v>
      </c>
      <c r="K867" s="735">
        <f t="shared" si="642"/>
        <v>2880.36</v>
      </c>
      <c r="L867" s="735">
        <v>1000</v>
      </c>
      <c r="M867" s="735"/>
      <c r="N867" s="735">
        <f t="shared" si="638"/>
        <v>1000</v>
      </c>
      <c r="O867" s="735">
        <f t="shared" si="639"/>
        <v>35564.32</v>
      </c>
      <c r="P867" s="735">
        <f t="shared" si="640"/>
        <v>35564.32</v>
      </c>
      <c r="Q867" s="711">
        <v>1</v>
      </c>
      <c r="R867" s="735">
        <v>2880.36</v>
      </c>
      <c r="S867" s="735"/>
      <c r="T867" s="735"/>
      <c r="U867" s="735"/>
      <c r="V867" s="735"/>
      <c r="W867" s="735"/>
      <c r="X867" s="735"/>
      <c r="Y867" s="735">
        <v>0</v>
      </c>
      <c r="Z867" s="735">
        <f t="shared" si="632"/>
        <v>2880.36</v>
      </c>
      <c r="AA867" s="735">
        <v>1000</v>
      </c>
      <c r="AB867" s="735"/>
      <c r="AC867" s="735">
        <f t="shared" si="641"/>
        <v>1000</v>
      </c>
      <c r="AD867" s="735">
        <f t="shared" si="634"/>
        <v>35564.32</v>
      </c>
      <c r="AE867" s="735">
        <f t="shared" si="635"/>
        <v>35564.32</v>
      </c>
      <c r="AF867" s="735">
        <f t="shared" si="627"/>
        <v>0</v>
      </c>
      <c r="AG867" s="824">
        <f t="shared" si="637"/>
        <v>0</v>
      </c>
      <c r="AH867" s="711">
        <v>1</v>
      </c>
      <c r="AI867" s="735">
        <f t="shared" si="636"/>
        <v>426772.83999999997</v>
      </c>
    </row>
    <row r="868" spans="1:35" x14ac:dyDescent="0.2">
      <c r="A868" s="704"/>
      <c r="B868" s="711">
        <v>1</v>
      </c>
      <c r="C868" s="735">
        <v>2880.36</v>
      </c>
      <c r="D868" s="735"/>
      <c r="E868" s="735"/>
      <c r="F868" s="735"/>
      <c r="G868" s="735"/>
      <c r="H868" s="735"/>
      <c r="I868" s="735"/>
      <c r="J868" s="735">
        <v>0</v>
      </c>
      <c r="K868" s="735">
        <f t="shared" si="642"/>
        <v>2880.36</v>
      </c>
      <c r="L868" s="735">
        <v>1000</v>
      </c>
      <c r="M868" s="735"/>
      <c r="N868" s="735">
        <f t="shared" si="638"/>
        <v>1000</v>
      </c>
      <c r="O868" s="735">
        <f t="shared" si="639"/>
        <v>35564.32</v>
      </c>
      <c r="P868" s="735">
        <f t="shared" si="640"/>
        <v>35564.32</v>
      </c>
      <c r="Q868" s="711">
        <v>1</v>
      </c>
      <c r="R868" s="735">
        <v>2880.36</v>
      </c>
      <c r="S868" s="735"/>
      <c r="T868" s="735"/>
      <c r="U868" s="735"/>
      <c r="V868" s="735"/>
      <c r="W868" s="735"/>
      <c r="X868" s="735"/>
      <c r="Y868" s="735">
        <v>0</v>
      </c>
      <c r="Z868" s="735">
        <f t="shared" si="632"/>
        <v>2880.36</v>
      </c>
      <c r="AA868" s="735">
        <v>1000</v>
      </c>
      <c r="AB868" s="735"/>
      <c r="AC868" s="735">
        <f t="shared" si="641"/>
        <v>1000</v>
      </c>
      <c r="AD868" s="735">
        <f t="shared" si="634"/>
        <v>35564.32</v>
      </c>
      <c r="AE868" s="735">
        <f t="shared" si="635"/>
        <v>35564.32</v>
      </c>
      <c r="AF868" s="735">
        <f t="shared" si="627"/>
        <v>0</v>
      </c>
      <c r="AG868" s="824">
        <f t="shared" si="637"/>
        <v>0</v>
      </c>
      <c r="AH868" s="711">
        <v>1</v>
      </c>
      <c r="AI868" s="735">
        <f t="shared" si="636"/>
        <v>426772.83999999997</v>
      </c>
    </row>
    <row r="869" spans="1:35" x14ac:dyDescent="0.2">
      <c r="A869" s="704"/>
      <c r="B869" s="711">
        <v>1</v>
      </c>
      <c r="C869" s="735">
        <v>2880.36</v>
      </c>
      <c r="D869" s="735"/>
      <c r="E869" s="735"/>
      <c r="F869" s="735"/>
      <c r="G869" s="735"/>
      <c r="H869" s="735"/>
      <c r="I869" s="735"/>
      <c r="J869" s="735">
        <v>0</v>
      </c>
      <c r="K869" s="735">
        <f t="shared" si="642"/>
        <v>2880.36</v>
      </c>
      <c r="L869" s="735">
        <v>1000</v>
      </c>
      <c r="M869" s="735"/>
      <c r="N869" s="735">
        <f t="shared" si="638"/>
        <v>1000</v>
      </c>
      <c r="O869" s="735">
        <f t="shared" si="639"/>
        <v>35564.32</v>
      </c>
      <c r="P869" s="735">
        <f t="shared" si="640"/>
        <v>35564.32</v>
      </c>
      <c r="Q869" s="711">
        <v>1</v>
      </c>
      <c r="R869" s="735">
        <v>2880.36</v>
      </c>
      <c r="S869" s="735"/>
      <c r="T869" s="735"/>
      <c r="U869" s="735"/>
      <c r="V869" s="735"/>
      <c r="W869" s="735"/>
      <c r="X869" s="735"/>
      <c r="Y869" s="735">
        <v>0</v>
      </c>
      <c r="Z869" s="735">
        <f t="shared" si="632"/>
        <v>2880.36</v>
      </c>
      <c r="AA869" s="735">
        <v>1000</v>
      </c>
      <c r="AB869" s="735"/>
      <c r="AC869" s="735">
        <f t="shared" si="641"/>
        <v>1000</v>
      </c>
      <c r="AD869" s="735">
        <f t="shared" si="634"/>
        <v>35564.32</v>
      </c>
      <c r="AE869" s="735">
        <f t="shared" si="635"/>
        <v>35564.32</v>
      </c>
      <c r="AF869" s="735">
        <f t="shared" si="627"/>
        <v>0</v>
      </c>
      <c r="AG869" s="824">
        <f t="shared" si="637"/>
        <v>0</v>
      </c>
      <c r="AH869" s="711">
        <v>1</v>
      </c>
      <c r="AI869" s="735">
        <f t="shared" si="636"/>
        <v>426772.83999999997</v>
      </c>
    </row>
    <row r="870" spans="1:35" x14ac:dyDescent="0.2">
      <c r="A870" s="704"/>
      <c r="B870" s="711">
        <v>1</v>
      </c>
      <c r="C870" s="735">
        <v>2880.36</v>
      </c>
      <c r="D870" s="735"/>
      <c r="E870" s="735"/>
      <c r="F870" s="735"/>
      <c r="G870" s="735"/>
      <c r="H870" s="735"/>
      <c r="I870" s="735"/>
      <c r="J870" s="735">
        <v>0</v>
      </c>
      <c r="K870" s="735">
        <f t="shared" si="642"/>
        <v>2880.36</v>
      </c>
      <c r="L870" s="735">
        <v>1000</v>
      </c>
      <c r="M870" s="735"/>
      <c r="N870" s="735">
        <f t="shared" si="638"/>
        <v>1000</v>
      </c>
      <c r="O870" s="735">
        <f t="shared" si="639"/>
        <v>35564.32</v>
      </c>
      <c r="P870" s="735">
        <f t="shared" si="640"/>
        <v>35564.32</v>
      </c>
      <c r="Q870" s="711">
        <v>1</v>
      </c>
      <c r="R870" s="735">
        <v>2880.36</v>
      </c>
      <c r="S870" s="735"/>
      <c r="T870" s="735"/>
      <c r="U870" s="735"/>
      <c r="V870" s="735"/>
      <c r="W870" s="735"/>
      <c r="X870" s="735"/>
      <c r="Y870" s="735">
        <v>0</v>
      </c>
      <c r="Z870" s="735">
        <f t="shared" si="632"/>
        <v>2880.36</v>
      </c>
      <c r="AA870" s="735">
        <v>1000</v>
      </c>
      <c r="AB870" s="735"/>
      <c r="AC870" s="735">
        <f t="shared" si="641"/>
        <v>1000</v>
      </c>
      <c r="AD870" s="735">
        <f t="shared" si="634"/>
        <v>35564.32</v>
      </c>
      <c r="AE870" s="735">
        <f t="shared" si="635"/>
        <v>35564.32</v>
      </c>
      <c r="AF870" s="735">
        <f t="shared" si="627"/>
        <v>0</v>
      </c>
      <c r="AG870" s="824">
        <f t="shared" si="637"/>
        <v>0</v>
      </c>
      <c r="AH870" s="711">
        <v>1</v>
      </c>
      <c r="AI870" s="735">
        <f t="shared" si="636"/>
        <v>426772.83999999997</v>
      </c>
    </row>
    <row r="871" spans="1:35" x14ac:dyDescent="0.2">
      <c r="A871" s="704"/>
      <c r="B871" s="711">
        <v>1</v>
      </c>
      <c r="C871" s="735">
        <v>2880.36</v>
      </c>
      <c r="D871" s="735"/>
      <c r="E871" s="735"/>
      <c r="F871" s="735"/>
      <c r="G871" s="735"/>
      <c r="H871" s="735"/>
      <c r="I871" s="735"/>
      <c r="J871" s="735">
        <v>640</v>
      </c>
      <c r="K871" s="735">
        <f t="shared" si="642"/>
        <v>3520.36</v>
      </c>
      <c r="L871" s="735">
        <v>1000</v>
      </c>
      <c r="M871" s="735"/>
      <c r="N871" s="735">
        <f t="shared" si="638"/>
        <v>1000</v>
      </c>
      <c r="O871" s="735">
        <f t="shared" si="639"/>
        <v>43244.32</v>
      </c>
      <c r="P871" s="735">
        <f t="shared" si="640"/>
        <v>43244.32</v>
      </c>
      <c r="Q871" s="711">
        <v>1</v>
      </c>
      <c r="R871" s="735">
        <v>2880.36</v>
      </c>
      <c r="S871" s="735"/>
      <c r="T871" s="735"/>
      <c r="U871" s="735"/>
      <c r="V871" s="735"/>
      <c r="W871" s="735"/>
      <c r="X871" s="735"/>
      <c r="Y871" s="735">
        <v>640</v>
      </c>
      <c r="Z871" s="735">
        <f t="shared" si="632"/>
        <v>3520.36</v>
      </c>
      <c r="AA871" s="735">
        <v>1000</v>
      </c>
      <c r="AB871" s="735"/>
      <c r="AC871" s="735">
        <f t="shared" si="641"/>
        <v>1000</v>
      </c>
      <c r="AD871" s="735">
        <f t="shared" si="634"/>
        <v>43244.32</v>
      </c>
      <c r="AE871" s="735">
        <f t="shared" si="635"/>
        <v>43244.32</v>
      </c>
      <c r="AF871" s="735">
        <f t="shared" si="627"/>
        <v>0</v>
      </c>
      <c r="AG871" s="824">
        <f t="shared" si="637"/>
        <v>0</v>
      </c>
      <c r="AH871" s="711">
        <v>1</v>
      </c>
      <c r="AI871" s="735">
        <f t="shared" si="636"/>
        <v>518932.83999999997</v>
      </c>
    </row>
    <row r="872" spans="1:35" x14ac:dyDescent="0.2">
      <c r="A872" s="704"/>
      <c r="B872" s="711">
        <v>1</v>
      </c>
      <c r="C872" s="735">
        <v>2880.36</v>
      </c>
      <c r="D872" s="735"/>
      <c r="E872" s="735"/>
      <c r="F872" s="735"/>
      <c r="G872" s="735"/>
      <c r="H872" s="735"/>
      <c r="I872" s="735"/>
      <c r="J872" s="735">
        <v>0</v>
      </c>
      <c r="K872" s="735">
        <f t="shared" si="642"/>
        <v>2880.36</v>
      </c>
      <c r="L872" s="735">
        <v>1000</v>
      </c>
      <c r="M872" s="735"/>
      <c r="N872" s="735">
        <f t="shared" si="638"/>
        <v>1000</v>
      </c>
      <c r="O872" s="735">
        <f t="shared" si="639"/>
        <v>35564.32</v>
      </c>
      <c r="P872" s="735">
        <f t="shared" si="640"/>
        <v>35564.32</v>
      </c>
      <c r="Q872" s="711">
        <v>1</v>
      </c>
      <c r="R872" s="735">
        <v>2880.36</v>
      </c>
      <c r="S872" s="735"/>
      <c r="T872" s="735"/>
      <c r="U872" s="735"/>
      <c r="V872" s="735"/>
      <c r="W872" s="735"/>
      <c r="X872" s="735"/>
      <c r="Y872" s="735">
        <v>0</v>
      </c>
      <c r="Z872" s="735">
        <f t="shared" si="632"/>
        <v>2880.36</v>
      </c>
      <c r="AA872" s="735">
        <v>1000</v>
      </c>
      <c r="AB872" s="735"/>
      <c r="AC872" s="735">
        <f t="shared" si="641"/>
        <v>1000</v>
      </c>
      <c r="AD872" s="735">
        <f t="shared" si="634"/>
        <v>35564.32</v>
      </c>
      <c r="AE872" s="735">
        <f t="shared" si="635"/>
        <v>35564.32</v>
      </c>
      <c r="AF872" s="735">
        <f t="shared" si="627"/>
        <v>0</v>
      </c>
      <c r="AG872" s="824">
        <f t="shared" si="637"/>
        <v>0</v>
      </c>
      <c r="AH872" s="711">
        <v>1</v>
      </c>
      <c r="AI872" s="735">
        <f t="shared" si="636"/>
        <v>426772.83999999997</v>
      </c>
    </row>
    <row r="873" spans="1:35" x14ac:dyDescent="0.2">
      <c r="A873" s="704"/>
      <c r="B873" s="711">
        <v>1</v>
      </c>
      <c r="C873" s="735">
        <v>2880.36</v>
      </c>
      <c r="D873" s="735"/>
      <c r="E873" s="735"/>
      <c r="F873" s="735"/>
      <c r="G873" s="735"/>
      <c r="H873" s="735"/>
      <c r="I873" s="735"/>
      <c r="J873" s="735">
        <v>0</v>
      </c>
      <c r="K873" s="735">
        <f t="shared" si="642"/>
        <v>2880.36</v>
      </c>
      <c r="L873" s="735">
        <v>1000</v>
      </c>
      <c r="M873" s="735"/>
      <c r="N873" s="735">
        <f t="shared" si="638"/>
        <v>1000</v>
      </c>
      <c r="O873" s="735">
        <f t="shared" si="639"/>
        <v>35564.32</v>
      </c>
      <c r="P873" s="735">
        <f t="shared" si="640"/>
        <v>35564.32</v>
      </c>
      <c r="Q873" s="711">
        <v>1</v>
      </c>
      <c r="R873" s="735">
        <v>2880.36</v>
      </c>
      <c r="S873" s="735"/>
      <c r="T873" s="735"/>
      <c r="U873" s="735"/>
      <c r="V873" s="735"/>
      <c r="W873" s="735"/>
      <c r="X873" s="735"/>
      <c r="Y873" s="735">
        <v>0</v>
      </c>
      <c r="Z873" s="735">
        <f t="shared" si="632"/>
        <v>2880.36</v>
      </c>
      <c r="AA873" s="735">
        <v>1000</v>
      </c>
      <c r="AB873" s="735"/>
      <c r="AC873" s="735">
        <f t="shared" si="641"/>
        <v>1000</v>
      </c>
      <c r="AD873" s="735">
        <f t="shared" si="634"/>
        <v>35564.32</v>
      </c>
      <c r="AE873" s="735">
        <f t="shared" si="635"/>
        <v>35564.32</v>
      </c>
      <c r="AF873" s="735">
        <f t="shared" si="627"/>
        <v>0</v>
      </c>
      <c r="AG873" s="824">
        <f t="shared" si="637"/>
        <v>0</v>
      </c>
      <c r="AH873" s="711">
        <v>1</v>
      </c>
      <c r="AI873" s="735">
        <f t="shared" si="636"/>
        <v>426772.83999999997</v>
      </c>
    </row>
    <row r="874" spans="1:35" x14ac:dyDescent="0.2">
      <c r="A874" s="704"/>
      <c r="B874" s="711">
        <v>1</v>
      </c>
      <c r="C874" s="735">
        <v>2880.36</v>
      </c>
      <c r="D874" s="735"/>
      <c r="E874" s="735"/>
      <c r="F874" s="735"/>
      <c r="G874" s="735"/>
      <c r="H874" s="735"/>
      <c r="I874" s="735"/>
      <c r="J874" s="735">
        <v>500</v>
      </c>
      <c r="K874" s="735">
        <f t="shared" si="642"/>
        <v>3380.36</v>
      </c>
      <c r="L874" s="735">
        <v>1000</v>
      </c>
      <c r="M874" s="735"/>
      <c r="N874" s="735">
        <f t="shared" si="638"/>
        <v>1000</v>
      </c>
      <c r="O874" s="735">
        <f t="shared" si="639"/>
        <v>41564.32</v>
      </c>
      <c r="P874" s="735">
        <f t="shared" si="640"/>
        <v>41564.32</v>
      </c>
      <c r="Q874" s="711">
        <v>1</v>
      </c>
      <c r="R874" s="735">
        <v>2880.36</v>
      </c>
      <c r="S874" s="735"/>
      <c r="T874" s="735"/>
      <c r="U874" s="735"/>
      <c r="V874" s="735"/>
      <c r="W874" s="735"/>
      <c r="X874" s="735"/>
      <c r="Y874" s="735">
        <v>500</v>
      </c>
      <c r="Z874" s="735">
        <f t="shared" si="632"/>
        <v>3380.36</v>
      </c>
      <c r="AA874" s="735">
        <v>1000</v>
      </c>
      <c r="AB874" s="735"/>
      <c r="AC874" s="735">
        <f t="shared" si="641"/>
        <v>1000</v>
      </c>
      <c r="AD874" s="735">
        <f t="shared" si="634"/>
        <v>41564.32</v>
      </c>
      <c r="AE874" s="735">
        <f t="shared" si="635"/>
        <v>41564.32</v>
      </c>
      <c r="AF874" s="735">
        <f t="shared" si="627"/>
        <v>0</v>
      </c>
      <c r="AG874" s="824">
        <f t="shared" si="637"/>
        <v>0</v>
      </c>
      <c r="AH874" s="711">
        <v>1</v>
      </c>
      <c r="AI874" s="735">
        <f t="shared" si="636"/>
        <v>498772.83999999997</v>
      </c>
    </row>
    <row r="875" spans="1:35" x14ac:dyDescent="0.2">
      <c r="A875" s="704"/>
      <c r="B875" s="711">
        <v>1</v>
      </c>
      <c r="C875" s="735">
        <v>2880.36</v>
      </c>
      <c r="D875" s="735"/>
      <c r="E875" s="735"/>
      <c r="F875" s="735"/>
      <c r="G875" s="735"/>
      <c r="H875" s="735"/>
      <c r="I875" s="735"/>
      <c r="J875" s="735">
        <v>0</v>
      </c>
      <c r="K875" s="735">
        <f t="shared" si="642"/>
        <v>2880.36</v>
      </c>
      <c r="L875" s="735">
        <v>1000</v>
      </c>
      <c r="M875" s="735"/>
      <c r="N875" s="735">
        <f t="shared" si="638"/>
        <v>1000</v>
      </c>
      <c r="O875" s="735">
        <f t="shared" si="639"/>
        <v>35564.32</v>
      </c>
      <c r="P875" s="735">
        <f t="shared" si="640"/>
        <v>35564.32</v>
      </c>
      <c r="Q875" s="711">
        <v>1</v>
      </c>
      <c r="R875" s="735">
        <v>2880.36</v>
      </c>
      <c r="S875" s="735"/>
      <c r="T875" s="735"/>
      <c r="U875" s="735"/>
      <c r="V875" s="735"/>
      <c r="W875" s="735"/>
      <c r="X875" s="735"/>
      <c r="Y875" s="735">
        <v>0</v>
      </c>
      <c r="Z875" s="735">
        <f t="shared" si="632"/>
        <v>2880.36</v>
      </c>
      <c r="AA875" s="735">
        <v>1000</v>
      </c>
      <c r="AB875" s="735"/>
      <c r="AC875" s="735">
        <f t="shared" si="641"/>
        <v>1000</v>
      </c>
      <c r="AD875" s="735">
        <f t="shared" si="634"/>
        <v>35564.32</v>
      </c>
      <c r="AE875" s="735">
        <f t="shared" si="635"/>
        <v>35564.32</v>
      </c>
      <c r="AF875" s="735">
        <f t="shared" si="627"/>
        <v>0</v>
      </c>
      <c r="AG875" s="824">
        <f t="shared" si="637"/>
        <v>0</v>
      </c>
      <c r="AH875" s="711">
        <v>1</v>
      </c>
      <c r="AI875" s="735">
        <f t="shared" si="636"/>
        <v>426772.83999999997</v>
      </c>
    </row>
    <row r="876" spans="1:35" x14ac:dyDescent="0.2">
      <c r="A876" s="704"/>
      <c r="B876" s="711">
        <v>1</v>
      </c>
      <c r="C876" s="735">
        <v>2880.36</v>
      </c>
      <c r="D876" s="735"/>
      <c r="E876" s="735"/>
      <c r="F876" s="735"/>
      <c r="G876" s="735"/>
      <c r="H876" s="735"/>
      <c r="I876" s="735"/>
      <c r="J876" s="735">
        <v>0</v>
      </c>
      <c r="K876" s="735">
        <f t="shared" si="642"/>
        <v>2880.36</v>
      </c>
      <c r="L876" s="735">
        <v>1000</v>
      </c>
      <c r="M876" s="735"/>
      <c r="N876" s="735">
        <f t="shared" si="638"/>
        <v>1000</v>
      </c>
      <c r="O876" s="735">
        <f t="shared" si="639"/>
        <v>35564.32</v>
      </c>
      <c r="P876" s="735">
        <f t="shared" si="640"/>
        <v>35564.32</v>
      </c>
      <c r="Q876" s="711">
        <v>1</v>
      </c>
      <c r="R876" s="735">
        <v>2880.36</v>
      </c>
      <c r="S876" s="735"/>
      <c r="T876" s="735"/>
      <c r="U876" s="735"/>
      <c r="V876" s="735"/>
      <c r="W876" s="735"/>
      <c r="X876" s="735"/>
      <c r="Y876" s="735">
        <v>0</v>
      </c>
      <c r="Z876" s="735">
        <f t="shared" si="632"/>
        <v>2880.36</v>
      </c>
      <c r="AA876" s="735">
        <v>1000</v>
      </c>
      <c r="AB876" s="735"/>
      <c r="AC876" s="735">
        <f t="shared" si="641"/>
        <v>1000</v>
      </c>
      <c r="AD876" s="735">
        <f t="shared" si="634"/>
        <v>35564.32</v>
      </c>
      <c r="AE876" s="735">
        <f t="shared" si="635"/>
        <v>35564.32</v>
      </c>
      <c r="AF876" s="735">
        <f t="shared" si="627"/>
        <v>0</v>
      </c>
      <c r="AG876" s="824">
        <f t="shared" si="637"/>
        <v>0</v>
      </c>
      <c r="AH876" s="711">
        <v>1</v>
      </c>
      <c r="AI876" s="735">
        <f t="shared" si="636"/>
        <v>426772.83999999997</v>
      </c>
    </row>
    <row r="877" spans="1:35" x14ac:dyDescent="0.2">
      <c r="A877" s="704"/>
      <c r="B877" s="711">
        <v>1</v>
      </c>
      <c r="C877" s="735">
        <v>2880.36</v>
      </c>
      <c r="D877" s="735"/>
      <c r="E877" s="735"/>
      <c r="F877" s="735"/>
      <c r="G877" s="735"/>
      <c r="H877" s="735"/>
      <c r="I877" s="735"/>
      <c r="J877" s="735">
        <v>0</v>
      </c>
      <c r="K877" s="735">
        <f t="shared" si="642"/>
        <v>2880.36</v>
      </c>
      <c r="L877" s="735">
        <v>1000</v>
      </c>
      <c r="M877" s="735"/>
      <c r="N877" s="735">
        <f t="shared" si="638"/>
        <v>1000</v>
      </c>
      <c r="O877" s="735">
        <f t="shared" si="639"/>
        <v>35564.32</v>
      </c>
      <c r="P877" s="735">
        <f t="shared" si="640"/>
        <v>35564.32</v>
      </c>
      <c r="Q877" s="711">
        <v>1</v>
      </c>
      <c r="R877" s="735">
        <v>2880.36</v>
      </c>
      <c r="S877" s="735"/>
      <c r="T877" s="735"/>
      <c r="U877" s="735"/>
      <c r="V877" s="735"/>
      <c r="W877" s="735"/>
      <c r="X877" s="735"/>
      <c r="Y877" s="735">
        <v>0</v>
      </c>
      <c r="Z877" s="735">
        <f t="shared" si="632"/>
        <v>2880.36</v>
      </c>
      <c r="AA877" s="735">
        <v>1000</v>
      </c>
      <c r="AB877" s="735"/>
      <c r="AC877" s="735">
        <f t="shared" si="641"/>
        <v>1000</v>
      </c>
      <c r="AD877" s="735">
        <f t="shared" si="634"/>
        <v>35564.32</v>
      </c>
      <c r="AE877" s="735">
        <f t="shared" si="635"/>
        <v>35564.32</v>
      </c>
      <c r="AF877" s="735">
        <f t="shared" si="627"/>
        <v>0</v>
      </c>
      <c r="AG877" s="824">
        <f t="shared" si="637"/>
        <v>0</v>
      </c>
      <c r="AH877" s="711">
        <v>1</v>
      </c>
      <c r="AI877" s="735">
        <f t="shared" si="636"/>
        <v>426772.83999999997</v>
      </c>
    </row>
    <row r="878" spans="1:35" x14ac:dyDescent="0.2">
      <c r="A878" s="704"/>
      <c r="B878" s="711">
        <v>1</v>
      </c>
      <c r="C878" s="735">
        <v>2880.36</v>
      </c>
      <c r="D878" s="735"/>
      <c r="E878" s="735"/>
      <c r="F878" s="735"/>
      <c r="G878" s="735"/>
      <c r="H878" s="735"/>
      <c r="I878" s="735"/>
      <c r="J878" s="735">
        <v>0</v>
      </c>
      <c r="K878" s="735">
        <f t="shared" si="642"/>
        <v>2880.36</v>
      </c>
      <c r="L878" s="735">
        <v>1000</v>
      </c>
      <c r="M878" s="735"/>
      <c r="N878" s="735">
        <f t="shared" si="638"/>
        <v>1000</v>
      </c>
      <c r="O878" s="735">
        <f t="shared" si="639"/>
        <v>35564.32</v>
      </c>
      <c r="P878" s="735">
        <f t="shared" si="640"/>
        <v>35564.32</v>
      </c>
      <c r="Q878" s="711">
        <v>1</v>
      </c>
      <c r="R878" s="735">
        <v>2880.36</v>
      </c>
      <c r="S878" s="735"/>
      <c r="T878" s="735"/>
      <c r="U878" s="735"/>
      <c r="V878" s="735"/>
      <c r="W878" s="735"/>
      <c r="X878" s="735"/>
      <c r="Y878" s="735">
        <v>0</v>
      </c>
      <c r="Z878" s="735">
        <f t="shared" si="632"/>
        <v>2880.36</v>
      </c>
      <c r="AA878" s="735">
        <v>1000</v>
      </c>
      <c r="AB878" s="735"/>
      <c r="AC878" s="735">
        <f t="shared" si="641"/>
        <v>1000</v>
      </c>
      <c r="AD878" s="735">
        <f t="shared" si="634"/>
        <v>35564.32</v>
      </c>
      <c r="AE878" s="735">
        <f t="shared" si="635"/>
        <v>35564.32</v>
      </c>
      <c r="AF878" s="735">
        <f t="shared" si="627"/>
        <v>0</v>
      </c>
      <c r="AG878" s="824">
        <f t="shared" si="637"/>
        <v>0</v>
      </c>
      <c r="AH878" s="711">
        <v>1</v>
      </c>
      <c r="AI878" s="735">
        <f t="shared" si="636"/>
        <v>426772.83999999997</v>
      </c>
    </row>
    <row r="879" spans="1:35" x14ac:dyDescent="0.2">
      <c r="A879" s="704"/>
      <c r="B879" s="711">
        <v>1</v>
      </c>
      <c r="C879" s="735">
        <v>2880.36</v>
      </c>
      <c r="D879" s="735"/>
      <c r="E879" s="735"/>
      <c r="F879" s="735"/>
      <c r="G879" s="735"/>
      <c r="H879" s="735"/>
      <c r="I879" s="735"/>
      <c r="J879" s="735">
        <v>70</v>
      </c>
      <c r="K879" s="735">
        <f t="shared" si="642"/>
        <v>2950.36</v>
      </c>
      <c r="L879" s="735">
        <v>1000</v>
      </c>
      <c r="M879" s="735"/>
      <c r="N879" s="735">
        <f t="shared" si="638"/>
        <v>1000</v>
      </c>
      <c r="O879" s="735">
        <f t="shared" si="639"/>
        <v>36404.32</v>
      </c>
      <c r="P879" s="735">
        <f t="shared" si="640"/>
        <v>36404.32</v>
      </c>
      <c r="Q879" s="711">
        <v>1</v>
      </c>
      <c r="R879" s="735">
        <v>2880.36</v>
      </c>
      <c r="S879" s="735"/>
      <c r="T879" s="735"/>
      <c r="U879" s="735"/>
      <c r="V879" s="735"/>
      <c r="W879" s="735"/>
      <c r="X879" s="735"/>
      <c r="Y879" s="735">
        <v>70</v>
      </c>
      <c r="Z879" s="735">
        <f t="shared" si="632"/>
        <v>2950.36</v>
      </c>
      <c r="AA879" s="735">
        <v>1000</v>
      </c>
      <c r="AB879" s="735"/>
      <c r="AC879" s="735">
        <f t="shared" si="641"/>
        <v>1000</v>
      </c>
      <c r="AD879" s="735">
        <f t="shared" si="634"/>
        <v>36404.32</v>
      </c>
      <c r="AE879" s="735">
        <f t="shared" si="635"/>
        <v>36404.32</v>
      </c>
      <c r="AF879" s="735">
        <f t="shared" si="627"/>
        <v>0</v>
      </c>
      <c r="AG879" s="824">
        <f t="shared" si="637"/>
        <v>0</v>
      </c>
      <c r="AH879" s="711">
        <v>1</v>
      </c>
      <c r="AI879" s="735">
        <f t="shared" si="636"/>
        <v>436852.83999999997</v>
      </c>
    </row>
    <row r="880" spans="1:35" x14ac:dyDescent="0.2">
      <c r="A880" s="704"/>
      <c r="B880" s="711">
        <v>1</v>
      </c>
      <c r="C880" s="735">
        <v>2880.36</v>
      </c>
      <c r="D880" s="735"/>
      <c r="E880" s="735"/>
      <c r="F880" s="735"/>
      <c r="G880" s="735"/>
      <c r="H880" s="735"/>
      <c r="I880" s="735"/>
      <c r="J880" s="735">
        <v>70</v>
      </c>
      <c r="K880" s="735">
        <f t="shared" si="642"/>
        <v>2950.36</v>
      </c>
      <c r="L880" s="735">
        <v>1000</v>
      </c>
      <c r="M880" s="735"/>
      <c r="N880" s="735">
        <f t="shared" si="638"/>
        <v>1000</v>
      </c>
      <c r="O880" s="735">
        <f t="shared" si="639"/>
        <v>36404.32</v>
      </c>
      <c r="P880" s="735">
        <f t="shared" si="640"/>
        <v>36404.32</v>
      </c>
      <c r="Q880" s="711">
        <v>1</v>
      </c>
      <c r="R880" s="735">
        <v>2880.36</v>
      </c>
      <c r="S880" s="735"/>
      <c r="T880" s="735"/>
      <c r="U880" s="735"/>
      <c r="V880" s="735"/>
      <c r="W880" s="735"/>
      <c r="X880" s="735"/>
      <c r="Y880" s="735">
        <v>70</v>
      </c>
      <c r="Z880" s="735">
        <f t="shared" si="632"/>
        <v>2950.36</v>
      </c>
      <c r="AA880" s="735">
        <v>1000</v>
      </c>
      <c r="AB880" s="735"/>
      <c r="AC880" s="735">
        <f t="shared" si="641"/>
        <v>1000</v>
      </c>
      <c r="AD880" s="735">
        <f t="shared" si="634"/>
        <v>36404.32</v>
      </c>
      <c r="AE880" s="735">
        <f t="shared" si="635"/>
        <v>36404.32</v>
      </c>
      <c r="AF880" s="735">
        <f t="shared" si="627"/>
        <v>0</v>
      </c>
      <c r="AG880" s="824">
        <f t="shared" si="637"/>
        <v>0</v>
      </c>
      <c r="AH880" s="711">
        <v>1</v>
      </c>
      <c r="AI880" s="735">
        <f t="shared" si="636"/>
        <v>436852.83999999997</v>
      </c>
    </row>
    <row r="881" spans="1:35" x14ac:dyDescent="0.2">
      <c r="A881" s="704"/>
      <c r="B881" s="711">
        <v>1</v>
      </c>
      <c r="C881" s="735">
        <v>2880.36</v>
      </c>
      <c r="D881" s="735"/>
      <c r="E881" s="735"/>
      <c r="F881" s="735"/>
      <c r="G881" s="735"/>
      <c r="H881" s="735"/>
      <c r="I881" s="735"/>
      <c r="J881" s="735">
        <v>70</v>
      </c>
      <c r="K881" s="735">
        <f t="shared" si="642"/>
        <v>2950.36</v>
      </c>
      <c r="L881" s="735">
        <v>1000</v>
      </c>
      <c r="M881" s="735"/>
      <c r="N881" s="735">
        <f t="shared" si="638"/>
        <v>1000</v>
      </c>
      <c r="O881" s="735">
        <f t="shared" si="639"/>
        <v>36404.32</v>
      </c>
      <c r="P881" s="735">
        <f t="shared" si="640"/>
        <v>36404.32</v>
      </c>
      <c r="Q881" s="711">
        <v>1</v>
      </c>
      <c r="R881" s="735">
        <v>2880.36</v>
      </c>
      <c r="S881" s="735"/>
      <c r="T881" s="735"/>
      <c r="U881" s="735"/>
      <c r="V881" s="735"/>
      <c r="W881" s="735"/>
      <c r="X881" s="735"/>
      <c r="Y881" s="735">
        <v>70</v>
      </c>
      <c r="Z881" s="735">
        <f t="shared" si="632"/>
        <v>2950.36</v>
      </c>
      <c r="AA881" s="735">
        <v>1000</v>
      </c>
      <c r="AB881" s="735"/>
      <c r="AC881" s="735">
        <f t="shared" si="641"/>
        <v>1000</v>
      </c>
      <c r="AD881" s="735">
        <f t="shared" si="634"/>
        <v>36404.32</v>
      </c>
      <c r="AE881" s="735">
        <f t="shared" si="635"/>
        <v>36404.32</v>
      </c>
      <c r="AF881" s="735">
        <f t="shared" si="627"/>
        <v>0</v>
      </c>
      <c r="AG881" s="824">
        <f t="shared" si="637"/>
        <v>0</v>
      </c>
      <c r="AH881" s="711">
        <v>1</v>
      </c>
      <c r="AI881" s="735">
        <f t="shared" si="636"/>
        <v>436852.83999999997</v>
      </c>
    </row>
    <row r="882" spans="1:35" x14ac:dyDescent="0.2">
      <c r="A882" s="704"/>
      <c r="B882" s="711">
        <v>1</v>
      </c>
      <c r="C882" s="735">
        <v>2880.36</v>
      </c>
      <c r="D882" s="735"/>
      <c r="E882" s="735"/>
      <c r="F882" s="735"/>
      <c r="G882" s="735"/>
      <c r="H882" s="735"/>
      <c r="I882" s="735"/>
      <c r="J882" s="735">
        <v>0</v>
      </c>
      <c r="K882" s="735">
        <f t="shared" si="642"/>
        <v>2880.36</v>
      </c>
      <c r="L882" s="735">
        <v>1000</v>
      </c>
      <c r="M882" s="735"/>
      <c r="N882" s="735">
        <f t="shared" si="638"/>
        <v>1000</v>
      </c>
      <c r="O882" s="735">
        <f t="shared" si="639"/>
        <v>35564.32</v>
      </c>
      <c r="P882" s="735">
        <f t="shared" si="640"/>
        <v>35564.32</v>
      </c>
      <c r="Q882" s="711">
        <v>1</v>
      </c>
      <c r="R882" s="735">
        <v>2880.36</v>
      </c>
      <c r="S882" s="735"/>
      <c r="T882" s="735"/>
      <c r="U882" s="735"/>
      <c r="V882" s="735"/>
      <c r="W882" s="735"/>
      <c r="X882" s="735"/>
      <c r="Y882" s="735">
        <v>0</v>
      </c>
      <c r="Z882" s="735">
        <f t="shared" si="632"/>
        <v>2880.36</v>
      </c>
      <c r="AA882" s="735">
        <v>1000</v>
      </c>
      <c r="AB882" s="735"/>
      <c r="AC882" s="735">
        <f t="shared" si="641"/>
        <v>1000</v>
      </c>
      <c r="AD882" s="735">
        <f t="shared" si="634"/>
        <v>35564.32</v>
      </c>
      <c r="AE882" s="735">
        <f t="shared" si="635"/>
        <v>35564.32</v>
      </c>
      <c r="AF882" s="735">
        <f t="shared" si="627"/>
        <v>0</v>
      </c>
      <c r="AG882" s="824">
        <f t="shared" si="637"/>
        <v>0</v>
      </c>
      <c r="AH882" s="711">
        <v>1</v>
      </c>
      <c r="AI882" s="735">
        <f t="shared" si="636"/>
        <v>426772.83999999997</v>
      </c>
    </row>
    <row r="883" spans="1:35" x14ac:dyDescent="0.2">
      <c r="A883" s="704"/>
      <c r="B883" s="711">
        <v>1</v>
      </c>
      <c r="C883" s="735">
        <v>2880.36</v>
      </c>
      <c r="D883" s="735"/>
      <c r="E883" s="735"/>
      <c r="F883" s="735"/>
      <c r="G883" s="735"/>
      <c r="H883" s="735"/>
      <c r="I883" s="735"/>
      <c r="J883" s="735">
        <v>0</v>
      </c>
      <c r="K883" s="735">
        <f t="shared" si="642"/>
        <v>2880.36</v>
      </c>
      <c r="L883" s="735">
        <v>1000</v>
      </c>
      <c r="M883" s="735"/>
      <c r="N883" s="735">
        <f t="shared" si="638"/>
        <v>1000</v>
      </c>
      <c r="O883" s="735">
        <f t="shared" si="639"/>
        <v>35564.32</v>
      </c>
      <c r="P883" s="735">
        <f t="shared" si="640"/>
        <v>35564.32</v>
      </c>
      <c r="Q883" s="711">
        <v>1</v>
      </c>
      <c r="R883" s="735">
        <v>2880.36</v>
      </c>
      <c r="S883" s="735"/>
      <c r="T883" s="735"/>
      <c r="U883" s="735"/>
      <c r="V883" s="735"/>
      <c r="W883" s="735"/>
      <c r="X883" s="735"/>
      <c r="Y883" s="735">
        <v>0</v>
      </c>
      <c r="Z883" s="735">
        <f t="shared" si="632"/>
        <v>2880.36</v>
      </c>
      <c r="AA883" s="735">
        <v>1000</v>
      </c>
      <c r="AB883" s="735"/>
      <c r="AC883" s="735">
        <f t="shared" si="641"/>
        <v>1000</v>
      </c>
      <c r="AD883" s="735">
        <f t="shared" si="634"/>
        <v>35564.32</v>
      </c>
      <c r="AE883" s="735">
        <f t="shared" si="635"/>
        <v>35564.32</v>
      </c>
      <c r="AF883" s="735">
        <f t="shared" si="627"/>
        <v>0</v>
      </c>
      <c r="AG883" s="824">
        <f t="shared" si="637"/>
        <v>0</v>
      </c>
      <c r="AH883" s="711">
        <v>1</v>
      </c>
      <c r="AI883" s="735">
        <f t="shared" si="636"/>
        <v>426772.83999999997</v>
      </c>
    </row>
    <row r="884" spans="1:35" x14ac:dyDescent="0.2">
      <c r="A884" s="704"/>
      <c r="B884" s="711">
        <v>1</v>
      </c>
      <c r="C884" s="735">
        <v>2880.36</v>
      </c>
      <c r="D884" s="735"/>
      <c r="E884" s="735"/>
      <c r="F884" s="735"/>
      <c r="G884" s="735"/>
      <c r="H884" s="735"/>
      <c r="I884" s="735"/>
      <c r="J884" s="735">
        <v>790</v>
      </c>
      <c r="K884" s="735">
        <f t="shared" si="642"/>
        <v>3670.36</v>
      </c>
      <c r="L884" s="735">
        <v>1000</v>
      </c>
      <c r="M884" s="735"/>
      <c r="N884" s="735">
        <f t="shared" si="638"/>
        <v>1000</v>
      </c>
      <c r="O884" s="735">
        <f t="shared" si="639"/>
        <v>45044.32</v>
      </c>
      <c r="P884" s="735">
        <f t="shared" si="640"/>
        <v>45044.32</v>
      </c>
      <c r="Q884" s="711">
        <v>1</v>
      </c>
      <c r="R884" s="735">
        <v>2880.36</v>
      </c>
      <c r="S884" s="735"/>
      <c r="T884" s="735"/>
      <c r="U884" s="735"/>
      <c r="V884" s="735"/>
      <c r="W884" s="735"/>
      <c r="X884" s="735"/>
      <c r="Y884" s="735">
        <v>790</v>
      </c>
      <c r="Z884" s="735">
        <f t="shared" si="632"/>
        <v>3670.36</v>
      </c>
      <c r="AA884" s="735">
        <v>1000</v>
      </c>
      <c r="AB884" s="735"/>
      <c r="AC884" s="735">
        <f t="shared" si="641"/>
        <v>1000</v>
      </c>
      <c r="AD884" s="735">
        <f t="shared" si="634"/>
        <v>45044.32</v>
      </c>
      <c r="AE884" s="735">
        <f t="shared" si="635"/>
        <v>45044.32</v>
      </c>
      <c r="AF884" s="735">
        <f t="shared" si="627"/>
        <v>0</v>
      </c>
      <c r="AG884" s="824">
        <f t="shared" si="637"/>
        <v>0</v>
      </c>
      <c r="AH884" s="711">
        <v>1</v>
      </c>
      <c r="AI884" s="735">
        <f t="shared" si="636"/>
        <v>540532.84</v>
      </c>
    </row>
    <row r="885" spans="1:35" x14ac:dyDescent="0.2">
      <c r="A885" s="873" t="s">
        <v>791</v>
      </c>
      <c r="B885" s="722">
        <f>SUM(B886:B915)</f>
        <v>30</v>
      </c>
      <c r="C885" s="784">
        <f>SUM(C886:C915)</f>
        <v>105613.20000000004</v>
      </c>
      <c r="D885" s="784"/>
      <c r="E885" s="784">
        <f t="shared" ref="E885:I885" si="643">SUM(E886:E915)</f>
        <v>0</v>
      </c>
      <c r="F885" s="784">
        <f t="shared" si="643"/>
        <v>0</v>
      </c>
      <c r="G885" s="784">
        <f t="shared" si="643"/>
        <v>0</v>
      </c>
      <c r="H885" s="784">
        <f t="shared" si="643"/>
        <v>0</v>
      </c>
      <c r="I885" s="784">
        <f t="shared" si="643"/>
        <v>0</v>
      </c>
      <c r="J885" s="784">
        <f>SUM(J886:J915)</f>
        <v>24780</v>
      </c>
      <c r="K885" s="784">
        <f t="shared" ref="K885:L885" si="644">SUM(K886:K915)</f>
        <v>130393.20000000004</v>
      </c>
      <c r="L885" s="784">
        <f t="shared" si="644"/>
        <v>30000</v>
      </c>
      <c r="M885" s="784"/>
      <c r="N885" s="784">
        <f>SUM(L885:M885)</f>
        <v>30000</v>
      </c>
      <c r="O885" s="784">
        <f>SUM(O886:O915)</f>
        <v>1594718.4000000006</v>
      </c>
      <c r="P885" s="784">
        <f>SUM(P886:P915)</f>
        <v>1594718.4000000006</v>
      </c>
      <c r="Q885" s="722">
        <f>SUM(Q886:Q915)</f>
        <v>30</v>
      </c>
      <c r="R885" s="784">
        <f>SUM(R886:R915)</f>
        <v>105613.20000000004</v>
      </c>
      <c r="S885" s="784"/>
      <c r="T885" s="784">
        <f t="shared" ref="T885:X885" si="645">SUM(T886:T915)</f>
        <v>0</v>
      </c>
      <c r="U885" s="784">
        <f t="shared" si="645"/>
        <v>0</v>
      </c>
      <c r="V885" s="784">
        <f t="shared" si="645"/>
        <v>0</v>
      </c>
      <c r="W885" s="784">
        <f t="shared" si="645"/>
        <v>0</v>
      </c>
      <c r="X885" s="784">
        <f t="shared" si="645"/>
        <v>0</v>
      </c>
      <c r="Y885" s="784">
        <f>SUM(Y886:Y915)</f>
        <v>24780</v>
      </c>
      <c r="Z885" s="784">
        <f t="shared" ref="Z885:AA885" si="646">SUM(Z886:Z915)</f>
        <v>130393.20000000004</v>
      </c>
      <c r="AA885" s="784">
        <f t="shared" si="646"/>
        <v>30000</v>
      </c>
      <c r="AB885" s="784"/>
      <c r="AC885" s="784">
        <f>SUM(AA885:AB885)</f>
        <v>30000</v>
      </c>
      <c r="AD885" s="784">
        <f>SUM(AD886:AD915)</f>
        <v>1594718.4000000006</v>
      </c>
      <c r="AE885" s="784">
        <f>SUM(AE886:AE915)</f>
        <v>1594718.4000000006</v>
      </c>
      <c r="AF885" s="784">
        <f t="shared" ref="AF885:AG885" si="647">SUM(AF886:AF915)</f>
        <v>0</v>
      </c>
      <c r="AG885" s="786">
        <f t="shared" si="647"/>
        <v>0</v>
      </c>
      <c r="AH885" s="722">
        <f>SUM(AH886:AH915)</f>
        <v>30</v>
      </c>
      <c r="AI885" s="784">
        <f>SUM(AI886:AI915)</f>
        <v>19136650.799999993</v>
      </c>
    </row>
    <row r="886" spans="1:35" x14ac:dyDescent="0.2">
      <c r="A886" s="704"/>
      <c r="B886" s="711">
        <v>1</v>
      </c>
      <c r="C886" s="735">
        <v>3520.4399999999996</v>
      </c>
      <c r="D886" s="735"/>
      <c r="E886" s="735"/>
      <c r="F886" s="735"/>
      <c r="G886" s="735"/>
      <c r="H886" s="735"/>
      <c r="I886" s="735"/>
      <c r="J886" s="735">
        <v>1100</v>
      </c>
      <c r="K886" s="735">
        <f t="shared" si="642"/>
        <v>4620.4399999999996</v>
      </c>
      <c r="L886" s="735">
        <v>1000</v>
      </c>
      <c r="M886" s="735"/>
      <c r="N886" s="735">
        <f t="shared" si="638"/>
        <v>1000</v>
      </c>
      <c r="O886" s="735">
        <f t="shared" si="639"/>
        <v>56445.279999999999</v>
      </c>
      <c r="P886" s="735">
        <f t="shared" si="640"/>
        <v>56445.279999999999</v>
      </c>
      <c r="Q886" s="711">
        <v>1</v>
      </c>
      <c r="R886" s="735">
        <v>3520.4399999999996</v>
      </c>
      <c r="S886" s="735"/>
      <c r="T886" s="735"/>
      <c r="U886" s="735"/>
      <c r="V886" s="735"/>
      <c r="W886" s="735"/>
      <c r="X886" s="735"/>
      <c r="Y886" s="735">
        <v>1100</v>
      </c>
      <c r="Z886" s="735">
        <f t="shared" ref="Z886:Z915" si="648">SUM(R886:Y886)</f>
        <v>4620.4399999999996</v>
      </c>
      <c r="AA886" s="735">
        <v>1000</v>
      </c>
      <c r="AB886" s="735"/>
      <c r="AC886" s="735">
        <f t="shared" ref="AC886:AC915" si="649">SUM(AA886:AB886)</f>
        <v>1000</v>
      </c>
      <c r="AD886" s="735">
        <f t="shared" ref="AD886:AD915" si="650">(Z886*12)+AC886</f>
        <v>56445.279999999999</v>
      </c>
      <c r="AE886" s="735">
        <f t="shared" ref="AE886:AE915" si="651">Q886*AD886</f>
        <v>56445.279999999999</v>
      </c>
      <c r="AF886" s="735">
        <f t="shared" si="627"/>
        <v>0</v>
      </c>
      <c r="AG886" s="824">
        <f t="shared" si="637"/>
        <v>0</v>
      </c>
      <c r="AH886" s="711">
        <v>1</v>
      </c>
      <c r="AI886" s="735">
        <f t="shared" ref="AI886:AI915" si="652">(AE886*12)+AH886</f>
        <v>677344.36</v>
      </c>
    </row>
    <row r="887" spans="1:35" x14ac:dyDescent="0.2">
      <c r="A887" s="704"/>
      <c r="B887" s="711">
        <v>1</v>
      </c>
      <c r="C887" s="735">
        <v>3520.4399999999996</v>
      </c>
      <c r="D887" s="735"/>
      <c r="E887" s="735"/>
      <c r="F887" s="735"/>
      <c r="G887" s="735"/>
      <c r="H887" s="735"/>
      <c r="I887" s="735"/>
      <c r="J887" s="735">
        <v>960</v>
      </c>
      <c r="K887" s="735">
        <f t="shared" si="642"/>
        <v>4480.4399999999996</v>
      </c>
      <c r="L887" s="735">
        <v>1000</v>
      </c>
      <c r="M887" s="735"/>
      <c r="N887" s="735">
        <f t="shared" si="638"/>
        <v>1000</v>
      </c>
      <c r="O887" s="735">
        <f t="shared" si="639"/>
        <v>54765.279999999999</v>
      </c>
      <c r="P887" s="735">
        <f t="shared" si="640"/>
        <v>54765.279999999999</v>
      </c>
      <c r="Q887" s="711">
        <v>1</v>
      </c>
      <c r="R887" s="735">
        <v>3520.4399999999996</v>
      </c>
      <c r="S887" s="735"/>
      <c r="T887" s="735"/>
      <c r="U887" s="735"/>
      <c r="V887" s="735"/>
      <c r="W887" s="735"/>
      <c r="X887" s="735"/>
      <c r="Y887" s="735">
        <v>960</v>
      </c>
      <c r="Z887" s="735">
        <f t="shared" si="648"/>
        <v>4480.4399999999996</v>
      </c>
      <c r="AA887" s="735">
        <v>1000</v>
      </c>
      <c r="AB887" s="735"/>
      <c r="AC887" s="735">
        <f t="shared" si="649"/>
        <v>1000</v>
      </c>
      <c r="AD887" s="735">
        <f t="shared" si="650"/>
        <v>54765.279999999999</v>
      </c>
      <c r="AE887" s="735">
        <f t="shared" si="651"/>
        <v>54765.279999999999</v>
      </c>
      <c r="AF887" s="735">
        <f t="shared" si="627"/>
        <v>0</v>
      </c>
      <c r="AG887" s="824">
        <f t="shared" si="637"/>
        <v>0</v>
      </c>
      <c r="AH887" s="711">
        <v>1</v>
      </c>
      <c r="AI887" s="735">
        <f t="shared" si="652"/>
        <v>657184.36</v>
      </c>
    </row>
    <row r="888" spans="1:35" x14ac:dyDescent="0.2">
      <c r="A888" s="704"/>
      <c r="B888" s="711">
        <v>1</v>
      </c>
      <c r="C888" s="735">
        <v>3520.4399999999996</v>
      </c>
      <c r="D888" s="735"/>
      <c r="E888" s="735"/>
      <c r="F888" s="735"/>
      <c r="G888" s="735"/>
      <c r="H888" s="735"/>
      <c r="I888" s="735"/>
      <c r="J888" s="735">
        <v>1150</v>
      </c>
      <c r="K888" s="735">
        <f t="shared" si="642"/>
        <v>4670.4399999999996</v>
      </c>
      <c r="L888" s="735">
        <v>1000</v>
      </c>
      <c r="M888" s="735"/>
      <c r="N888" s="735">
        <f t="shared" si="638"/>
        <v>1000</v>
      </c>
      <c r="O888" s="735">
        <f t="shared" si="639"/>
        <v>57045.279999999999</v>
      </c>
      <c r="P888" s="735">
        <f t="shared" si="640"/>
        <v>57045.279999999999</v>
      </c>
      <c r="Q888" s="711">
        <v>1</v>
      </c>
      <c r="R888" s="735">
        <v>3520.4399999999996</v>
      </c>
      <c r="S888" s="735"/>
      <c r="T888" s="735"/>
      <c r="U888" s="735"/>
      <c r="V888" s="735"/>
      <c r="W888" s="735"/>
      <c r="X888" s="735"/>
      <c r="Y888" s="735">
        <v>1150</v>
      </c>
      <c r="Z888" s="735">
        <f t="shared" si="648"/>
        <v>4670.4399999999996</v>
      </c>
      <c r="AA888" s="735">
        <v>1000</v>
      </c>
      <c r="AB888" s="735"/>
      <c r="AC888" s="735">
        <f t="shared" si="649"/>
        <v>1000</v>
      </c>
      <c r="AD888" s="735">
        <f t="shared" si="650"/>
        <v>57045.279999999999</v>
      </c>
      <c r="AE888" s="735">
        <f t="shared" si="651"/>
        <v>57045.279999999999</v>
      </c>
      <c r="AF888" s="735">
        <f t="shared" si="627"/>
        <v>0</v>
      </c>
      <c r="AG888" s="824">
        <f t="shared" si="637"/>
        <v>0</v>
      </c>
      <c r="AH888" s="711">
        <v>1</v>
      </c>
      <c r="AI888" s="735">
        <f t="shared" si="652"/>
        <v>684544.36</v>
      </c>
    </row>
    <row r="889" spans="1:35" x14ac:dyDescent="0.2">
      <c r="A889" s="704"/>
      <c r="B889" s="711">
        <v>1</v>
      </c>
      <c r="C889" s="735">
        <v>3520.4399999999996</v>
      </c>
      <c r="D889" s="735"/>
      <c r="E889" s="735"/>
      <c r="F889" s="735"/>
      <c r="G889" s="735"/>
      <c r="H889" s="735"/>
      <c r="I889" s="735"/>
      <c r="J889" s="735">
        <v>1100</v>
      </c>
      <c r="K889" s="735">
        <f t="shared" si="642"/>
        <v>4620.4399999999996</v>
      </c>
      <c r="L889" s="735">
        <v>1000</v>
      </c>
      <c r="M889" s="735"/>
      <c r="N889" s="735">
        <f t="shared" si="638"/>
        <v>1000</v>
      </c>
      <c r="O889" s="735">
        <f t="shared" si="639"/>
        <v>56445.279999999999</v>
      </c>
      <c r="P889" s="735">
        <f t="shared" si="640"/>
        <v>56445.279999999999</v>
      </c>
      <c r="Q889" s="711">
        <v>1</v>
      </c>
      <c r="R889" s="735">
        <v>3520.4399999999996</v>
      </c>
      <c r="S889" s="735"/>
      <c r="T889" s="735"/>
      <c r="U889" s="735"/>
      <c r="V889" s="735"/>
      <c r="W889" s="735"/>
      <c r="X889" s="735"/>
      <c r="Y889" s="735">
        <v>1100</v>
      </c>
      <c r="Z889" s="735">
        <f t="shared" si="648"/>
        <v>4620.4399999999996</v>
      </c>
      <c r="AA889" s="735">
        <v>1000</v>
      </c>
      <c r="AB889" s="735"/>
      <c r="AC889" s="735">
        <f t="shared" si="649"/>
        <v>1000</v>
      </c>
      <c r="AD889" s="735">
        <f t="shared" si="650"/>
        <v>56445.279999999999</v>
      </c>
      <c r="AE889" s="735">
        <f t="shared" si="651"/>
        <v>56445.279999999999</v>
      </c>
      <c r="AF889" s="735">
        <f t="shared" si="627"/>
        <v>0</v>
      </c>
      <c r="AG889" s="824">
        <f t="shared" si="637"/>
        <v>0</v>
      </c>
      <c r="AH889" s="711">
        <v>1</v>
      </c>
      <c r="AI889" s="735">
        <f t="shared" si="652"/>
        <v>677344.36</v>
      </c>
    </row>
    <row r="890" spans="1:35" x14ac:dyDescent="0.2">
      <c r="A890" s="704"/>
      <c r="B890" s="711">
        <v>1</v>
      </c>
      <c r="C890" s="735">
        <v>3520.4399999999996</v>
      </c>
      <c r="D890" s="735"/>
      <c r="E890" s="735"/>
      <c r="F890" s="735"/>
      <c r="G890" s="735"/>
      <c r="H890" s="735"/>
      <c r="I890" s="735"/>
      <c r="J890" s="735">
        <v>240</v>
      </c>
      <c r="K890" s="735">
        <f t="shared" si="642"/>
        <v>3760.4399999999996</v>
      </c>
      <c r="L890" s="735">
        <v>1000</v>
      </c>
      <c r="M890" s="735"/>
      <c r="N890" s="735">
        <f t="shared" si="638"/>
        <v>1000</v>
      </c>
      <c r="O890" s="735">
        <f t="shared" si="639"/>
        <v>46125.279999999999</v>
      </c>
      <c r="P890" s="735">
        <f t="shared" si="640"/>
        <v>46125.279999999999</v>
      </c>
      <c r="Q890" s="711">
        <v>1</v>
      </c>
      <c r="R890" s="735">
        <v>3520.4399999999996</v>
      </c>
      <c r="S890" s="735"/>
      <c r="T890" s="735"/>
      <c r="U890" s="735"/>
      <c r="V890" s="735"/>
      <c r="W890" s="735"/>
      <c r="X890" s="735"/>
      <c r="Y890" s="735">
        <v>240</v>
      </c>
      <c r="Z890" s="735">
        <f t="shared" si="648"/>
        <v>3760.4399999999996</v>
      </c>
      <c r="AA890" s="735">
        <v>1000</v>
      </c>
      <c r="AB890" s="735"/>
      <c r="AC890" s="735">
        <f t="shared" si="649"/>
        <v>1000</v>
      </c>
      <c r="AD890" s="735">
        <f t="shared" si="650"/>
        <v>46125.279999999999</v>
      </c>
      <c r="AE890" s="735">
        <f t="shared" si="651"/>
        <v>46125.279999999999</v>
      </c>
      <c r="AF890" s="735">
        <f t="shared" si="627"/>
        <v>0</v>
      </c>
      <c r="AG890" s="824">
        <f t="shared" si="637"/>
        <v>0</v>
      </c>
      <c r="AH890" s="711">
        <v>1</v>
      </c>
      <c r="AI890" s="735">
        <f t="shared" si="652"/>
        <v>553504.36</v>
      </c>
    </row>
    <row r="891" spans="1:35" x14ac:dyDescent="0.2">
      <c r="A891" s="704"/>
      <c r="B891" s="711">
        <v>1</v>
      </c>
      <c r="C891" s="735">
        <v>3520.4399999999996</v>
      </c>
      <c r="D891" s="735"/>
      <c r="E891" s="735"/>
      <c r="F891" s="735"/>
      <c r="G891" s="735"/>
      <c r="H891" s="735"/>
      <c r="I891" s="735"/>
      <c r="J891" s="735">
        <v>360</v>
      </c>
      <c r="K891" s="735">
        <f t="shared" si="642"/>
        <v>3880.4399999999996</v>
      </c>
      <c r="L891" s="735">
        <v>1000</v>
      </c>
      <c r="M891" s="735"/>
      <c r="N891" s="735">
        <f t="shared" si="638"/>
        <v>1000</v>
      </c>
      <c r="O891" s="735">
        <f t="shared" si="639"/>
        <v>47565.279999999999</v>
      </c>
      <c r="P891" s="735">
        <f t="shared" si="640"/>
        <v>47565.279999999999</v>
      </c>
      <c r="Q891" s="711">
        <v>1</v>
      </c>
      <c r="R891" s="735">
        <v>3520.4399999999996</v>
      </c>
      <c r="S891" s="735"/>
      <c r="T891" s="735"/>
      <c r="U891" s="735"/>
      <c r="V891" s="735"/>
      <c r="W891" s="735"/>
      <c r="X891" s="735"/>
      <c r="Y891" s="735">
        <v>360</v>
      </c>
      <c r="Z891" s="735">
        <f t="shared" si="648"/>
        <v>3880.4399999999996</v>
      </c>
      <c r="AA891" s="735">
        <v>1000</v>
      </c>
      <c r="AB891" s="735"/>
      <c r="AC891" s="735">
        <f t="shared" si="649"/>
        <v>1000</v>
      </c>
      <c r="AD891" s="735">
        <f t="shared" si="650"/>
        <v>47565.279999999999</v>
      </c>
      <c r="AE891" s="735">
        <f t="shared" si="651"/>
        <v>47565.279999999999</v>
      </c>
      <c r="AF891" s="735">
        <f t="shared" si="627"/>
        <v>0</v>
      </c>
      <c r="AG891" s="824">
        <f t="shared" si="637"/>
        <v>0</v>
      </c>
      <c r="AH891" s="711">
        <v>1</v>
      </c>
      <c r="AI891" s="735">
        <f t="shared" si="652"/>
        <v>570784.36</v>
      </c>
    </row>
    <row r="892" spans="1:35" x14ac:dyDescent="0.2">
      <c r="A892" s="704"/>
      <c r="B892" s="711">
        <v>1</v>
      </c>
      <c r="C892" s="735">
        <v>3520.4399999999996</v>
      </c>
      <c r="D892" s="735"/>
      <c r="E892" s="735"/>
      <c r="F892" s="735"/>
      <c r="G892" s="735"/>
      <c r="H892" s="735"/>
      <c r="I892" s="735"/>
      <c r="J892" s="735">
        <v>1010</v>
      </c>
      <c r="K892" s="735">
        <f t="shared" si="642"/>
        <v>4530.4399999999996</v>
      </c>
      <c r="L892" s="735">
        <v>1000</v>
      </c>
      <c r="M892" s="735"/>
      <c r="N892" s="735">
        <f t="shared" si="638"/>
        <v>1000</v>
      </c>
      <c r="O892" s="735">
        <f t="shared" si="639"/>
        <v>55365.279999999999</v>
      </c>
      <c r="P892" s="735">
        <f t="shared" si="640"/>
        <v>55365.279999999999</v>
      </c>
      <c r="Q892" s="711">
        <v>1</v>
      </c>
      <c r="R892" s="735">
        <v>3520.4399999999996</v>
      </c>
      <c r="S892" s="735"/>
      <c r="T892" s="735"/>
      <c r="U892" s="735"/>
      <c r="V892" s="735"/>
      <c r="W892" s="735"/>
      <c r="X892" s="735"/>
      <c r="Y892" s="735">
        <v>1010</v>
      </c>
      <c r="Z892" s="735">
        <f t="shared" si="648"/>
        <v>4530.4399999999996</v>
      </c>
      <c r="AA892" s="735">
        <v>1000</v>
      </c>
      <c r="AB892" s="735"/>
      <c r="AC892" s="735">
        <f t="shared" si="649"/>
        <v>1000</v>
      </c>
      <c r="AD892" s="735">
        <f t="shared" si="650"/>
        <v>55365.279999999999</v>
      </c>
      <c r="AE892" s="735">
        <f t="shared" si="651"/>
        <v>55365.279999999999</v>
      </c>
      <c r="AF892" s="735">
        <f t="shared" si="627"/>
        <v>0</v>
      </c>
      <c r="AG892" s="824">
        <f t="shared" si="637"/>
        <v>0</v>
      </c>
      <c r="AH892" s="711">
        <v>1</v>
      </c>
      <c r="AI892" s="735">
        <f t="shared" si="652"/>
        <v>664384.36</v>
      </c>
    </row>
    <row r="893" spans="1:35" x14ac:dyDescent="0.2">
      <c r="A893" s="704"/>
      <c r="B893" s="711">
        <v>1</v>
      </c>
      <c r="C893" s="735">
        <v>3520.4399999999996</v>
      </c>
      <c r="D893" s="735"/>
      <c r="E893" s="735"/>
      <c r="F893" s="735"/>
      <c r="G893" s="735"/>
      <c r="H893" s="735"/>
      <c r="I893" s="735"/>
      <c r="J893" s="735">
        <v>950</v>
      </c>
      <c r="K893" s="735">
        <f t="shared" si="642"/>
        <v>4470.4399999999996</v>
      </c>
      <c r="L893" s="735">
        <v>1000</v>
      </c>
      <c r="M893" s="735"/>
      <c r="N893" s="735">
        <f t="shared" si="638"/>
        <v>1000</v>
      </c>
      <c r="O893" s="735">
        <f t="shared" si="639"/>
        <v>54645.279999999999</v>
      </c>
      <c r="P893" s="735">
        <f t="shared" si="640"/>
        <v>54645.279999999999</v>
      </c>
      <c r="Q893" s="711">
        <v>1</v>
      </c>
      <c r="R893" s="735">
        <v>3520.4399999999996</v>
      </c>
      <c r="S893" s="735"/>
      <c r="T893" s="735"/>
      <c r="U893" s="735"/>
      <c r="V893" s="735"/>
      <c r="W893" s="735"/>
      <c r="X893" s="735"/>
      <c r="Y893" s="735">
        <v>950</v>
      </c>
      <c r="Z893" s="735">
        <f t="shared" si="648"/>
        <v>4470.4399999999996</v>
      </c>
      <c r="AA893" s="735">
        <v>1000</v>
      </c>
      <c r="AB893" s="735"/>
      <c r="AC893" s="735">
        <f t="shared" si="649"/>
        <v>1000</v>
      </c>
      <c r="AD893" s="735">
        <f t="shared" si="650"/>
        <v>54645.279999999999</v>
      </c>
      <c r="AE893" s="735">
        <f t="shared" si="651"/>
        <v>54645.279999999999</v>
      </c>
      <c r="AF893" s="735">
        <f t="shared" si="627"/>
        <v>0</v>
      </c>
      <c r="AG893" s="824">
        <f t="shared" si="637"/>
        <v>0</v>
      </c>
      <c r="AH893" s="711">
        <v>1</v>
      </c>
      <c r="AI893" s="735">
        <f t="shared" si="652"/>
        <v>655744.36</v>
      </c>
    </row>
    <row r="894" spans="1:35" x14ac:dyDescent="0.2">
      <c r="A894" s="704"/>
      <c r="B894" s="711">
        <v>1</v>
      </c>
      <c r="C894" s="735">
        <v>3520.4399999999996</v>
      </c>
      <c r="D894" s="735"/>
      <c r="E894" s="735"/>
      <c r="F894" s="735"/>
      <c r="G894" s="735"/>
      <c r="H894" s="735"/>
      <c r="I894" s="735"/>
      <c r="J894" s="735">
        <v>360</v>
      </c>
      <c r="K894" s="735">
        <f t="shared" si="642"/>
        <v>3880.4399999999996</v>
      </c>
      <c r="L894" s="735">
        <v>1000</v>
      </c>
      <c r="M894" s="735"/>
      <c r="N894" s="735">
        <f t="shared" si="638"/>
        <v>1000</v>
      </c>
      <c r="O894" s="735">
        <f t="shared" si="639"/>
        <v>47565.279999999999</v>
      </c>
      <c r="P894" s="735">
        <f t="shared" si="640"/>
        <v>47565.279999999999</v>
      </c>
      <c r="Q894" s="711">
        <v>1</v>
      </c>
      <c r="R894" s="735">
        <v>3520.4399999999996</v>
      </c>
      <c r="S894" s="735"/>
      <c r="T894" s="735"/>
      <c r="U894" s="735"/>
      <c r="V894" s="735"/>
      <c r="W894" s="735"/>
      <c r="X894" s="735"/>
      <c r="Y894" s="735">
        <v>360</v>
      </c>
      <c r="Z894" s="735">
        <f t="shared" si="648"/>
        <v>3880.4399999999996</v>
      </c>
      <c r="AA894" s="735">
        <v>1000</v>
      </c>
      <c r="AB894" s="735"/>
      <c r="AC894" s="735">
        <f t="shared" si="649"/>
        <v>1000</v>
      </c>
      <c r="AD894" s="735">
        <f t="shared" si="650"/>
        <v>47565.279999999999</v>
      </c>
      <c r="AE894" s="735">
        <f t="shared" si="651"/>
        <v>47565.279999999999</v>
      </c>
      <c r="AF894" s="735">
        <f t="shared" si="627"/>
        <v>0</v>
      </c>
      <c r="AG894" s="824">
        <f t="shared" si="637"/>
        <v>0</v>
      </c>
      <c r="AH894" s="711">
        <v>1</v>
      </c>
      <c r="AI894" s="735">
        <f t="shared" si="652"/>
        <v>570784.36</v>
      </c>
    </row>
    <row r="895" spans="1:35" x14ac:dyDescent="0.2">
      <c r="A895" s="704"/>
      <c r="B895" s="711">
        <v>1</v>
      </c>
      <c r="C895" s="735">
        <v>3520.4399999999996</v>
      </c>
      <c r="D895" s="735"/>
      <c r="E895" s="735"/>
      <c r="F895" s="735"/>
      <c r="G895" s="735"/>
      <c r="H895" s="735"/>
      <c r="I895" s="735"/>
      <c r="J895" s="735">
        <v>1100</v>
      </c>
      <c r="K895" s="735">
        <f t="shared" si="642"/>
        <v>4620.4399999999996</v>
      </c>
      <c r="L895" s="735">
        <v>1000</v>
      </c>
      <c r="M895" s="735"/>
      <c r="N895" s="735">
        <f t="shared" si="638"/>
        <v>1000</v>
      </c>
      <c r="O895" s="735">
        <f t="shared" si="639"/>
        <v>56445.279999999999</v>
      </c>
      <c r="P895" s="735">
        <f t="shared" si="640"/>
        <v>56445.279999999999</v>
      </c>
      <c r="Q895" s="711">
        <v>1</v>
      </c>
      <c r="R895" s="735">
        <v>3520.4399999999996</v>
      </c>
      <c r="S895" s="735"/>
      <c r="T895" s="735"/>
      <c r="U895" s="735"/>
      <c r="V895" s="735"/>
      <c r="W895" s="735"/>
      <c r="X895" s="735"/>
      <c r="Y895" s="735">
        <v>1100</v>
      </c>
      <c r="Z895" s="735">
        <f t="shared" si="648"/>
        <v>4620.4399999999996</v>
      </c>
      <c r="AA895" s="735">
        <v>1000</v>
      </c>
      <c r="AB895" s="735"/>
      <c r="AC895" s="735">
        <f t="shared" si="649"/>
        <v>1000</v>
      </c>
      <c r="AD895" s="735">
        <f t="shared" si="650"/>
        <v>56445.279999999999</v>
      </c>
      <c r="AE895" s="735">
        <f t="shared" si="651"/>
        <v>56445.279999999999</v>
      </c>
      <c r="AF895" s="735">
        <f t="shared" si="627"/>
        <v>0</v>
      </c>
      <c r="AG895" s="824">
        <f t="shared" si="637"/>
        <v>0</v>
      </c>
      <c r="AH895" s="711">
        <v>1</v>
      </c>
      <c r="AI895" s="735">
        <f t="shared" si="652"/>
        <v>677344.36</v>
      </c>
    </row>
    <row r="896" spans="1:35" x14ac:dyDescent="0.2">
      <c r="A896" s="704"/>
      <c r="B896" s="711">
        <v>1</v>
      </c>
      <c r="C896" s="735">
        <v>3520.4399999999996</v>
      </c>
      <c r="D896" s="735"/>
      <c r="E896" s="735"/>
      <c r="F896" s="735"/>
      <c r="G896" s="735"/>
      <c r="H896" s="735"/>
      <c r="I896" s="735"/>
      <c r="J896" s="735">
        <v>0</v>
      </c>
      <c r="K896" s="735">
        <f t="shared" si="642"/>
        <v>3520.4399999999996</v>
      </c>
      <c r="L896" s="735">
        <v>1000</v>
      </c>
      <c r="M896" s="735"/>
      <c r="N896" s="735">
        <f t="shared" si="638"/>
        <v>1000</v>
      </c>
      <c r="O896" s="735">
        <f t="shared" si="639"/>
        <v>43245.279999999999</v>
      </c>
      <c r="P896" s="735">
        <f t="shared" si="640"/>
        <v>43245.279999999999</v>
      </c>
      <c r="Q896" s="711">
        <v>1</v>
      </c>
      <c r="R896" s="735">
        <v>3520.4399999999996</v>
      </c>
      <c r="S896" s="735"/>
      <c r="T896" s="735"/>
      <c r="U896" s="735"/>
      <c r="V896" s="735"/>
      <c r="W896" s="735"/>
      <c r="X896" s="735"/>
      <c r="Y896" s="735">
        <v>0</v>
      </c>
      <c r="Z896" s="735">
        <f t="shared" si="648"/>
        <v>3520.4399999999996</v>
      </c>
      <c r="AA896" s="735">
        <v>1000</v>
      </c>
      <c r="AB896" s="735"/>
      <c r="AC896" s="735">
        <f t="shared" si="649"/>
        <v>1000</v>
      </c>
      <c r="AD896" s="735">
        <f t="shared" si="650"/>
        <v>43245.279999999999</v>
      </c>
      <c r="AE896" s="735">
        <f t="shared" si="651"/>
        <v>43245.279999999999</v>
      </c>
      <c r="AF896" s="735">
        <f t="shared" ref="AF896:AF959" si="653">AD896-O896</f>
        <v>0</v>
      </c>
      <c r="AG896" s="824">
        <f t="shared" si="637"/>
        <v>0</v>
      </c>
      <c r="AH896" s="711">
        <v>1</v>
      </c>
      <c r="AI896" s="735">
        <f t="shared" si="652"/>
        <v>518944.36</v>
      </c>
    </row>
    <row r="897" spans="1:35" x14ac:dyDescent="0.2">
      <c r="A897" s="704"/>
      <c r="B897" s="711">
        <v>1</v>
      </c>
      <c r="C897" s="735">
        <v>3520.4399999999996</v>
      </c>
      <c r="D897" s="735"/>
      <c r="E897" s="735"/>
      <c r="F897" s="735"/>
      <c r="G897" s="735"/>
      <c r="H897" s="735"/>
      <c r="I897" s="735"/>
      <c r="J897" s="735">
        <v>750</v>
      </c>
      <c r="K897" s="735">
        <f t="shared" si="642"/>
        <v>4270.4399999999996</v>
      </c>
      <c r="L897" s="735">
        <v>1000</v>
      </c>
      <c r="M897" s="735"/>
      <c r="N897" s="735">
        <f t="shared" si="638"/>
        <v>1000</v>
      </c>
      <c r="O897" s="735">
        <f t="shared" si="639"/>
        <v>52245.279999999999</v>
      </c>
      <c r="P897" s="735">
        <f t="shared" si="640"/>
        <v>52245.279999999999</v>
      </c>
      <c r="Q897" s="711">
        <v>1</v>
      </c>
      <c r="R897" s="735">
        <v>3520.4399999999996</v>
      </c>
      <c r="S897" s="735"/>
      <c r="T897" s="735"/>
      <c r="U897" s="735"/>
      <c r="V897" s="735"/>
      <c r="W897" s="735"/>
      <c r="X897" s="735"/>
      <c r="Y897" s="735">
        <v>750</v>
      </c>
      <c r="Z897" s="735">
        <f t="shared" si="648"/>
        <v>4270.4399999999996</v>
      </c>
      <c r="AA897" s="735">
        <v>1000</v>
      </c>
      <c r="AB897" s="735"/>
      <c r="AC897" s="735">
        <f t="shared" si="649"/>
        <v>1000</v>
      </c>
      <c r="AD897" s="735">
        <f t="shared" si="650"/>
        <v>52245.279999999999</v>
      </c>
      <c r="AE897" s="735">
        <f t="shared" si="651"/>
        <v>52245.279999999999</v>
      </c>
      <c r="AF897" s="735">
        <f t="shared" si="653"/>
        <v>0</v>
      </c>
      <c r="AG897" s="824">
        <f t="shared" si="637"/>
        <v>0</v>
      </c>
      <c r="AH897" s="711">
        <v>1</v>
      </c>
      <c r="AI897" s="735">
        <f t="shared" si="652"/>
        <v>626944.36</v>
      </c>
    </row>
    <row r="898" spans="1:35" x14ac:dyDescent="0.2">
      <c r="A898" s="704"/>
      <c r="B898" s="711">
        <v>1</v>
      </c>
      <c r="C898" s="735">
        <v>3520.4399999999996</v>
      </c>
      <c r="D898" s="735"/>
      <c r="E898" s="735"/>
      <c r="F898" s="735"/>
      <c r="G898" s="735"/>
      <c r="H898" s="735"/>
      <c r="I898" s="735"/>
      <c r="J898" s="735">
        <v>360</v>
      </c>
      <c r="K898" s="735">
        <f t="shared" si="642"/>
        <v>3880.4399999999996</v>
      </c>
      <c r="L898" s="735">
        <v>1000</v>
      </c>
      <c r="M898" s="735"/>
      <c r="N898" s="735">
        <f t="shared" si="638"/>
        <v>1000</v>
      </c>
      <c r="O898" s="735">
        <f t="shared" si="639"/>
        <v>47565.279999999999</v>
      </c>
      <c r="P898" s="735">
        <f t="shared" si="640"/>
        <v>47565.279999999999</v>
      </c>
      <c r="Q898" s="711">
        <v>1</v>
      </c>
      <c r="R898" s="735">
        <v>3520.4399999999996</v>
      </c>
      <c r="S898" s="735"/>
      <c r="T898" s="735"/>
      <c r="U898" s="735"/>
      <c r="V898" s="735"/>
      <c r="W898" s="735"/>
      <c r="X898" s="735"/>
      <c r="Y898" s="735">
        <v>360</v>
      </c>
      <c r="Z898" s="735">
        <f t="shared" si="648"/>
        <v>3880.4399999999996</v>
      </c>
      <c r="AA898" s="735">
        <v>1000</v>
      </c>
      <c r="AB898" s="735"/>
      <c r="AC898" s="735">
        <f t="shared" si="649"/>
        <v>1000</v>
      </c>
      <c r="AD898" s="735">
        <f t="shared" si="650"/>
        <v>47565.279999999999</v>
      </c>
      <c r="AE898" s="735">
        <f t="shared" si="651"/>
        <v>47565.279999999999</v>
      </c>
      <c r="AF898" s="735">
        <f t="shared" si="653"/>
        <v>0</v>
      </c>
      <c r="AG898" s="824">
        <f t="shared" si="637"/>
        <v>0</v>
      </c>
      <c r="AH898" s="711">
        <v>1</v>
      </c>
      <c r="AI898" s="735">
        <f t="shared" si="652"/>
        <v>570784.36</v>
      </c>
    </row>
    <row r="899" spans="1:35" x14ac:dyDescent="0.2">
      <c r="A899" s="704"/>
      <c r="B899" s="711">
        <v>1</v>
      </c>
      <c r="C899" s="735">
        <v>3520.4399999999996</v>
      </c>
      <c r="D899" s="735"/>
      <c r="E899" s="735"/>
      <c r="F899" s="735"/>
      <c r="G899" s="735"/>
      <c r="H899" s="735"/>
      <c r="I899" s="735"/>
      <c r="J899" s="735">
        <v>1100</v>
      </c>
      <c r="K899" s="735">
        <f t="shared" si="642"/>
        <v>4620.4399999999996</v>
      </c>
      <c r="L899" s="735">
        <v>1000</v>
      </c>
      <c r="M899" s="735"/>
      <c r="N899" s="735">
        <f t="shared" si="638"/>
        <v>1000</v>
      </c>
      <c r="O899" s="735">
        <f t="shared" si="639"/>
        <v>56445.279999999999</v>
      </c>
      <c r="P899" s="735">
        <f t="shared" si="640"/>
        <v>56445.279999999999</v>
      </c>
      <c r="Q899" s="711">
        <v>1</v>
      </c>
      <c r="R899" s="735">
        <v>3520.4399999999996</v>
      </c>
      <c r="S899" s="735"/>
      <c r="T899" s="735"/>
      <c r="U899" s="735"/>
      <c r="V899" s="735"/>
      <c r="W899" s="735"/>
      <c r="X899" s="735"/>
      <c r="Y899" s="735">
        <v>1100</v>
      </c>
      <c r="Z899" s="735">
        <f t="shared" si="648"/>
        <v>4620.4399999999996</v>
      </c>
      <c r="AA899" s="735">
        <v>1000</v>
      </c>
      <c r="AB899" s="735"/>
      <c r="AC899" s="735">
        <f t="shared" si="649"/>
        <v>1000</v>
      </c>
      <c r="AD899" s="735">
        <f t="shared" si="650"/>
        <v>56445.279999999999</v>
      </c>
      <c r="AE899" s="735">
        <f t="shared" si="651"/>
        <v>56445.279999999999</v>
      </c>
      <c r="AF899" s="735">
        <f t="shared" si="653"/>
        <v>0</v>
      </c>
      <c r="AG899" s="824">
        <f t="shared" si="637"/>
        <v>0</v>
      </c>
      <c r="AH899" s="711">
        <v>1</v>
      </c>
      <c r="AI899" s="735">
        <f t="shared" si="652"/>
        <v>677344.36</v>
      </c>
    </row>
    <row r="900" spans="1:35" x14ac:dyDescent="0.2">
      <c r="A900" s="704"/>
      <c r="B900" s="711">
        <v>1</v>
      </c>
      <c r="C900" s="735">
        <v>3520.4399999999996</v>
      </c>
      <c r="D900" s="735"/>
      <c r="E900" s="735"/>
      <c r="F900" s="735"/>
      <c r="G900" s="735"/>
      <c r="H900" s="735"/>
      <c r="I900" s="735"/>
      <c r="J900" s="735">
        <v>1000</v>
      </c>
      <c r="K900" s="735">
        <f t="shared" si="642"/>
        <v>4520.4399999999996</v>
      </c>
      <c r="L900" s="735">
        <v>1000</v>
      </c>
      <c r="M900" s="735"/>
      <c r="N900" s="735">
        <f t="shared" si="638"/>
        <v>1000</v>
      </c>
      <c r="O900" s="735">
        <f t="shared" si="639"/>
        <v>55245.279999999999</v>
      </c>
      <c r="P900" s="735">
        <f t="shared" si="640"/>
        <v>55245.279999999999</v>
      </c>
      <c r="Q900" s="711">
        <v>1</v>
      </c>
      <c r="R900" s="735">
        <v>3520.4399999999996</v>
      </c>
      <c r="S900" s="735"/>
      <c r="T900" s="735"/>
      <c r="U900" s="735"/>
      <c r="V900" s="735"/>
      <c r="W900" s="735"/>
      <c r="X900" s="735"/>
      <c r="Y900" s="735">
        <v>1000</v>
      </c>
      <c r="Z900" s="735">
        <f t="shared" si="648"/>
        <v>4520.4399999999996</v>
      </c>
      <c r="AA900" s="735">
        <v>1000</v>
      </c>
      <c r="AB900" s="735"/>
      <c r="AC900" s="735">
        <f t="shared" si="649"/>
        <v>1000</v>
      </c>
      <c r="AD900" s="735">
        <f t="shared" si="650"/>
        <v>55245.279999999999</v>
      </c>
      <c r="AE900" s="735">
        <f t="shared" si="651"/>
        <v>55245.279999999999</v>
      </c>
      <c r="AF900" s="735">
        <f t="shared" si="653"/>
        <v>0</v>
      </c>
      <c r="AG900" s="824">
        <f t="shared" si="637"/>
        <v>0</v>
      </c>
      <c r="AH900" s="711">
        <v>1</v>
      </c>
      <c r="AI900" s="735">
        <f t="shared" si="652"/>
        <v>662944.36</v>
      </c>
    </row>
    <row r="901" spans="1:35" x14ac:dyDescent="0.2">
      <c r="A901" s="704"/>
      <c r="B901" s="711">
        <v>1</v>
      </c>
      <c r="C901" s="735">
        <v>3520.4399999999996</v>
      </c>
      <c r="D901" s="735"/>
      <c r="E901" s="735"/>
      <c r="F901" s="735"/>
      <c r="G901" s="735"/>
      <c r="H901" s="735"/>
      <c r="I901" s="735"/>
      <c r="J901" s="735">
        <v>360</v>
      </c>
      <c r="K901" s="735">
        <f t="shared" si="642"/>
        <v>3880.4399999999996</v>
      </c>
      <c r="L901" s="735">
        <v>1000</v>
      </c>
      <c r="M901" s="735"/>
      <c r="N901" s="735">
        <f t="shared" si="638"/>
        <v>1000</v>
      </c>
      <c r="O901" s="735">
        <f t="shared" si="639"/>
        <v>47565.279999999999</v>
      </c>
      <c r="P901" s="735">
        <f t="shared" si="640"/>
        <v>47565.279999999999</v>
      </c>
      <c r="Q901" s="711">
        <v>1</v>
      </c>
      <c r="R901" s="735">
        <v>3520.4399999999996</v>
      </c>
      <c r="S901" s="735"/>
      <c r="T901" s="735"/>
      <c r="U901" s="735"/>
      <c r="V901" s="735"/>
      <c r="W901" s="735"/>
      <c r="X901" s="735"/>
      <c r="Y901" s="735">
        <v>360</v>
      </c>
      <c r="Z901" s="735">
        <f t="shared" si="648"/>
        <v>3880.4399999999996</v>
      </c>
      <c r="AA901" s="735">
        <v>1000</v>
      </c>
      <c r="AB901" s="735"/>
      <c r="AC901" s="735">
        <f t="shared" si="649"/>
        <v>1000</v>
      </c>
      <c r="AD901" s="735">
        <f t="shared" si="650"/>
        <v>47565.279999999999</v>
      </c>
      <c r="AE901" s="735">
        <f t="shared" si="651"/>
        <v>47565.279999999999</v>
      </c>
      <c r="AF901" s="735">
        <f t="shared" si="653"/>
        <v>0</v>
      </c>
      <c r="AG901" s="824">
        <f t="shared" si="637"/>
        <v>0</v>
      </c>
      <c r="AH901" s="711">
        <v>1</v>
      </c>
      <c r="AI901" s="735">
        <f t="shared" si="652"/>
        <v>570784.36</v>
      </c>
    </row>
    <row r="902" spans="1:35" x14ac:dyDescent="0.2">
      <c r="A902" s="704"/>
      <c r="B902" s="711">
        <v>1</v>
      </c>
      <c r="C902" s="735">
        <v>3520.4399999999996</v>
      </c>
      <c r="D902" s="735"/>
      <c r="E902" s="735"/>
      <c r="F902" s="735"/>
      <c r="G902" s="735"/>
      <c r="H902" s="735"/>
      <c r="I902" s="735"/>
      <c r="J902" s="735">
        <v>1100</v>
      </c>
      <c r="K902" s="735">
        <f t="shared" si="642"/>
        <v>4620.4399999999996</v>
      </c>
      <c r="L902" s="735">
        <v>1000</v>
      </c>
      <c r="M902" s="735"/>
      <c r="N902" s="735">
        <f t="shared" si="638"/>
        <v>1000</v>
      </c>
      <c r="O902" s="735">
        <f t="shared" si="639"/>
        <v>56445.279999999999</v>
      </c>
      <c r="P902" s="735">
        <f t="shared" si="640"/>
        <v>56445.279999999999</v>
      </c>
      <c r="Q902" s="711">
        <v>1</v>
      </c>
      <c r="R902" s="735">
        <v>3520.4399999999996</v>
      </c>
      <c r="S902" s="735"/>
      <c r="T902" s="735"/>
      <c r="U902" s="735"/>
      <c r="V902" s="735"/>
      <c r="W902" s="735"/>
      <c r="X902" s="735"/>
      <c r="Y902" s="735">
        <v>1100</v>
      </c>
      <c r="Z902" s="735">
        <f t="shared" si="648"/>
        <v>4620.4399999999996</v>
      </c>
      <c r="AA902" s="735">
        <v>1000</v>
      </c>
      <c r="AB902" s="735"/>
      <c r="AC902" s="735">
        <f t="shared" si="649"/>
        <v>1000</v>
      </c>
      <c r="AD902" s="735">
        <f t="shared" si="650"/>
        <v>56445.279999999999</v>
      </c>
      <c r="AE902" s="735">
        <f t="shared" si="651"/>
        <v>56445.279999999999</v>
      </c>
      <c r="AF902" s="735">
        <f t="shared" si="653"/>
        <v>0</v>
      </c>
      <c r="AG902" s="824">
        <f t="shared" si="637"/>
        <v>0</v>
      </c>
      <c r="AH902" s="711">
        <v>1</v>
      </c>
      <c r="AI902" s="735">
        <f t="shared" si="652"/>
        <v>677344.36</v>
      </c>
    </row>
    <row r="903" spans="1:35" x14ac:dyDescent="0.2">
      <c r="A903" s="704"/>
      <c r="B903" s="711">
        <v>1</v>
      </c>
      <c r="C903" s="735">
        <v>3520.4399999999996</v>
      </c>
      <c r="D903" s="735"/>
      <c r="E903" s="735"/>
      <c r="F903" s="735"/>
      <c r="G903" s="735"/>
      <c r="H903" s="735"/>
      <c r="I903" s="735"/>
      <c r="J903" s="735">
        <v>1100</v>
      </c>
      <c r="K903" s="735">
        <f t="shared" si="642"/>
        <v>4620.4399999999996</v>
      </c>
      <c r="L903" s="735">
        <v>1000</v>
      </c>
      <c r="M903" s="735"/>
      <c r="N903" s="735">
        <f t="shared" si="638"/>
        <v>1000</v>
      </c>
      <c r="O903" s="735">
        <f t="shared" si="639"/>
        <v>56445.279999999999</v>
      </c>
      <c r="P903" s="735">
        <f t="shared" si="640"/>
        <v>56445.279999999999</v>
      </c>
      <c r="Q903" s="711">
        <v>1</v>
      </c>
      <c r="R903" s="735">
        <v>3520.4399999999996</v>
      </c>
      <c r="S903" s="735"/>
      <c r="T903" s="735"/>
      <c r="U903" s="735"/>
      <c r="V903" s="735"/>
      <c r="W903" s="735"/>
      <c r="X903" s="735"/>
      <c r="Y903" s="735">
        <v>1100</v>
      </c>
      <c r="Z903" s="735">
        <f t="shared" si="648"/>
        <v>4620.4399999999996</v>
      </c>
      <c r="AA903" s="735">
        <v>1000</v>
      </c>
      <c r="AB903" s="735"/>
      <c r="AC903" s="735">
        <f t="shared" si="649"/>
        <v>1000</v>
      </c>
      <c r="AD903" s="735">
        <f t="shared" si="650"/>
        <v>56445.279999999999</v>
      </c>
      <c r="AE903" s="735">
        <f t="shared" si="651"/>
        <v>56445.279999999999</v>
      </c>
      <c r="AF903" s="735">
        <f t="shared" si="653"/>
        <v>0</v>
      </c>
      <c r="AG903" s="824">
        <f t="shared" si="637"/>
        <v>0</v>
      </c>
      <c r="AH903" s="711">
        <v>1</v>
      </c>
      <c r="AI903" s="735">
        <f t="shared" si="652"/>
        <v>677344.36</v>
      </c>
    </row>
    <row r="904" spans="1:35" x14ac:dyDescent="0.2">
      <c r="A904" s="704"/>
      <c r="B904" s="711">
        <v>1</v>
      </c>
      <c r="C904" s="735">
        <v>3520.4399999999996</v>
      </c>
      <c r="D904" s="735"/>
      <c r="E904" s="735"/>
      <c r="F904" s="735"/>
      <c r="G904" s="735"/>
      <c r="H904" s="735"/>
      <c r="I904" s="735"/>
      <c r="J904" s="735">
        <v>1100</v>
      </c>
      <c r="K904" s="735">
        <f t="shared" si="642"/>
        <v>4620.4399999999996</v>
      </c>
      <c r="L904" s="735">
        <v>1000</v>
      </c>
      <c r="M904" s="735"/>
      <c r="N904" s="735">
        <f t="shared" si="638"/>
        <v>1000</v>
      </c>
      <c r="O904" s="735">
        <f t="shared" si="639"/>
        <v>56445.279999999999</v>
      </c>
      <c r="P904" s="735">
        <f t="shared" si="640"/>
        <v>56445.279999999999</v>
      </c>
      <c r="Q904" s="711">
        <v>1</v>
      </c>
      <c r="R904" s="735">
        <v>3520.4399999999996</v>
      </c>
      <c r="S904" s="735"/>
      <c r="T904" s="735"/>
      <c r="U904" s="735"/>
      <c r="V904" s="735"/>
      <c r="W904" s="735"/>
      <c r="X904" s="735"/>
      <c r="Y904" s="735">
        <v>1100</v>
      </c>
      <c r="Z904" s="735">
        <f t="shared" si="648"/>
        <v>4620.4399999999996</v>
      </c>
      <c r="AA904" s="735">
        <v>1000</v>
      </c>
      <c r="AB904" s="735"/>
      <c r="AC904" s="735">
        <f t="shared" si="649"/>
        <v>1000</v>
      </c>
      <c r="AD904" s="735">
        <f t="shared" si="650"/>
        <v>56445.279999999999</v>
      </c>
      <c r="AE904" s="735">
        <f t="shared" si="651"/>
        <v>56445.279999999999</v>
      </c>
      <c r="AF904" s="735">
        <f t="shared" si="653"/>
        <v>0</v>
      </c>
      <c r="AG904" s="824">
        <f t="shared" si="637"/>
        <v>0</v>
      </c>
      <c r="AH904" s="711">
        <v>1</v>
      </c>
      <c r="AI904" s="735">
        <f t="shared" si="652"/>
        <v>677344.36</v>
      </c>
    </row>
    <row r="905" spans="1:35" x14ac:dyDescent="0.2">
      <c r="A905" s="704"/>
      <c r="B905" s="711">
        <v>1</v>
      </c>
      <c r="C905" s="735">
        <v>3520.4399999999996</v>
      </c>
      <c r="D905" s="735"/>
      <c r="E905" s="735"/>
      <c r="F905" s="735"/>
      <c r="G905" s="735"/>
      <c r="H905" s="735"/>
      <c r="I905" s="735"/>
      <c r="J905" s="735">
        <v>1010</v>
      </c>
      <c r="K905" s="735">
        <f t="shared" si="642"/>
        <v>4530.4399999999996</v>
      </c>
      <c r="L905" s="735">
        <v>1000</v>
      </c>
      <c r="M905" s="735"/>
      <c r="N905" s="735">
        <f t="shared" si="638"/>
        <v>1000</v>
      </c>
      <c r="O905" s="735">
        <f t="shared" si="639"/>
        <v>55365.279999999999</v>
      </c>
      <c r="P905" s="735">
        <f t="shared" si="640"/>
        <v>55365.279999999999</v>
      </c>
      <c r="Q905" s="711">
        <v>1</v>
      </c>
      <c r="R905" s="735">
        <v>3520.4399999999996</v>
      </c>
      <c r="S905" s="735"/>
      <c r="T905" s="735"/>
      <c r="U905" s="735"/>
      <c r="V905" s="735"/>
      <c r="W905" s="735"/>
      <c r="X905" s="735"/>
      <c r="Y905" s="735">
        <v>1010</v>
      </c>
      <c r="Z905" s="735">
        <f t="shared" si="648"/>
        <v>4530.4399999999996</v>
      </c>
      <c r="AA905" s="735">
        <v>1000</v>
      </c>
      <c r="AB905" s="735"/>
      <c r="AC905" s="735">
        <f t="shared" si="649"/>
        <v>1000</v>
      </c>
      <c r="AD905" s="735">
        <f t="shared" si="650"/>
        <v>55365.279999999999</v>
      </c>
      <c r="AE905" s="735">
        <f t="shared" si="651"/>
        <v>55365.279999999999</v>
      </c>
      <c r="AF905" s="735">
        <f t="shared" si="653"/>
        <v>0</v>
      </c>
      <c r="AG905" s="824">
        <f t="shared" si="637"/>
        <v>0</v>
      </c>
      <c r="AH905" s="711">
        <v>1</v>
      </c>
      <c r="AI905" s="735">
        <f t="shared" si="652"/>
        <v>664384.36</v>
      </c>
    </row>
    <row r="906" spans="1:35" x14ac:dyDescent="0.2">
      <c r="A906" s="704"/>
      <c r="B906" s="711">
        <v>1</v>
      </c>
      <c r="C906" s="735">
        <v>3520.4399999999996</v>
      </c>
      <c r="D906" s="735"/>
      <c r="E906" s="735"/>
      <c r="F906" s="735"/>
      <c r="G906" s="735"/>
      <c r="H906" s="735"/>
      <c r="I906" s="735"/>
      <c r="J906" s="735">
        <v>860</v>
      </c>
      <c r="K906" s="735">
        <f t="shared" si="642"/>
        <v>4380.4399999999996</v>
      </c>
      <c r="L906" s="735">
        <v>1000</v>
      </c>
      <c r="M906" s="735"/>
      <c r="N906" s="735">
        <f t="shared" si="638"/>
        <v>1000</v>
      </c>
      <c r="O906" s="735">
        <f t="shared" si="639"/>
        <v>53565.279999999999</v>
      </c>
      <c r="P906" s="735">
        <f t="shared" si="640"/>
        <v>53565.279999999999</v>
      </c>
      <c r="Q906" s="711">
        <v>1</v>
      </c>
      <c r="R906" s="735">
        <v>3520.4399999999996</v>
      </c>
      <c r="S906" s="735"/>
      <c r="T906" s="735"/>
      <c r="U906" s="735"/>
      <c r="V906" s="735"/>
      <c r="W906" s="735"/>
      <c r="X906" s="735"/>
      <c r="Y906" s="735">
        <v>860</v>
      </c>
      <c r="Z906" s="735">
        <f t="shared" si="648"/>
        <v>4380.4399999999996</v>
      </c>
      <c r="AA906" s="735">
        <v>1000</v>
      </c>
      <c r="AB906" s="735"/>
      <c r="AC906" s="735">
        <f t="shared" si="649"/>
        <v>1000</v>
      </c>
      <c r="AD906" s="735">
        <f t="shared" si="650"/>
        <v>53565.279999999999</v>
      </c>
      <c r="AE906" s="735">
        <f t="shared" si="651"/>
        <v>53565.279999999999</v>
      </c>
      <c r="AF906" s="735">
        <f t="shared" si="653"/>
        <v>0</v>
      </c>
      <c r="AG906" s="824">
        <f t="shared" ref="AG906:AG969" si="654">P906-AE906</f>
        <v>0</v>
      </c>
      <c r="AH906" s="711">
        <v>1</v>
      </c>
      <c r="AI906" s="735">
        <f t="shared" si="652"/>
        <v>642784.36</v>
      </c>
    </row>
    <row r="907" spans="1:35" x14ac:dyDescent="0.2">
      <c r="A907" s="704"/>
      <c r="B907" s="711">
        <v>1</v>
      </c>
      <c r="C907" s="735">
        <v>3520.4399999999996</v>
      </c>
      <c r="D907" s="735"/>
      <c r="E907" s="735"/>
      <c r="F907" s="735"/>
      <c r="G907" s="735"/>
      <c r="H907" s="735"/>
      <c r="I907" s="735"/>
      <c r="J907" s="735">
        <v>700</v>
      </c>
      <c r="K907" s="735">
        <f t="shared" si="642"/>
        <v>4220.4399999999996</v>
      </c>
      <c r="L907" s="735">
        <v>1000</v>
      </c>
      <c r="M907" s="735"/>
      <c r="N907" s="735">
        <f t="shared" si="638"/>
        <v>1000</v>
      </c>
      <c r="O907" s="735">
        <f t="shared" si="639"/>
        <v>51645.279999999999</v>
      </c>
      <c r="P907" s="735">
        <f t="shared" si="640"/>
        <v>51645.279999999999</v>
      </c>
      <c r="Q907" s="711">
        <v>1</v>
      </c>
      <c r="R907" s="735">
        <v>3520.4399999999996</v>
      </c>
      <c r="S907" s="735"/>
      <c r="T907" s="735"/>
      <c r="U907" s="735"/>
      <c r="V907" s="735"/>
      <c r="W907" s="735"/>
      <c r="X907" s="735"/>
      <c r="Y907" s="735">
        <v>700</v>
      </c>
      <c r="Z907" s="735">
        <f t="shared" si="648"/>
        <v>4220.4399999999996</v>
      </c>
      <c r="AA907" s="735">
        <v>1000</v>
      </c>
      <c r="AB907" s="735"/>
      <c r="AC907" s="735">
        <f t="shared" si="649"/>
        <v>1000</v>
      </c>
      <c r="AD907" s="735">
        <f t="shared" si="650"/>
        <v>51645.279999999999</v>
      </c>
      <c r="AE907" s="735">
        <f t="shared" si="651"/>
        <v>51645.279999999999</v>
      </c>
      <c r="AF907" s="735">
        <f t="shared" si="653"/>
        <v>0</v>
      </c>
      <c r="AG907" s="824">
        <f t="shared" si="654"/>
        <v>0</v>
      </c>
      <c r="AH907" s="711">
        <v>1</v>
      </c>
      <c r="AI907" s="735">
        <f t="shared" si="652"/>
        <v>619744.36</v>
      </c>
    </row>
    <row r="908" spans="1:35" x14ac:dyDescent="0.2">
      <c r="A908" s="704"/>
      <c r="B908" s="711">
        <v>1</v>
      </c>
      <c r="C908" s="735">
        <v>3520.4399999999996</v>
      </c>
      <c r="D908" s="735"/>
      <c r="E908" s="735"/>
      <c r="F908" s="735"/>
      <c r="G908" s="735"/>
      <c r="H908" s="735"/>
      <c r="I908" s="735"/>
      <c r="J908" s="735">
        <v>1010</v>
      </c>
      <c r="K908" s="735">
        <f t="shared" si="642"/>
        <v>4530.4399999999996</v>
      </c>
      <c r="L908" s="735">
        <v>1000</v>
      </c>
      <c r="M908" s="735"/>
      <c r="N908" s="735">
        <f t="shared" si="638"/>
        <v>1000</v>
      </c>
      <c r="O908" s="735">
        <f t="shared" si="639"/>
        <v>55365.279999999999</v>
      </c>
      <c r="P908" s="735">
        <f t="shared" si="640"/>
        <v>55365.279999999999</v>
      </c>
      <c r="Q908" s="711">
        <v>1</v>
      </c>
      <c r="R908" s="735">
        <v>3520.4399999999996</v>
      </c>
      <c r="S908" s="735"/>
      <c r="T908" s="735"/>
      <c r="U908" s="735"/>
      <c r="V908" s="735"/>
      <c r="W908" s="735"/>
      <c r="X908" s="735"/>
      <c r="Y908" s="735">
        <v>1010</v>
      </c>
      <c r="Z908" s="735">
        <f t="shared" si="648"/>
        <v>4530.4399999999996</v>
      </c>
      <c r="AA908" s="735">
        <v>1000</v>
      </c>
      <c r="AB908" s="735"/>
      <c r="AC908" s="735">
        <f t="shared" si="649"/>
        <v>1000</v>
      </c>
      <c r="AD908" s="735">
        <f t="shared" si="650"/>
        <v>55365.279999999999</v>
      </c>
      <c r="AE908" s="735">
        <f t="shared" si="651"/>
        <v>55365.279999999999</v>
      </c>
      <c r="AF908" s="735">
        <f t="shared" si="653"/>
        <v>0</v>
      </c>
      <c r="AG908" s="824">
        <f t="shared" si="654"/>
        <v>0</v>
      </c>
      <c r="AH908" s="711">
        <v>1</v>
      </c>
      <c r="AI908" s="735">
        <f t="shared" si="652"/>
        <v>664384.36</v>
      </c>
    </row>
    <row r="909" spans="1:35" x14ac:dyDescent="0.2">
      <c r="A909" s="704"/>
      <c r="B909" s="711">
        <v>1</v>
      </c>
      <c r="C909" s="735">
        <v>3520.4399999999996</v>
      </c>
      <c r="D909" s="735"/>
      <c r="E909" s="735"/>
      <c r="F909" s="735"/>
      <c r="G909" s="735"/>
      <c r="H909" s="735"/>
      <c r="I909" s="735"/>
      <c r="J909" s="735">
        <v>960</v>
      </c>
      <c r="K909" s="735">
        <f t="shared" si="642"/>
        <v>4480.4399999999996</v>
      </c>
      <c r="L909" s="735">
        <v>1000</v>
      </c>
      <c r="M909" s="735"/>
      <c r="N909" s="735">
        <f t="shared" si="638"/>
        <v>1000</v>
      </c>
      <c r="O909" s="735">
        <f t="shared" si="639"/>
        <v>54765.279999999999</v>
      </c>
      <c r="P909" s="735">
        <f t="shared" si="640"/>
        <v>54765.279999999999</v>
      </c>
      <c r="Q909" s="711">
        <v>1</v>
      </c>
      <c r="R909" s="735">
        <v>3520.4399999999996</v>
      </c>
      <c r="S909" s="735"/>
      <c r="T909" s="735"/>
      <c r="U909" s="735"/>
      <c r="V909" s="735"/>
      <c r="W909" s="735"/>
      <c r="X909" s="735"/>
      <c r="Y909" s="735">
        <v>960</v>
      </c>
      <c r="Z909" s="735">
        <f t="shared" si="648"/>
        <v>4480.4399999999996</v>
      </c>
      <c r="AA909" s="735">
        <v>1000</v>
      </c>
      <c r="AB909" s="735"/>
      <c r="AC909" s="735">
        <f t="shared" si="649"/>
        <v>1000</v>
      </c>
      <c r="AD909" s="735">
        <f t="shared" si="650"/>
        <v>54765.279999999999</v>
      </c>
      <c r="AE909" s="735">
        <f t="shared" si="651"/>
        <v>54765.279999999999</v>
      </c>
      <c r="AF909" s="735">
        <f t="shared" si="653"/>
        <v>0</v>
      </c>
      <c r="AG909" s="824">
        <f t="shared" si="654"/>
        <v>0</v>
      </c>
      <c r="AH909" s="711">
        <v>1</v>
      </c>
      <c r="AI909" s="735">
        <f t="shared" si="652"/>
        <v>657184.36</v>
      </c>
    </row>
    <row r="910" spans="1:35" x14ac:dyDescent="0.2">
      <c r="A910" s="704"/>
      <c r="B910" s="711">
        <v>1</v>
      </c>
      <c r="C910" s="735">
        <v>3520.4399999999996</v>
      </c>
      <c r="D910" s="735"/>
      <c r="E910" s="735"/>
      <c r="F910" s="735"/>
      <c r="G910" s="735"/>
      <c r="H910" s="735"/>
      <c r="I910" s="735"/>
      <c r="J910" s="735">
        <v>410</v>
      </c>
      <c r="K910" s="735">
        <f t="shared" si="642"/>
        <v>3930.4399999999996</v>
      </c>
      <c r="L910" s="735">
        <v>1000</v>
      </c>
      <c r="M910" s="735"/>
      <c r="N910" s="735">
        <f t="shared" si="638"/>
        <v>1000</v>
      </c>
      <c r="O910" s="735">
        <f t="shared" si="639"/>
        <v>48165.279999999999</v>
      </c>
      <c r="P910" s="735">
        <f t="shared" si="640"/>
        <v>48165.279999999999</v>
      </c>
      <c r="Q910" s="711">
        <v>1</v>
      </c>
      <c r="R910" s="735">
        <v>3520.4399999999996</v>
      </c>
      <c r="S910" s="735"/>
      <c r="T910" s="735"/>
      <c r="U910" s="735"/>
      <c r="V910" s="735"/>
      <c r="W910" s="735"/>
      <c r="X910" s="735"/>
      <c r="Y910" s="735">
        <v>410</v>
      </c>
      <c r="Z910" s="735">
        <f t="shared" si="648"/>
        <v>3930.4399999999996</v>
      </c>
      <c r="AA910" s="735">
        <v>1000</v>
      </c>
      <c r="AB910" s="735"/>
      <c r="AC910" s="735">
        <f t="shared" si="649"/>
        <v>1000</v>
      </c>
      <c r="AD910" s="735">
        <f t="shared" si="650"/>
        <v>48165.279999999999</v>
      </c>
      <c r="AE910" s="735">
        <f t="shared" si="651"/>
        <v>48165.279999999999</v>
      </c>
      <c r="AF910" s="735">
        <f t="shared" si="653"/>
        <v>0</v>
      </c>
      <c r="AG910" s="824">
        <f t="shared" si="654"/>
        <v>0</v>
      </c>
      <c r="AH910" s="711">
        <v>1</v>
      </c>
      <c r="AI910" s="735">
        <f t="shared" si="652"/>
        <v>577984.36</v>
      </c>
    </row>
    <row r="911" spans="1:35" x14ac:dyDescent="0.2">
      <c r="A911" s="704"/>
      <c r="B911" s="711">
        <v>1</v>
      </c>
      <c r="C911" s="735">
        <v>3520.4399999999996</v>
      </c>
      <c r="D911" s="735"/>
      <c r="E911" s="735"/>
      <c r="F911" s="735"/>
      <c r="G911" s="735"/>
      <c r="H911" s="735"/>
      <c r="I911" s="735"/>
      <c r="J911" s="735">
        <v>1010</v>
      </c>
      <c r="K911" s="735">
        <f t="shared" si="642"/>
        <v>4530.4399999999996</v>
      </c>
      <c r="L911" s="735">
        <v>1000</v>
      </c>
      <c r="M911" s="735"/>
      <c r="N911" s="735">
        <f t="shared" si="638"/>
        <v>1000</v>
      </c>
      <c r="O911" s="735">
        <f t="shared" si="639"/>
        <v>55365.279999999999</v>
      </c>
      <c r="P911" s="735">
        <f t="shared" si="640"/>
        <v>55365.279999999999</v>
      </c>
      <c r="Q911" s="711">
        <v>1</v>
      </c>
      <c r="R911" s="735">
        <v>3520.4399999999996</v>
      </c>
      <c r="S911" s="735"/>
      <c r="T911" s="735"/>
      <c r="U911" s="735"/>
      <c r="V911" s="735"/>
      <c r="W911" s="735"/>
      <c r="X911" s="735"/>
      <c r="Y911" s="735">
        <v>1010</v>
      </c>
      <c r="Z911" s="735">
        <f t="shared" si="648"/>
        <v>4530.4399999999996</v>
      </c>
      <c r="AA911" s="735">
        <v>1000</v>
      </c>
      <c r="AB911" s="735"/>
      <c r="AC911" s="735">
        <f t="shared" si="649"/>
        <v>1000</v>
      </c>
      <c r="AD911" s="735">
        <f t="shared" si="650"/>
        <v>55365.279999999999</v>
      </c>
      <c r="AE911" s="735">
        <f t="shared" si="651"/>
        <v>55365.279999999999</v>
      </c>
      <c r="AF911" s="735">
        <f t="shared" si="653"/>
        <v>0</v>
      </c>
      <c r="AG911" s="824">
        <f t="shared" si="654"/>
        <v>0</v>
      </c>
      <c r="AH911" s="711">
        <v>1</v>
      </c>
      <c r="AI911" s="735">
        <f t="shared" si="652"/>
        <v>664384.36</v>
      </c>
    </row>
    <row r="912" spans="1:35" x14ac:dyDescent="0.2">
      <c r="A912" s="704"/>
      <c r="B912" s="711">
        <v>1</v>
      </c>
      <c r="C912" s="735">
        <v>3520.4399999999996</v>
      </c>
      <c r="D912" s="735"/>
      <c r="E912" s="735"/>
      <c r="F912" s="735"/>
      <c r="G912" s="735"/>
      <c r="H912" s="735"/>
      <c r="I912" s="735"/>
      <c r="J912" s="735">
        <v>600</v>
      </c>
      <c r="K912" s="735">
        <f t="shared" si="642"/>
        <v>4120.4399999999996</v>
      </c>
      <c r="L912" s="735">
        <v>1000</v>
      </c>
      <c r="M912" s="735"/>
      <c r="N912" s="735">
        <f t="shared" si="638"/>
        <v>1000</v>
      </c>
      <c r="O912" s="735">
        <f t="shared" si="639"/>
        <v>50445.279999999999</v>
      </c>
      <c r="P912" s="735">
        <f t="shared" si="640"/>
        <v>50445.279999999999</v>
      </c>
      <c r="Q912" s="711">
        <v>1</v>
      </c>
      <c r="R912" s="735">
        <v>3520.4399999999996</v>
      </c>
      <c r="S912" s="735"/>
      <c r="T912" s="735"/>
      <c r="U912" s="735"/>
      <c r="V912" s="735"/>
      <c r="W912" s="735"/>
      <c r="X912" s="735"/>
      <c r="Y912" s="735">
        <v>600</v>
      </c>
      <c r="Z912" s="735">
        <f t="shared" si="648"/>
        <v>4120.4399999999996</v>
      </c>
      <c r="AA912" s="735">
        <v>1000</v>
      </c>
      <c r="AB912" s="735"/>
      <c r="AC912" s="735">
        <f t="shared" si="649"/>
        <v>1000</v>
      </c>
      <c r="AD912" s="735">
        <f t="shared" si="650"/>
        <v>50445.279999999999</v>
      </c>
      <c r="AE912" s="735">
        <f t="shared" si="651"/>
        <v>50445.279999999999</v>
      </c>
      <c r="AF912" s="735">
        <f t="shared" si="653"/>
        <v>0</v>
      </c>
      <c r="AG912" s="824">
        <f t="shared" si="654"/>
        <v>0</v>
      </c>
      <c r="AH912" s="711">
        <v>1</v>
      </c>
      <c r="AI912" s="735">
        <f t="shared" si="652"/>
        <v>605344.36</v>
      </c>
    </row>
    <row r="913" spans="1:35" x14ac:dyDescent="0.2">
      <c r="A913" s="704"/>
      <c r="B913" s="711">
        <v>1</v>
      </c>
      <c r="C913" s="735">
        <v>3520.4399999999996</v>
      </c>
      <c r="D913" s="735"/>
      <c r="E913" s="735"/>
      <c r="F913" s="735"/>
      <c r="G913" s="735"/>
      <c r="H913" s="735"/>
      <c r="I913" s="735"/>
      <c r="J913" s="735">
        <v>1150</v>
      </c>
      <c r="K913" s="735">
        <f t="shared" si="642"/>
        <v>4670.4399999999996</v>
      </c>
      <c r="L913" s="735">
        <v>1000</v>
      </c>
      <c r="M913" s="735"/>
      <c r="N913" s="735">
        <f t="shared" si="638"/>
        <v>1000</v>
      </c>
      <c r="O913" s="735">
        <f t="shared" si="639"/>
        <v>57045.279999999999</v>
      </c>
      <c r="P913" s="735">
        <f t="shared" si="640"/>
        <v>57045.279999999999</v>
      </c>
      <c r="Q913" s="711">
        <v>1</v>
      </c>
      <c r="R913" s="735">
        <v>3520.4399999999996</v>
      </c>
      <c r="S913" s="735"/>
      <c r="T913" s="735"/>
      <c r="U913" s="735"/>
      <c r="V913" s="735"/>
      <c r="W913" s="735"/>
      <c r="X913" s="735"/>
      <c r="Y913" s="735">
        <v>1150</v>
      </c>
      <c r="Z913" s="735">
        <f t="shared" si="648"/>
        <v>4670.4399999999996</v>
      </c>
      <c r="AA913" s="735">
        <v>1000</v>
      </c>
      <c r="AB913" s="735"/>
      <c r="AC913" s="735">
        <f t="shared" si="649"/>
        <v>1000</v>
      </c>
      <c r="AD913" s="735">
        <f t="shared" si="650"/>
        <v>57045.279999999999</v>
      </c>
      <c r="AE913" s="735">
        <f t="shared" si="651"/>
        <v>57045.279999999999</v>
      </c>
      <c r="AF913" s="735">
        <f t="shared" si="653"/>
        <v>0</v>
      </c>
      <c r="AG913" s="824">
        <f t="shared" si="654"/>
        <v>0</v>
      </c>
      <c r="AH913" s="711">
        <v>1</v>
      </c>
      <c r="AI913" s="735">
        <f t="shared" si="652"/>
        <v>684544.36</v>
      </c>
    </row>
    <row r="914" spans="1:35" x14ac:dyDescent="0.2">
      <c r="A914" s="704"/>
      <c r="B914" s="711">
        <v>1</v>
      </c>
      <c r="C914" s="735">
        <v>3520.4399999999996</v>
      </c>
      <c r="D914" s="735"/>
      <c r="E914" s="735"/>
      <c r="F914" s="735"/>
      <c r="G914" s="735"/>
      <c r="H914" s="735"/>
      <c r="I914" s="735"/>
      <c r="J914" s="735">
        <v>1010</v>
      </c>
      <c r="K914" s="735">
        <f t="shared" si="642"/>
        <v>4530.4399999999996</v>
      </c>
      <c r="L914" s="735">
        <v>1000</v>
      </c>
      <c r="M914" s="735"/>
      <c r="N914" s="735">
        <f t="shared" si="638"/>
        <v>1000</v>
      </c>
      <c r="O914" s="735">
        <f t="shared" si="639"/>
        <v>55365.279999999999</v>
      </c>
      <c r="P914" s="735">
        <f t="shared" si="640"/>
        <v>55365.279999999999</v>
      </c>
      <c r="Q914" s="711">
        <v>1</v>
      </c>
      <c r="R914" s="735">
        <v>3520.4399999999996</v>
      </c>
      <c r="S914" s="735"/>
      <c r="T914" s="735"/>
      <c r="U914" s="735"/>
      <c r="V914" s="735"/>
      <c r="W914" s="735"/>
      <c r="X914" s="735"/>
      <c r="Y914" s="735">
        <v>1010</v>
      </c>
      <c r="Z914" s="735">
        <f t="shared" si="648"/>
        <v>4530.4399999999996</v>
      </c>
      <c r="AA914" s="735">
        <v>1000</v>
      </c>
      <c r="AB914" s="735"/>
      <c r="AC914" s="735">
        <f t="shared" si="649"/>
        <v>1000</v>
      </c>
      <c r="AD914" s="735">
        <f t="shared" si="650"/>
        <v>55365.279999999999</v>
      </c>
      <c r="AE914" s="735">
        <f t="shared" si="651"/>
        <v>55365.279999999999</v>
      </c>
      <c r="AF914" s="735">
        <f t="shared" si="653"/>
        <v>0</v>
      </c>
      <c r="AG914" s="824">
        <f t="shared" si="654"/>
        <v>0</v>
      </c>
      <c r="AH914" s="711">
        <v>1</v>
      </c>
      <c r="AI914" s="735">
        <f t="shared" si="652"/>
        <v>664384.36</v>
      </c>
    </row>
    <row r="915" spans="1:35" x14ac:dyDescent="0.2">
      <c r="A915" s="704"/>
      <c r="B915" s="711">
        <v>1</v>
      </c>
      <c r="C915" s="735">
        <v>3520.4399999999996</v>
      </c>
      <c r="D915" s="735"/>
      <c r="E915" s="735"/>
      <c r="F915" s="735"/>
      <c r="G915" s="735"/>
      <c r="H915" s="735"/>
      <c r="I915" s="735"/>
      <c r="J915" s="735">
        <v>860</v>
      </c>
      <c r="K915" s="735">
        <f t="shared" si="642"/>
        <v>4380.4399999999996</v>
      </c>
      <c r="L915" s="735">
        <v>1000</v>
      </c>
      <c r="M915" s="735"/>
      <c r="N915" s="735">
        <f t="shared" si="638"/>
        <v>1000</v>
      </c>
      <c r="O915" s="735">
        <f t="shared" si="639"/>
        <v>53565.279999999999</v>
      </c>
      <c r="P915" s="735">
        <f t="shared" si="640"/>
        <v>53565.279999999999</v>
      </c>
      <c r="Q915" s="711">
        <v>1</v>
      </c>
      <c r="R915" s="735">
        <v>3520.4399999999996</v>
      </c>
      <c r="S915" s="735"/>
      <c r="T915" s="735"/>
      <c r="U915" s="735"/>
      <c r="V915" s="735"/>
      <c r="W915" s="735"/>
      <c r="X915" s="735"/>
      <c r="Y915" s="735">
        <v>860</v>
      </c>
      <c r="Z915" s="735">
        <f t="shared" si="648"/>
        <v>4380.4399999999996</v>
      </c>
      <c r="AA915" s="735">
        <v>1000</v>
      </c>
      <c r="AB915" s="735"/>
      <c r="AC915" s="735">
        <f t="shared" si="649"/>
        <v>1000</v>
      </c>
      <c r="AD915" s="735">
        <f t="shared" si="650"/>
        <v>53565.279999999999</v>
      </c>
      <c r="AE915" s="735">
        <f t="shared" si="651"/>
        <v>53565.279999999999</v>
      </c>
      <c r="AF915" s="735">
        <f t="shared" si="653"/>
        <v>0</v>
      </c>
      <c r="AG915" s="824">
        <f t="shared" si="654"/>
        <v>0</v>
      </c>
      <c r="AH915" s="711">
        <v>1</v>
      </c>
      <c r="AI915" s="735">
        <f t="shared" si="652"/>
        <v>642784.36</v>
      </c>
    </row>
    <row r="916" spans="1:35" x14ac:dyDescent="0.2">
      <c r="A916" s="873" t="s">
        <v>792</v>
      </c>
      <c r="B916" s="722">
        <f>SUM(B917:B977)</f>
        <v>61</v>
      </c>
      <c r="C916" s="784">
        <f>SUM(C917:C977)</f>
        <v>161060.12999999992</v>
      </c>
      <c r="D916" s="784">
        <f t="shared" ref="D916:I916" si="655">SUM(D917:D977)</f>
        <v>0</v>
      </c>
      <c r="E916" s="784">
        <f t="shared" si="655"/>
        <v>0</v>
      </c>
      <c r="F916" s="784">
        <f t="shared" si="655"/>
        <v>0</v>
      </c>
      <c r="G916" s="784">
        <f t="shared" si="655"/>
        <v>0</v>
      </c>
      <c r="H916" s="784">
        <f t="shared" si="655"/>
        <v>0</v>
      </c>
      <c r="I916" s="784">
        <f t="shared" si="655"/>
        <v>0</v>
      </c>
      <c r="J916" s="784">
        <f>SUM(J917:J977)</f>
        <v>14120</v>
      </c>
      <c r="K916" s="784">
        <f t="shared" ref="K916:L916" si="656">SUM(K917:K977)</f>
        <v>175180.12999999986</v>
      </c>
      <c r="L916" s="784">
        <f t="shared" si="656"/>
        <v>61000</v>
      </c>
      <c r="M916" s="784"/>
      <c r="N916" s="784">
        <f>SUM(L916:M916)</f>
        <v>61000</v>
      </c>
      <c r="O916" s="784">
        <f>SUM(O917:O977)</f>
        <v>2163161.5599999987</v>
      </c>
      <c r="P916" s="784">
        <f>SUM(P917:P977)</f>
        <v>2163161.5599999987</v>
      </c>
      <c r="Q916" s="722">
        <f>SUM(Q917:Q977)</f>
        <v>61</v>
      </c>
      <c r="R916" s="784">
        <f>SUM(R917:R977)</f>
        <v>161060.12999999992</v>
      </c>
      <c r="S916" s="784">
        <f t="shared" ref="S916:X916" si="657">SUM(S917:S977)</f>
        <v>0</v>
      </c>
      <c r="T916" s="784">
        <f t="shared" si="657"/>
        <v>0</v>
      </c>
      <c r="U916" s="784">
        <f t="shared" si="657"/>
        <v>0</v>
      </c>
      <c r="V916" s="784">
        <f t="shared" si="657"/>
        <v>0</v>
      </c>
      <c r="W916" s="784">
        <f t="shared" si="657"/>
        <v>0</v>
      </c>
      <c r="X916" s="784">
        <f t="shared" si="657"/>
        <v>0</v>
      </c>
      <c r="Y916" s="784">
        <f>SUM(Y917:Y977)</f>
        <v>14120</v>
      </c>
      <c r="Z916" s="784">
        <f t="shared" ref="Z916:AA916" si="658">SUM(Z917:Z977)</f>
        <v>175180.12999999986</v>
      </c>
      <c r="AA916" s="784">
        <f t="shared" si="658"/>
        <v>61000</v>
      </c>
      <c r="AB916" s="784"/>
      <c r="AC916" s="784">
        <f>SUM(AA916:AB916)</f>
        <v>61000</v>
      </c>
      <c r="AD916" s="784">
        <f>SUM(AD917:AD977)</f>
        <v>2163161.5599999987</v>
      </c>
      <c r="AE916" s="784">
        <f>SUM(AE917:AE977)</f>
        <v>2163161.5599999987</v>
      </c>
      <c r="AF916" s="784">
        <f t="shared" ref="AF916:AG916" si="659">SUM(AF917:AF977)</f>
        <v>0</v>
      </c>
      <c r="AG916" s="786">
        <f t="shared" si="659"/>
        <v>0</v>
      </c>
      <c r="AH916" s="722">
        <f>SUM(AH917:AH977)</f>
        <v>61</v>
      </c>
      <c r="AI916" s="784">
        <f>SUM(AI917:AI977)</f>
        <v>25957999.71999998</v>
      </c>
    </row>
    <row r="917" spans="1:35" x14ac:dyDescent="0.2">
      <c r="A917" s="704"/>
      <c r="B917" s="711">
        <v>1</v>
      </c>
      <c r="C917" s="735">
        <v>2640.33</v>
      </c>
      <c r="D917" s="735"/>
      <c r="E917" s="735"/>
      <c r="F917" s="735"/>
      <c r="G917" s="735"/>
      <c r="H917" s="735"/>
      <c r="I917" s="735"/>
      <c r="J917" s="735">
        <v>0</v>
      </c>
      <c r="K917" s="735">
        <f t="shared" si="642"/>
        <v>2640.33</v>
      </c>
      <c r="L917" s="735">
        <v>1000</v>
      </c>
      <c r="M917" s="735"/>
      <c r="N917" s="735">
        <f t="shared" si="638"/>
        <v>1000</v>
      </c>
      <c r="O917" s="735">
        <f t="shared" si="639"/>
        <v>32683.96</v>
      </c>
      <c r="P917" s="735">
        <f t="shared" si="640"/>
        <v>32683.96</v>
      </c>
      <c r="Q917" s="711">
        <v>1</v>
      </c>
      <c r="R917" s="735">
        <v>2640.33</v>
      </c>
      <c r="S917" s="735"/>
      <c r="T917" s="735"/>
      <c r="U917" s="735"/>
      <c r="V917" s="735"/>
      <c r="W917" s="735"/>
      <c r="X917" s="735"/>
      <c r="Y917" s="735">
        <v>0</v>
      </c>
      <c r="Z917" s="735">
        <f t="shared" ref="Z917:Z977" si="660">SUM(R917:Y917)</f>
        <v>2640.33</v>
      </c>
      <c r="AA917" s="735">
        <v>1000</v>
      </c>
      <c r="AB917" s="735"/>
      <c r="AC917" s="735">
        <f t="shared" ref="AC917:AC977" si="661">SUM(AA917:AB917)</f>
        <v>1000</v>
      </c>
      <c r="AD917" s="735">
        <f t="shared" ref="AD917:AD977" si="662">(Z917*12)+AC917</f>
        <v>32683.96</v>
      </c>
      <c r="AE917" s="735">
        <f t="shared" ref="AE917:AE977" si="663">Q917*AD917</f>
        <v>32683.96</v>
      </c>
      <c r="AF917" s="735">
        <f t="shared" si="653"/>
        <v>0</v>
      </c>
      <c r="AG917" s="824">
        <f t="shared" si="654"/>
        <v>0</v>
      </c>
      <c r="AH917" s="711">
        <v>1</v>
      </c>
      <c r="AI917" s="735">
        <f t="shared" ref="AI917:AI977" si="664">(AE917*12)+AH917</f>
        <v>392208.52</v>
      </c>
    </row>
    <row r="918" spans="1:35" x14ac:dyDescent="0.2">
      <c r="A918" s="704"/>
      <c r="B918" s="711">
        <v>1</v>
      </c>
      <c r="C918" s="735">
        <v>2640.33</v>
      </c>
      <c r="D918" s="735"/>
      <c r="E918" s="735"/>
      <c r="F918" s="735"/>
      <c r="G918" s="735"/>
      <c r="H918" s="735"/>
      <c r="I918" s="735"/>
      <c r="J918" s="735">
        <v>790</v>
      </c>
      <c r="K918" s="735">
        <f t="shared" si="642"/>
        <v>3430.33</v>
      </c>
      <c r="L918" s="735">
        <v>1000</v>
      </c>
      <c r="M918" s="735"/>
      <c r="N918" s="735">
        <f t="shared" si="638"/>
        <v>1000</v>
      </c>
      <c r="O918" s="735">
        <f t="shared" si="639"/>
        <v>42163.96</v>
      </c>
      <c r="P918" s="735">
        <f t="shared" si="640"/>
        <v>42163.96</v>
      </c>
      <c r="Q918" s="711">
        <v>1</v>
      </c>
      <c r="R918" s="735">
        <v>2640.33</v>
      </c>
      <c r="S918" s="735"/>
      <c r="T918" s="735"/>
      <c r="U918" s="735"/>
      <c r="V918" s="735"/>
      <c r="W918" s="735"/>
      <c r="X918" s="735"/>
      <c r="Y918" s="735">
        <v>790</v>
      </c>
      <c r="Z918" s="735">
        <f t="shared" si="660"/>
        <v>3430.33</v>
      </c>
      <c r="AA918" s="735">
        <v>1000</v>
      </c>
      <c r="AB918" s="735"/>
      <c r="AC918" s="735">
        <f t="shared" si="661"/>
        <v>1000</v>
      </c>
      <c r="AD918" s="735">
        <f t="shared" si="662"/>
        <v>42163.96</v>
      </c>
      <c r="AE918" s="735">
        <f t="shared" si="663"/>
        <v>42163.96</v>
      </c>
      <c r="AF918" s="735">
        <f t="shared" si="653"/>
        <v>0</v>
      </c>
      <c r="AG918" s="824">
        <f t="shared" si="654"/>
        <v>0</v>
      </c>
      <c r="AH918" s="711">
        <v>1</v>
      </c>
      <c r="AI918" s="735">
        <f t="shared" si="664"/>
        <v>505968.52</v>
      </c>
    </row>
    <row r="919" spans="1:35" x14ac:dyDescent="0.2">
      <c r="A919" s="704"/>
      <c r="B919" s="711">
        <v>1</v>
      </c>
      <c r="C919" s="735">
        <v>2640.33</v>
      </c>
      <c r="D919" s="735"/>
      <c r="E919" s="735"/>
      <c r="F919" s="735"/>
      <c r="G919" s="735"/>
      <c r="H919" s="735"/>
      <c r="I919" s="735"/>
      <c r="J919" s="735">
        <v>800</v>
      </c>
      <c r="K919" s="735">
        <f t="shared" si="642"/>
        <v>3440.33</v>
      </c>
      <c r="L919" s="735">
        <v>1000</v>
      </c>
      <c r="M919" s="735"/>
      <c r="N919" s="735">
        <f t="shared" si="638"/>
        <v>1000</v>
      </c>
      <c r="O919" s="735">
        <f t="shared" si="639"/>
        <v>42283.96</v>
      </c>
      <c r="P919" s="735">
        <f t="shared" si="640"/>
        <v>42283.96</v>
      </c>
      <c r="Q919" s="711">
        <v>1</v>
      </c>
      <c r="R919" s="735">
        <v>2640.33</v>
      </c>
      <c r="S919" s="735"/>
      <c r="T919" s="735"/>
      <c r="U919" s="735"/>
      <c r="V919" s="735"/>
      <c r="W919" s="735"/>
      <c r="X919" s="735"/>
      <c r="Y919" s="735">
        <v>800</v>
      </c>
      <c r="Z919" s="735">
        <f t="shared" si="660"/>
        <v>3440.33</v>
      </c>
      <c r="AA919" s="735">
        <v>1000</v>
      </c>
      <c r="AB919" s="735"/>
      <c r="AC919" s="735">
        <f t="shared" si="661"/>
        <v>1000</v>
      </c>
      <c r="AD919" s="735">
        <f t="shared" si="662"/>
        <v>42283.96</v>
      </c>
      <c r="AE919" s="735">
        <f t="shared" si="663"/>
        <v>42283.96</v>
      </c>
      <c r="AF919" s="735">
        <f t="shared" si="653"/>
        <v>0</v>
      </c>
      <c r="AG919" s="824">
        <f t="shared" si="654"/>
        <v>0</v>
      </c>
      <c r="AH919" s="711">
        <v>1</v>
      </c>
      <c r="AI919" s="735">
        <f t="shared" si="664"/>
        <v>507408.52</v>
      </c>
    </row>
    <row r="920" spans="1:35" x14ac:dyDescent="0.2">
      <c r="A920" s="704"/>
      <c r="B920" s="711">
        <v>1</v>
      </c>
      <c r="C920" s="735">
        <v>2640.33</v>
      </c>
      <c r="D920" s="735"/>
      <c r="E920" s="735"/>
      <c r="F920" s="735"/>
      <c r="G920" s="735"/>
      <c r="H920" s="735"/>
      <c r="I920" s="735"/>
      <c r="J920" s="735">
        <v>0</v>
      </c>
      <c r="K920" s="735">
        <f t="shared" si="642"/>
        <v>2640.33</v>
      </c>
      <c r="L920" s="735">
        <v>1000</v>
      </c>
      <c r="M920" s="735"/>
      <c r="N920" s="735">
        <f t="shared" si="638"/>
        <v>1000</v>
      </c>
      <c r="O920" s="735">
        <f t="shared" si="639"/>
        <v>32683.96</v>
      </c>
      <c r="P920" s="735">
        <f t="shared" si="640"/>
        <v>32683.96</v>
      </c>
      <c r="Q920" s="711">
        <v>1</v>
      </c>
      <c r="R920" s="735">
        <v>2640.33</v>
      </c>
      <c r="S920" s="735"/>
      <c r="T920" s="735"/>
      <c r="U920" s="735"/>
      <c r="V920" s="735"/>
      <c r="W920" s="735"/>
      <c r="X920" s="735"/>
      <c r="Y920" s="735">
        <v>0</v>
      </c>
      <c r="Z920" s="735">
        <f t="shared" si="660"/>
        <v>2640.33</v>
      </c>
      <c r="AA920" s="735">
        <v>1000</v>
      </c>
      <c r="AB920" s="735"/>
      <c r="AC920" s="735">
        <f t="shared" si="661"/>
        <v>1000</v>
      </c>
      <c r="AD920" s="735">
        <f t="shared" si="662"/>
        <v>32683.96</v>
      </c>
      <c r="AE920" s="735">
        <f t="shared" si="663"/>
        <v>32683.96</v>
      </c>
      <c r="AF920" s="735">
        <f t="shared" si="653"/>
        <v>0</v>
      </c>
      <c r="AG920" s="824">
        <f t="shared" si="654"/>
        <v>0</v>
      </c>
      <c r="AH920" s="711">
        <v>1</v>
      </c>
      <c r="AI920" s="735">
        <f t="shared" si="664"/>
        <v>392208.52</v>
      </c>
    </row>
    <row r="921" spans="1:35" x14ac:dyDescent="0.2">
      <c r="A921" s="704"/>
      <c r="B921" s="711">
        <v>1</v>
      </c>
      <c r="C921" s="735">
        <v>2640.33</v>
      </c>
      <c r="D921" s="735"/>
      <c r="E921" s="735"/>
      <c r="F921" s="735"/>
      <c r="G921" s="735"/>
      <c r="H921" s="735"/>
      <c r="I921" s="735"/>
      <c r="J921" s="735">
        <v>100</v>
      </c>
      <c r="K921" s="735">
        <f t="shared" si="642"/>
        <v>2740.33</v>
      </c>
      <c r="L921" s="735">
        <v>1000</v>
      </c>
      <c r="M921" s="735"/>
      <c r="N921" s="735">
        <f t="shared" si="638"/>
        <v>1000</v>
      </c>
      <c r="O921" s="735">
        <f t="shared" si="639"/>
        <v>33883.96</v>
      </c>
      <c r="P921" s="735">
        <f t="shared" si="640"/>
        <v>33883.96</v>
      </c>
      <c r="Q921" s="711">
        <v>1</v>
      </c>
      <c r="R921" s="735">
        <v>2640.33</v>
      </c>
      <c r="S921" s="735"/>
      <c r="T921" s="735"/>
      <c r="U921" s="735"/>
      <c r="V921" s="735"/>
      <c r="W921" s="735"/>
      <c r="X921" s="735"/>
      <c r="Y921" s="735">
        <v>100</v>
      </c>
      <c r="Z921" s="735">
        <f t="shared" si="660"/>
        <v>2740.33</v>
      </c>
      <c r="AA921" s="735">
        <v>1000</v>
      </c>
      <c r="AB921" s="735"/>
      <c r="AC921" s="735">
        <f t="shared" si="661"/>
        <v>1000</v>
      </c>
      <c r="AD921" s="735">
        <f t="shared" si="662"/>
        <v>33883.96</v>
      </c>
      <c r="AE921" s="735">
        <f t="shared" si="663"/>
        <v>33883.96</v>
      </c>
      <c r="AF921" s="735">
        <f t="shared" si="653"/>
        <v>0</v>
      </c>
      <c r="AG921" s="824">
        <f t="shared" si="654"/>
        <v>0</v>
      </c>
      <c r="AH921" s="711">
        <v>1</v>
      </c>
      <c r="AI921" s="735">
        <f t="shared" si="664"/>
        <v>406608.52</v>
      </c>
    </row>
    <row r="922" spans="1:35" x14ac:dyDescent="0.2">
      <c r="A922" s="704"/>
      <c r="B922" s="711">
        <v>1</v>
      </c>
      <c r="C922" s="735">
        <v>2640.33</v>
      </c>
      <c r="D922" s="735"/>
      <c r="E922" s="735"/>
      <c r="F922" s="735"/>
      <c r="G922" s="735"/>
      <c r="H922" s="735"/>
      <c r="I922" s="735"/>
      <c r="J922" s="735">
        <v>0</v>
      </c>
      <c r="K922" s="735">
        <f t="shared" si="642"/>
        <v>2640.33</v>
      </c>
      <c r="L922" s="735">
        <v>1000</v>
      </c>
      <c r="M922" s="735"/>
      <c r="N922" s="735">
        <f t="shared" ref="N922:N985" si="665">SUM(L922:M922)</f>
        <v>1000</v>
      </c>
      <c r="O922" s="735">
        <f t="shared" ref="O922:O977" si="666">(K922*12)+N922</f>
        <v>32683.96</v>
      </c>
      <c r="P922" s="735">
        <f t="shared" ref="P922:P977" si="667">B922*O922</f>
        <v>32683.96</v>
      </c>
      <c r="Q922" s="711">
        <v>1</v>
      </c>
      <c r="R922" s="735">
        <v>2640.33</v>
      </c>
      <c r="S922" s="735"/>
      <c r="T922" s="735"/>
      <c r="U922" s="735"/>
      <c r="V922" s="735"/>
      <c r="W922" s="735"/>
      <c r="X922" s="735"/>
      <c r="Y922" s="735">
        <v>0</v>
      </c>
      <c r="Z922" s="735">
        <f t="shared" si="660"/>
        <v>2640.33</v>
      </c>
      <c r="AA922" s="735">
        <v>1000</v>
      </c>
      <c r="AB922" s="735"/>
      <c r="AC922" s="735">
        <f t="shared" si="661"/>
        <v>1000</v>
      </c>
      <c r="AD922" s="735">
        <f t="shared" si="662"/>
        <v>32683.96</v>
      </c>
      <c r="AE922" s="735">
        <f t="shared" si="663"/>
        <v>32683.96</v>
      </c>
      <c r="AF922" s="735">
        <f t="shared" si="653"/>
        <v>0</v>
      </c>
      <c r="AG922" s="824">
        <f t="shared" si="654"/>
        <v>0</v>
      </c>
      <c r="AH922" s="711">
        <v>1</v>
      </c>
      <c r="AI922" s="735">
        <f t="shared" si="664"/>
        <v>392208.52</v>
      </c>
    </row>
    <row r="923" spans="1:35" x14ac:dyDescent="0.2">
      <c r="A923" s="704"/>
      <c r="B923" s="711">
        <v>1</v>
      </c>
      <c r="C923" s="735">
        <v>2640.33</v>
      </c>
      <c r="D923" s="735"/>
      <c r="E923" s="735"/>
      <c r="F923" s="735"/>
      <c r="G923" s="735"/>
      <c r="H923" s="735"/>
      <c r="I923" s="735"/>
      <c r="J923" s="735">
        <v>500</v>
      </c>
      <c r="K923" s="735">
        <f t="shared" ref="K923:K986" si="668">SUM(C923:J923)</f>
        <v>3140.33</v>
      </c>
      <c r="L923" s="735">
        <v>1000</v>
      </c>
      <c r="M923" s="735"/>
      <c r="N923" s="735">
        <f t="shared" si="665"/>
        <v>1000</v>
      </c>
      <c r="O923" s="735">
        <f t="shared" si="666"/>
        <v>38683.96</v>
      </c>
      <c r="P923" s="735">
        <f t="shared" si="667"/>
        <v>38683.96</v>
      </c>
      <c r="Q923" s="711">
        <v>1</v>
      </c>
      <c r="R923" s="735">
        <v>2640.33</v>
      </c>
      <c r="S923" s="735"/>
      <c r="T923" s="735"/>
      <c r="U923" s="735"/>
      <c r="V923" s="735"/>
      <c r="W923" s="735"/>
      <c r="X923" s="735"/>
      <c r="Y923" s="735">
        <v>500</v>
      </c>
      <c r="Z923" s="735">
        <f t="shared" si="660"/>
        <v>3140.33</v>
      </c>
      <c r="AA923" s="735">
        <v>1000</v>
      </c>
      <c r="AB923" s="735"/>
      <c r="AC923" s="735">
        <f t="shared" si="661"/>
        <v>1000</v>
      </c>
      <c r="AD923" s="735">
        <f t="shared" si="662"/>
        <v>38683.96</v>
      </c>
      <c r="AE923" s="735">
        <f t="shared" si="663"/>
        <v>38683.96</v>
      </c>
      <c r="AF923" s="735">
        <f t="shared" si="653"/>
        <v>0</v>
      </c>
      <c r="AG923" s="824">
        <f t="shared" si="654"/>
        <v>0</v>
      </c>
      <c r="AH923" s="711">
        <v>1</v>
      </c>
      <c r="AI923" s="735">
        <f t="shared" si="664"/>
        <v>464208.52</v>
      </c>
    </row>
    <row r="924" spans="1:35" x14ac:dyDescent="0.2">
      <c r="A924" s="704"/>
      <c r="B924" s="711">
        <v>1</v>
      </c>
      <c r="C924" s="735">
        <v>2640.33</v>
      </c>
      <c r="D924" s="735"/>
      <c r="E924" s="735"/>
      <c r="F924" s="735"/>
      <c r="G924" s="735"/>
      <c r="H924" s="735"/>
      <c r="I924" s="735"/>
      <c r="J924" s="735">
        <v>0</v>
      </c>
      <c r="K924" s="735">
        <f t="shared" si="668"/>
        <v>2640.33</v>
      </c>
      <c r="L924" s="735">
        <v>1000</v>
      </c>
      <c r="M924" s="735"/>
      <c r="N924" s="735">
        <f t="shared" si="665"/>
        <v>1000</v>
      </c>
      <c r="O924" s="735">
        <f t="shared" si="666"/>
        <v>32683.96</v>
      </c>
      <c r="P924" s="735">
        <f t="shared" si="667"/>
        <v>32683.96</v>
      </c>
      <c r="Q924" s="711">
        <v>1</v>
      </c>
      <c r="R924" s="735">
        <v>2640.33</v>
      </c>
      <c r="S924" s="735"/>
      <c r="T924" s="735"/>
      <c r="U924" s="735"/>
      <c r="V924" s="735"/>
      <c r="W924" s="735"/>
      <c r="X924" s="735"/>
      <c r="Y924" s="735">
        <v>0</v>
      </c>
      <c r="Z924" s="735">
        <f t="shared" si="660"/>
        <v>2640.33</v>
      </c>
      <c r="AA924" s="735">
        <v>1000</v>
      </c>
      <c r="AB924" s="735"/>
      <c r="AC924" s="735">
        <f t="shared" si="661"/>
        <v>1000</v>
      </c>
      <c r="AD924" s="735">
        <f t="shared" si="662"/>
        <v>32683.96</v>
      </c>
      <c r="AE924" s="735">
        <f t="shared" si="663"/>
        <v>32683.96</v>
      </c>
      <c r="AF924" s="735">
        <f t="shared" si="653"/>
        <v>0</v>
      </c>
      <c r="AG924" s="824">
        <f t="shared" si="654"/>
        <v>0</v>
      </c>
      <c r="AH924" s="711">
        <v>1</v>
      </c>
      <c r="AI924" s="735">
        <f t="shared" si="664"/>
        <v>392208.52</v>
      </c>
    </row>
    <row r="925" spans="1:35" x14ac:dyDescent="0.2">
      <c r="A925" s="704"/>
      <c r="B925" s="711">
        <v>1</v>
      </c>
      <c r="C925" s="735">
        <v>2640.33</v>
      </c>
      <c r="D925" s="735"/>
      <c r="E925" s="735"/>
      <c r="F925" s="735"/>
      <c r="G925" s="735"/>
      <c r="H925" s="735"/>
      <c r="I925" s="735"/>
      <c r="J925" s="735">
        <v>0</v>
      </c>
      <c r="K925" s="735">
        <f t="shared" si="668"/>
        <v>2640.33</v>
      </c>
      <c r="L925" s="735">
        <v>1000</v>
      </c>
      <c r="M925" s="735"/>
      <c r="N925" s="735">
        <f t="shared" si="665"/>
        <v>1000</v>
      </c>
      <c r="O925" s="735">
        <f t="shared" si="666"/>
        <v>32683.96</v>
      </c>
      <c r="P925" s="735">
        <f t="shared" si="667"/>
        <v>32683.96</v>
      </c>
      <c r="Q925" s="711">
        <v>1</v>
      </c>
      <c r="R925" s="735">
        <v>2640.33</v>
      </c>
      <c r="S925" s="735"/>
      <c r="T925" s="735"/>
      <c r="U925" s="735"/>
      <c r="V925" s="735"/>
      <c r="W925" s="735"/>
      <c r="X925" s="735"/>
      <c r="Y925" s="735">
        <v>0</v>
      </c>
      <c r="Z925" s="735">
        <f t="shared" si="660"/>
        <v>2640.33</v>
      </c>
      <c r="AA925" s="735">
        <v>1000</v>
      </c>
      <c r="AB925" s="735"/>
      <c r="AC925" s="735">
        <f t="shared" si="661"/>
        <v>1000</v>
      </c>
      <c r="AD925" s="735">
        <f t="shared" si="662"/>
        <v>32683.96</v>
      </c>
      <c r="AE925" s="735">
        <f t="shared" si="663"/>
        <v>32683.96</v>
      </c>
      <c r="AF925" s="735">
        <f t="shared" si="653"/>
        <v>0</v>
      </c>
      <c r="AG925" s="824">
        <f t="shared" si="654"/>
        <v>0</v>
      </c>
      <c r="AH925" s="711">
        <v>1</v>
      </c>
      <c r="AI925" s="735">
        <f t="shared" si="664"/>
        <v>392208.52</v>
      </c>
    </row>
    <row r="926" spans="1:35" x14ac:dyDescent="0.2">
      <c r="A926" s="704"/>
      <c r="B926" s="711">
        <v>1</v>
      </c>
      <c r="C926" s="735">
        <v>2640.33</v>
      </c>
      <c r="D926" s="735"/>
      <c r="E926" s="735"/>
      <c r="F926" s="735"/>
      <c r="G926" s="735"/>
      <c r="H926" s="735"/>
      <c r="I926" s="735"/>
      <c r="J926" s="735">
        <v>240</v>
      </c>
      <c r="K926" s="735">
        <f t="shared" si="668"/>
        <v>2880.33</v>
      </c>
      <c r="L926" s="735">
        <v>1000</v>
      </c>
      <c r="M926" s="735"/>
      <c r="N926" s="735">
        <f t="shared" si="665"/>
        <v>1000</v>
      </c>
      <c r="O926" s="735">
        <f t="shared" si="666"/>
        <v>35563.96</v>
      </c>
      <c r="P926" s="735">
        <f t="shared" si="667"/>
        <v>35563.96</v>
      </c>
      <c r="Q926" s="711">
        <v>1</v>
      </c>
      <c r="R926" s="735">
        <v>2640.33</v>
      </c>
      <c r="S926" s="735"/>
      <c r="T926" s="735"/>
      <c r="U926" s="735"/>
      <c r="V926" s="735"/>
      <c r="W926" s="735"/>
      <c r="X926" s="735"/>
      <c r="Y926" s="735">
        <v>240</v>
      </c>
      <c r="Z926" s="735">
        <f t="shared" si="660"/>
        <v>2880.33</v>
      </c>
      <c r="AA926" s="735">
        <v>1000</v>
      </c>
      <c r="AB926" s="735"/>
      <c r="AC926" s="735">
        <f t="shared" si="661"/>
        <v>1000</v>
      </c>
      <c r="AD926" s="735">
        <f t="shared" si="662"/>
        <v>35563.96</v>
      </c>
      <c r="AE926" s="735">
        <f t="shared" si="663"/>
        <v>35563.96</v>
      </c>
      <c r="AF926" s="735">
        <f t="shared" si="653"/>
        <v>0</v>
      </c>
      <c r="AG926" s="824">
        <f t="shared" si="654"/>
        <v>0</v>
      </c>
      <c r="AH926" s="711">
        <v>1</v>
      </c>
      <c r="AI926" s="735">
        <f t="shared" si="664"/>
        <v>426768.52</v>
      </c>
    </row>
    <row r="927" spans="1:35" x14ac:dyDescent="0.2">
      <c r="A927" s="704"/>
      <c r="B927" s="711">
        <v>1</v>
      </c>
      <c r="C927" s="735">
        <v>2640.33</v>
      </c>
      <c r="D927" s="735"/>
      <c r="E927" s="735"/>
      <c r="F927" s="735"/>
      <c r="G927" s="735"/>
      <c r="H927" s="735"/>
      <c r="I927" s="735"/>
      <c r="J927" s="735">
        <v>390</v>
      </c>
      <c r="K927" s="735">
        <f t="shared" si="668"/>
        <v>3030.33</v>
      </c>
      <c r="L927" s="735">
        <v>1000</v>
      </c>
      <c r="M927" s="735"/>
      <c r="N927" s="735">
        <f t="shared" si="665"/>
        <v>1000</v>
      </c>
      <c r="O927" s="735">
        <f t="shared" si="666"/>
        <v>37363.96</v>
      </c>
      <c r="P927" s="735">
        <f t="shared" si="667"/>
        <v>37363.96</v>
      </c>
      <c r="Q927" s="711">
        <v>1</v>
      </c>
      <c r="R927" s="735">
        <v>2640.33</v>
      </c>
      <c r="S927" s="735"/>
      <c r="T927" s="735"/>
      <c r="U927" s="735"/>
      <c r="V927" s="735"/>
      <c r="W927" s="735"/>
      <c r="X927" s="735"/>
      <c r="Y927" s="735">
        <v>390</v>
      </c>
      <c r="Z927" s="735">
        <f t="shared" si="660"/>
        <v>3030.33</v>
      </c>
      <c r="AA927" s="735">
        <v>1000</v>
      </c>
      <c r="AB927" s="735"/>
      <c r="AC927" s="735">
        <f t="shared" si="661"/>
        <v>1000</v>
      </c>
      <c r="AD927" s="735">
        <f t="shared" si="662"/>
        <v>37363.96</v>
      </c>
      <c r="AE927" s="735">
        <f t="shared" si="663"/>
        <v>37363.96</v>
      </c>
      <c r="AF927" s="735">
        <f t="shared" si="653"/>
        <v>0</v>
      </c>
      <c r="AG927" s="824">
        <f t="shared" si="654"/>
        <v>0</v>
      </c>
      <c r="AH927" s="711">
        <v>1</v>
      </c>
      <c r="AI927" s="735">
        <f t="shared" si="664"/>
        <v>448368.52</v>
      </c>
    </row>
    <row r="928" spans="1:35" x14ac:dyDescent="0.2">
      <c r="A928" s="704"/>
      <c r="B928" s="711">
        <v>1</v>
      </c>
      <c r="C928" s="735">
        <v>2640.33</v>
      </c>
      <c r="D928" s="735"/>
      <c r="E928" s="735"/>
      <c r="F928" s="735"/>
      <c r="G928" s="735"/>
      <c r="H928" s="735"/>
      <c r="I928" s="735"/>
      <c r="J928" s="735">
        <v>0</v>
      </c>
      <c r="K928" s="735">
        <f t="shared" si="668"/>
        <v>2640.33</v>
      </c>
      <c r="L928" s="735">
        <v>1000</v>
      </c>
      <c r="M928" s="735"/>
      <c r="N928" s="735">
        <f t="shared" si="665"/>
        <v>1000</v>
      </c>
      <c r="O928" s="735">
        <f t="shared" si="666"/>
        <v>32683.96</v>
      </c>
      <c r="P928" s="735">
        <f t="shared" si="667"/>
        <v>32683.96</v>
      </c>
      <c r="Q928" s="711">
        <v>1</v>
      </c>
      <c r="R928" s="735">
        <v>2640.33</v>
      </c>
      <c r="S928" s="735"/>
      <c r="T928" s="735"/>
      <c r="U928" s="735"/>
      <c r="V928" s="735"/>
      <c r="W928" s="735"/>
      <c r="X928" s="735"/>
      <c r="Y928" s="735">
        <v>0</v>
      </c>
      <c r="Z928" s="735">
        <f t="shared" si="660"/>
        <v>2640.33</v>
      </c>
      <c r="AA928" s="735">
        <v>1000</v>
      </c>
      <c r="AB928" s="735"/>
      <c r="AC928" s="735">
        <f t="shared" si="661"/>
        <v>1000</v>
      </c>
      <c r="AD928" s="735">
        <f t="shared" si="662"/>
        <v>32683.96</v>
      </c>
      <c r="AE928" s="735">
        <f t="shared" si="663"/>
        <v>32683.96</v>
      </c>
      <c r="AF928" s="735">
        <f t="shared" si="653"/>
        <v>0</v>
      </c>
      <c r="AG928" s="824">
        <f t="shared" si="654"/>
        <v>0</v>
      </c>
      <c r="AH928" s="711">
        <v>1</v>
      </c>
      <c r="AI928" s="735">
        <f t="shared" si="664"/>
        <v>392208.52</v>
      </c>
    </row>
    <row r="929" spans="1:35" x14ac:dyDescent="0.2">
      <c r="A929" s="704"/>
      <c r="B929" s="711">
        <v>1</v>
      </c>
      <c r="C929" s="735">
        <v>2640.33</v>
      </c>
      <c r="D929" s="735"/>
      <c r="E929" s="735"/>
      <c r="F929" s="735"/>
      <c r="G929" s="735"/>
      <c r="H929" s="735"/>
      <c r="I929" s="735"/>
      <c r="J929" s="735">
        <v>0</v>
      </c>
      <c r="K929" s="735">
        <f t="shared" si="668"/>
        <v>2640.33</v>
      </c>
      <c r="L929" s="735">
        <v>1000</v>
      </c>
      <c r="M929" s="735"/>
      <c r="N929" s="735">
        <f t="shared" si="665"/>
        <v>1000</v>
      </c>
      <c r="O929" s="735">
        <f t="shared" si="666"/>
        <v>32683.96</v>
      </c>
      <c r="P929" s="735">
        <f t="shared" si="667"/>
        <v>32683.96</v>
      </c>
      <c r="Q929" s="711">
        <v>1</v>
      </c>
      <c r="R929" s="735">
        <v>2640.33</v>
      </c>
      <c r="S929" s="735"/>
      <c r="T929" s="735"/>
      <c r="U929" s="735"/>
      <c r="V929" s="735"/>
      <c r="W929" s="735"/>
      <c r="X929" s="735"/>
      <c r="Y929" s="735">
        <v>0</v>
      </c>
      <c r="Z929" s="735">
        <f t="shared" si="660"/>
        <v>2640.33</v>
      </c>
      <c r="AA929" s="735">
        <v>1000</v>
      </c>
      <c r="AB929" s="735"/>
      <c r="AC929" s="735">
        <f t="shared" si="661"/>
        <v>1000</v>
      </c>
      <c r="AD929" s="735">
        <f t="shared" si="662"/>
        <v>32683.96</v>
      </c>
      <c r="AE929" s="735">
        <f t="shared" si="663"/>
        <v>32683.96</v>
      </c>
      <c r="AF929" s="735">
        <f t="shared" si="653"/>
        <v>0</v>
      </c>
      <c r="AG929" s="824">
        <f t="shared" si="654"/>
        <v>0</v>
      </c>
      <c r="AH929" s="711">
        <v>1</v>
      </c>
      <c r="AI929" s="735">
        <f t="shared" si="664"/>
        <v>392208.52</v>
      </c>
    </row>
    <row r="930" spans="1:35" x14ac:dyDescent="0.2">
      <c r="A930" s="704"/>
      <c r="B930" s="711">
        <v>1</v>
      </c>
      <c r="C930" s="735">
        <v>2640.33</v>
      </c>
      <c r="D930" s="735"/>
      <c r="E930" s="735"/>
      <c r="F930" s="735"/>
      <c r="G930" s="735"/>
      <c r="H930" s="735"/>
      <c r="I930" s="735"/>
      <c r="J930" s="735">
        <v>0</v>
      </c>
      <c r="K930" s="735">
        <f t="shared" si="668"/>
        <v>2640.33</v>
      </c>
      <c r="L930" s="735">
        <v>1000</v>
      </c>
      <c r="M930" s="735"/>
      <c r="N930" s="735">
        <f t="shared" si="665"/>
        <v>1000</v>
      </c>
      <c r="O930" s="735">
        <f t="shared" si="666"/>
        <v>32683.96</v>
      </c>
      <c r="P930" s="735">
        <f t="shared" si="667"/>
        <v>32683.96</v>
      </c>
      <c r="Q930" s="711">
        <v>1</v>
      </c>
      <c r="R930" s="735">
        <v>2640.33</v>
      </c>
      <c r="S930" s="735"/>
      <c r="T930" s="735"/>
      <c r="U930" s="735"/>
      <c r="V930" s="735"/>
      <c r="W930" s="735"/>
      <c r="X930" s="735"/>
      <c r="Y930" s="735">
        <v>0</v>
      </c>
      <c r="Z930" s="735">
        <f t="shared" si="660"/>
        <v>2640.33</v>
      </c>
      <c r="AA930" s="735">
        <v>1000</v>
      </c>
      <c r="AB930" s="735"/>
      <c r="AC930" s="735">
        <f t="shared" si="661"/>
        <v>1000</v>
      </c>
      <c r="AD930" s="735">
        <f t="shared" si="662"/>
        <v>32683.96</v>
      </c>
      <c r="AE930" s="735">
        <f t="shared" si="663"/>
        <v>32683.96</v>
      </c>
      <c r="AF930" s="735">
        <f t="shared" si="653"/>
        <v>0</v>
      </c>
      <c r="AG930" s="824">
        <f t="shared" si="654"/>
        <v>0</v>
      </c>
      <c r="AH930" s="711">
        <v>1</v>
      </c>
      <c r="AI930" s="735">
        <f t="shared" si="664"/>
        <v>392208.52</v>
      </c>
    </row>
    <row r="931" spans="1:35" x14ac:dyDescent="0.2">
      <c r="A931" s="704"/>
      <c r="B931" s="711">
        <v>1</v>
      </c>
      <c r="C931" s="735">
        <v>2640.33</v>
      </c>
      <c r="D931" s="735"/>
      <c r="E931" s="735"/>
      <c r="F931" s="735"/>
      <c r="G931" s="735"/>
      <c r="H931" s="735"/>
      <c r="I931" s="735"/>
      <c r="J931" s="735">
        <v>600</v>
      </c>
      <c r="K931" s="735">
        <f t="shared" si="668"/>
        <v>3240.33</v>
      </c>
      <c r="L931" s="735">
        <v>1000</v>
      </c>
      <c r="M931" s="735"/>
      <c r="N931" s="735">
        <f t="shared" si="665"/>
        <v>1000</v>
      </c>
      <c r="O931" s="735">
        <f t="shared" si="666"/>
        <v>39883.96</v>
      </c>
      <c r="P931" s="735">
        <f t="shared" si="667"/>
        <v>39883.96</v>
      </c>
      <c r="Q931" s="711">
        <v>1</v>
      </c>
      <c r="R931" s="735">
        <v>2640.33</v>
      </c>
      <c r="S931" s="735"/>
      <c r="T931" s="735"/>
      <c r="U931" s="735"/>
      <c r="V931" s="735"/>
      <c r="W931" s="735"/>
      <c r="X931" s="735"/>
      <c r="Y931" s="735">
        <v>600</v>
      </c>
      <c r="Z931" s="735">
        <f t="shared" si="660"/>
        <v>3240.33</v>
      </c>
      <c r="AA931" s="735">
        <v>1000</v>
      </c>
      <c r="AB931" s="735"/>
      <c r="AC931" s="735">
        <f t="shared" si="661"/>
        <v>1000</v>
      </c>
      <c r="AD931" s="735">
        <f t="shared" si="662"/>
        <v>39883.96</v>
      </c>
      <c r="AE931" s="735">
        <f t="shared" si="663"/>
        <v>39883.96</v>
      </c>
      <c r="AF931" s="735">
        <f t="shared" si="653"/>
        <v>0</v>
      </c>
      <c r="AG931" s="824">
        <f t="shared" si="654"/>
        <v>0</v>
      </c>
      <c r="AH931" s="711">
        <v>1</v>
      </c>
      <c r="AI931" s="735">
        <f t="shared" si="664"/>
        <v>478608.52</v>
      </c>
    </row>
    <row r="932" spans="1:35" x14ac:dyDescent="0.2">
      <c r="A932" s="704"/>
      <c r="B932" s="711">
        <v>1</v>
      </c>
      <c r="C932" s="735">
        <v>2640.33</v>
      </c>
      <c r="D932" s="735"/>
      <c r="E932" s="735"/>
      <c r="F932" s="735"/>
      <c r="G932" s="735"/>
      <c r="H932" s="735"/>
      <c r="I932" s="735"/>
      <c r="J932" s="735">
        <v>0</v>
      </c>
      <c r="K932" s="735">
        <f t="shared" si="668"/>
        <v>2640.33</v>
      </c>
      <c r="L932" s="735">
        <v>1000</v>
      </c>
      <c r="M932" s="735"/>
      <c r="N932" s="735">
        <f t="shared" si="665"/>
        <v>1000</v>
      </c>
      <c r="O932" s="735">
        <f t="shared" si="666"/>
        <v>32683.96</v>
      </c>
      <c r="P932" s="735">
        <f t="shared" si="667"/>
        <v>32683.96</v>
      </c>
      <c r="Q932" s="711">
        <v>1</v>
      </c>
      <c r="R932" s="735">
        <v>2640.33</v>
      </c>
      <c r="S932" s="735"/>
      <c r="T932" s="735"/>
      <c r="U932" s="735"/>
      <c r="V932" s="735"/>
      <c r="W932" s="735"/>
      <c r="X932" s="735"/>
      <c r="Y932" s="735">
        <v>0</v>
      </c>
      <c r="Z932" s="735">
        <f t="shared" si="660"/>
        <v>2640.33</v>
      </c>
      <c r="AA932" s="735">
        <v>1000</v>
      </c>
      <c r="AB932" s="735"/>
      <c r="AC932" s="735">
        <f t="shared" si="661"/>
        <v>1000</v>
      </c>
      <c r="AD932" s="735">
        <f t="shared" si="662"/>
        <v>32683.96</v>
      </c>
      <c r="AE932" s="735">
        <f t="shared" si="663"/>
        <v>32683.96</v>
      </c>
      <c r="AF932" s="735">
        <f t="shared" si="653"/>
        <v>0</v>
      </c>
      <c r="AG932" s="824">
        <f t="shared" si="654"/>
        <v>0</v>
      </c>
      <c r="AH932" s="711">
        <v>1</v>
      </c>
      <c r="AI932" s="735">
        <f t="shared" si="664"/>
        <v>392208.52</v>
      </c>
    </row>
    <row r="933" spans="1:35" x14ac:dyDescent="0.2">
      <c r="A933" s="704"/>
      <c r="B933" s="711">
        <v>1</v>
      </c>
      <c r="C933" s="735">
        <v>2640.33</v>
      </c>
      <c r="D933" s="735"/>
      <c r="E933" s="735"/>
      <c r="F933" s="735"/>
      <c r="G933" s="735"/>
      <c r="H933" s="735"/>
      <c r="I933" s="735"/>
      <c r="J933" s="735">
        <v>200</v>
      </c>
      <c r="K933" s="735">
        <f t="shared" si="668"/>
        <v>2840.33</v>
      </c>
      <c r="L933" s="735">
        <v>1000</v>
      </c>
      <c r="M933" s="735"/>
      <c r="N933" s="735">
        <f t="shared" si="665"/>
        <v>1000</v>
      </c>
      <c r="O933" s="735">
        <f t="shared" si="666"/>
        <v>35083.96</v>
      </c>
      <c r="P933" s="735">
        <f t="shared" si="667"/>
        <v>35083.96</v>
      </c>
      <c r="Q933" s="711">
        <v>1</v>
      </c>
      <c r="R933" s="735">
        <v>2640.33</v>
      </c>
      <c r="S933" s="735"/>
      <c r="T933" s="735"/>
      <c r="U933" s="735"/>
      <c r="V933" s="735"/>
      <c r="W933" s="735"/>
      <c r="X933" s="735"/>
      <c r="Y933" s="735">
        <v>200</v>
      </c>
      <c r="Z933" s="735">
        <f t="shared" si="660"/>
        <v>2840.33</v>
      </c>
      <c r="AA933" s="735">
        <v>1000</v>
      </c>
      <c r="AB933" s="735"/>
      <c r="AC933" s="735">
        <f t="shared" si="661"/>
        <v>1000</v>
      </c>
      <c r="AD933" s="735">
        <f t="shared" si="662"/>
        <v>35083.96</v>
      </c>
      <c r="AE933" s="735">
        <f t="shared" si="663"/>
        <v>35083.96</v>
      </c>
      <c r="AF933" s="735">
        <f t="shared" si="653"/>
        <v>0</v>
      </c>
      <c r="AG933" s="824">
        <f t="shared" si="654"/>
        <v>0</v>
      </c>
      <c r="AH933" s="711">
        <v>1</v>
      </c>
      <c r="AI933" s="735">
        <f t="shared" si="664"/>
        <v>421008.52</v>
      </c>
    </row>
    <row r="934" spans="1:35" x14ac:dyDescent="0.2">
      <c r="A934" s="704"/>
      <c r="B934" s="711">
        <v>1</v>
      </c>
      <c r="C934" s="735">
        <v>2640.33</v>
      </c>
      <c r="D934" s="735"/>
      <c r="E934" s="735"/>
      <c r="F934" s="735"/>
      <c r="G934" s="735"/>
      <c r="H934" s="735"/>
      <c r="I934" s="735"/>
      <c r="J934" s="735">
        <v>650</v>
      </c>
      <c r="K934" s="735">
        <f t="shared" si="668"/>
        <v>3290.33</v>
      </c>
      <c r="L934" s="735">
        <v>1000</v>
      </c>
      <c r="M934" s="735"/>
      <c r="N934" s="735">
        <f t="shared" si="665"/>
        <v>1000</v>
      </c>
      <c r="O934" s="735">
        <f t="shared" si="666"/>
        <v>40483.96</v>
      </c>
      <c r="P934" s="735">
        <f t="shared" si="667"/>
        <v>40483.96</v>
      </c>
      <c r="Q934" s="711">
        <v>1</v>
      </c>
      <c r="R934" s="735">
        <v>2640.33</v>
      </c>
      <c r="S934" s="735"/>
      <c r="T934" s="735"/>
      <c r="U934" s="735"/>
      <c r="V934" s="735"/>
      <c r="W934" s="735"/>
      <c r="X934" s="735"/>
      <c r="Y934" s="735">
        <v>650</v>
      </c>
      <c r="Z934" s="735">
        <f t="shared" si="660"/>
        <v>3290.33</v>
      </c>
      <c r="AA934" s="735">
        <v>1000</v>
      </c>
      <c r="AB934" s="735"/>
      <c r="AC934" s="735">
        <f t="shared" si="661"/>
        <v>1000</v>
      </c>
      <c r="AD934" s="735">
        <f t="shared" si="662"/>
        <v>40483.96</v>
      </c>
      <c r="AE934" s="735">
        <f t="shared" si="663"/>
        <v>40483.96</v>
      </c>
      <c r="AF934" s="735">
        <f t="shared" si="653"/>
        <v>0</v>
      </c>
      <c r="AG934" s="824">
        <f t="shared" si="654"/>
        <v>0</v>
      </c>
      <c r="AH934" s="711">
        <v>1</v>
      </c>
      <c r="AI934" s="735">
        <f t="shared" si="664"/>
        <v>485808.52</v>
      </c>
    </row>
    <row r="935" spans="1:35" x14ac:dyDescent="0.2">
      <c r="A935" s="704"/>
      <c r="B935" s="711">
        <v>1</v>
      </c>
      <c r="C935" s="735">
        <v>2640.33</v>
      </c>
      <c r="D935" s="735"/>
      <c r="E935" s="735"/>
      <c r="F935" s="735"/>
      <c r="G935" s="735"/>
      <c r="H935" s="735"/>
      <c r="I935" s="735"/>
      <c r="J935" s="735">
        <v>0</v>
      </c>
      <c r="K935" s="735">
        <f t="shared" si="668"/>
        <v>2640.33</v>
      </c>
      <c r="L935" s="735">
        <v>1000</v>
      </c>
      <c r="M935" s="735"/>
      <c r="N935" s="735">
        <f t="shared" si="665"/>
        <v>1000</v>
      </c>
      <c r="O935" s="735">
        <f t="shared" si="666"/>
        <v>32683.96</v>
      </c>
      <c r="P935" s="735">
        <f t="shared" si="667"/>
        <v>32683.96</v>
      </c>
      <c r="Q935" s="711">
        <v>1</v>
      </c>
      <c r="R935" s="735">
        <v>2640.33</v>
      </c>
      <c r="S935" s="735"/>
      <c r="T935" s="735"/>
      <c r="U935" s="735"/>
      <c r="V935" s="735"/>
      <c r="W935" s="735"/>
      <c r="X935" s="735"/>
      <c r="Y935" s="735">
        <v>0</v>
      </c>
      <c r="Z935" s="735">
        <f t="shared" si="660"/>
        <v>2640.33</v>
      </c>
      <c r="AA935" s="735">
        <v>1000</v>
      </c>
      <c r="AB935" s="735"/>
      <c r="AC935" s="735">
        <f t="shared" si="661"/>
        <v>1000</v>
      </c>
      <c r="AD935" s="735">
        <f t="shared" si="662"/>
        <v>32683.96</v>
      </c>
      <c r="AE935" s="735">
        <f t="shared" si="663"/>
        <v>32683.96</v>
      </c>
      <c r="AF935" s="735">
        <f t="shared" si="653"/>
        <v>0</v>
      </c>
      <c r="AG935" s="824">
        <f t="shared" si="654"/>
        <v>0</v>
      </c>
      <c r="AH935" s="711">
        <v>1</v>
      </c>
      <c r="AI935" s="735">
        <f t="shared" si="664"/>
        <v>392208.52</v>
      </c>
    </row>
    <row r="936" spans="1:35" x14ac:dyDescent="0.2">
      <c r="A936" s="704"/>
      <c r="B936" s="711">
        <v>1</v>
      </c>
      <c r="C936" s="735">
        <v>2640.33</v>
      </c>
      <c r="D936" s="735"/>
      <c r="E936" s="735"/>
      <c r="F936" s="735"/>
      <c r="G936" s="735"/>
      <c r="H936" s="735"/>
      <c r="I936" s="735"/>
      <c r="J936" s="735">
        <v>0</v>
      </c>
      <c r="K936" s="735">
        <f t="shared" si="668"/>
        <v>2640.33</v>
      </c>
      <c r="L936" s="735">
        <v>1000</v>
      </c>
      <c r="M936" s="735"/>
      <c r="N936" s="735">
        <f t="shared" si="665"/>
        <v>1000</v>
      </c>
      <c r="O936" s="735">
        <f t="shared" si="666"/>
        <v>32683.96</v>
      </c>
      <c r="P936" s="735">
        <f t="shared" si="667"/>
        <v>32683.96</v>
      </c>
      <c r="Q936" s="711">
        <v>1</v>
      </c>
      <c r="R936" s="735">
        <v>2640.33</v>
      </c>
      <c r="S936" s="735"/>
      <c r="T936" s="735"/>
      <c r="U936" s="735"/>
      <c r="V936" s="735"/>
      <c r="W936" s="735"/>
      <c r="X936" s="735"/>
      <c r="Y936" s="735">
        <v>0</v>
      </c>
      <c r="Z936" s="735">
        <f t="shared" si="660"/>
        <v>2640.33</v>
      </c>
      <c r="AA936" s="735">
        <v>1000</v>
      </c>
      <c r="AB936" s="735"/>
      <c r="AC936" s="735">
        <f t="shared" si="661"/>
        <v>1000</v>
      </c>
      <c r="AD936" s="735">
        <f t="shared" si="662"/>
        <v>32683.96</v>
      </c>
      <c r="AE936" s="735">
        <f t="shared" si="663"/>
        <v>32683.96</v>
      </c>
      <c r="AF936" s="735">
        <f t="shared" si="653"/>
        <v>0</v>
      </c>
      <c r="AG936" s="824">
        <f t="shared" si="654"/>
        <v>0</v>
      </c>
      <c r="AH936" s="711">
        <v>1</v>
      </c>
      <c r="AI936" s="735">
        <f t="shared" si="664"/>
        <v>392208.52</v>
      </c>
    </row>
    <row r="937" spans="1:35" x14ac:dyDescent="0.2">
      <c r="A937" s="704"/>
      <c r="B937" s="711">
        <v>1</v>
      </c>
      <c r="C937" s="735">
        <v>2640.33</v>
      </c>
      <c r="D937" s="735"/>
      <c r="E937" s="735"/>
      <c r="F937" s="735"/>
      <c r="G937" s="735"/>
      <c r="H937" s="735"/>
      <c r="I937" s="735"/>
      <c r="J937" s="735">
        <v>0</v>
      </c>
      <c r="K937" s="735">
        <f t="shared" si="668"/>
        <v>2640.33</v>
      </c>
      <c r="L937" s="735">
        <v>1000</v>
      </c>
      <c r="M937" s="735"/>
      <c r="N937" s="735">
        <f t="shared" si="665"/>
        <v>1000</v>
      </c>
      <c r="O937" s="735">
        <f t="shared" si="666"/>
        <v>32683.96</v>
      </c>
      <c r="P937" s="735">
        <f t="shared" si="667"/>
        <v>32683.96</v>
      </c>
      <c r="Q937" s="711">
        <v>1</v>
      </c>
      <c r="R937" s="735">
        <v>2640.33</v>
      </c>
      <c r="S937" s="735"/>
      <c r="T937" s="735"/>
      <c r="U937" s="735"/>
      <c r="V937" s="735"/>
      <c r="W937" s="735"/>
      <c r="X937" s="735"/>
      <c r="Y937" s="735">
        <v>0</v>
      </c>
      <c r="Z937" s="735">
        <f t="shared" si="660"/>
        <v>2640.33</v>
      </c>
      <c r="AA937" s="735">
        <v>1000</v>
      </c>
      <c r="AB937" s="735"/>
      <c r="AC937" s="735">
        <f t="shared" si="661"/>
        <v>1000</v>
      </c>
      <c r="AD937" s="735">
        <f t="shared" si="662"/>
        <v>32683.96</v>
      </c>
      <c r="AE937" s="735">
        <f t="shared" si="663"/>
        <v>32683.96</v>
      </c>
      <c r="AF937" s="735">
        <f t="shared" si="653"/>
        <v>0</v>
      </c>
      <c r="AG937" s="824">
        <f t="shared" si="654"/>
        <v>0</v>
      </c>
      <c r="AH937" s="711">
        <v>1</v>
      </c>
      <c r="AI937" s="735">
        <f t="shared" si="664"/>
        <v>392208.52</v>
      </c>
    </row>
    <row r="938" spans="1:35" x14ac:dyDescent="0.2">
      <c r="A938" s="704"/>
      <c r="B938" s="711">
        <v>1</v>
      </c>
      <c r="C938" s="735">
        <v>2640.33</v>
      </c>
      <c r="D938" s="735"/>
      <c r="E938" s="735"/>
      <c r="F938" s="735"/>
      <c r="G938" s="735"/>
      <c r="H938" s="735"/>
      <c r="I938" s="735"/>
      <c r="J938" s="735">
        <v>790</v>
      </c>
      <c r="K938" s="735">
        <f t="shared" si="668"/>
        <v>3430.33</v>
      </c>
      <c r="L938" s="735">
        <v>1000</v>
      </c>
      <c r="M938" s="735"/>
      <c r="N938" s="735">
        <f t="shared" si="665"/>
        <v>1000</v>
      </c>
      <c r="O938" s="735">
        <f t="shared" si="666"/>
        <v>42163.96</v>
      </c>
      <c r="P938" s="735">
        <f t="shared" si="667"/>
        <v>42163.96</v>
      </c>
      <c r="Q938" s="711">
        <v>1</v>
      </c>
      <c r="R938" s="735">
        <v>2640.33</v>
      </c>
      <c r="S938" s="735"/>
      <c r="T938" s="735"/>
      <c r="U938" s="735"/>
      <c r="V938" s="735"/>
      <c r="W938" s="735"/>
      <c r="X938" s="735"/>
      <c r="Y938" s="735">
        <v>790</v>
      </c>
      <c r="Z938" s="735">
        <f t="shared" si="660"/>
        <v>3430.33</v>
      </c>
      <c r="AA938" s="735">
        <v>1000</v>
      </c>
      <c r="AB938" s="735"/>
      <c r="AC938" s="735">
        <f t="shared" si="661"/>
        <v>1000</v>
      </c>
      <c r="AD938" s="735">
        <f t="shared" si="662"/>
        <v>42163.96</v>
      </c>
      <c r="AE938" s="735">
        <f t="shared" si="663"/>
        <v>42163.96</v>
      </c>
      <c r="AF938" s="735">
        <f t="shared" si="653"/>
        <v>0</v>
      </c>
      <c r="AG938" s="824">
        <f t="shared" si="654"/>
        <v>0</v>
      </c>
      <c r="AH938" s="711">
        <v>1</v>
      </c>
      <c r="AI938" s="735">
        <f t="shared" si="664"/>
        <v>505968.52</v>
      </c>
    </row>
    <row r="939" spans="1:35" x14ac:dyDescent="0.2">
      <c r="A939" s="704"/>
      <c r="B939" s="711">
        <v>1</v>
      </c>
      <c r="C939" s="735">
        <v>2640.33</v>
      </c>
      <c r="D939" s="735"/>
      <c r="E939" s="735"/>
      <c r="F939" s="735"/>
      <c r="G939" s="735"/>
      <c r="H939" s="735"/>
      <c r="I939" s="735"/>
      <c r="J939" s="735">
        <v>790</v>
      </c>
      <c r="K939" s="735">
        <f t="shared" si="668"/>
        <v>3430.33</v>
      </c>
      <c r="L939" s="735">
        <v>1000</v>
      </c>
      <c r="M939" s="735"/>
      <c r="N939" s="735">
        <f t="shared" si="665"/>
        <v>1000</v>
      </c>
      <c r="O939" s="735">
        <f t="shared" si="666"/>
        <v>42163.96</v>
      </c>
      <c r="P939" s="735">
        <f t="shared" si="667"/>
        <v>42163.96</v>
      </c>
      <c r="Q939" s="711">
        <v>1</v>
      </c>
      <c r="R939" s="735">
        <v>2640.33</v>
      </c>
      <c r="S939" s="735"/>
      <c r="T939" s="735"/>
      <c r="U939" s="735"/>
      <c r="V939" s="735"/>
      <c r="W939" s="735"/>
      <c r="X939" s="735"/>
      <c r="Y939" s="735">
        <v>790</v>
      </c>
      <c r="Z939" s="735">
        <f t="shared" si="660"/>
        <v>3430.33</v>
      </c>
      <c r="AA939" s="735">
        <v>1000</v>
      </c>
      <c r="AB939" s="735"/>
      <c r="AC939" s="735">
        <f t="shared" si="661"/>
        <v>1000</v>
      </c>
      <c r="AD939" s="735">
        <f t="shared" si="662"/>
        <v>42163.96</v>
      </c>
      <c r="AE939" s="735">
        <f t="shared" si="663"/>
        <v>42163.96</v>
      </c>
      <c r="AF939" s="735">
        <f t="shared" si="653"/>
        <v>0</v>
      </c>
      <c r="AG939" s="824">
        <f t="shared" si="654"/>
        <v>0</v>
      </c>
      <c r="AH939" s="711">
        <v>1</v>
      </c>
      <c r="AI939" s="735">
        <f t="shared" si="664"/>
        <v>505968.52</v>
      </c>
    </row>
    <row r="940" spans="1:35" x14ac:dyDescent="0.2">
      <c r="A940" s="704"/>
      <c r="B940" s="711">
        <v>1</v>
      </c>
      <c r="C940" s="735">
        <v>2640.33</v>
      </c>
      <c r="D940" s="735"/>
      <c r="E940" s="735"/>
      <c r="F940" s="735"/>
      <c r="G940" s="735"/>
      <c r="H940" s="735"/>
      <c r="I940" s="735"/>
      <c r="J940" s="735">
        <v>70</v>
      </c>
      <c r="K940" s="735">
        <f t="shared" si="668"/>
        <v>2710.33</v>
      </c>
      <c r="L940" s="735">
        <v>1000</v>
      </c>
      <c r="M940" s="735"/>
      <c r="N940" s="735">
        <f t="shared" si="665"/>
        <v>1000</v>
      </c>
      <c r="O940" s="735">
        <f t="shared" si="666"/>
        <v>33523.96</v>
      </c>
      <c r="P940" s="735">
        <f t="shared" si="667"/>
        <v>33523.96</v>
      </c>
      <c r="Q940" s="711">
        <v>1</v>
      </c>
      <c r="R940" s="735">
        <v>2640.33</v>
      </c>
      <c r="S940" s="735"/>
      <c r="T940" s="735"/>
      <c r="U940" s="735"/>
      <c r="V940" s="735"/>
      <c r="W940" s="735"/>
      <c r="X940" s="735"/>
      <c r="Y940" s="735">
        <v>70</v>
      </c>
      <c r="Z940" s="735">
        <f t="shared" si="660"/>
        <v>2710.33</v>
      </c>
      <c r="AA940" s="735">
        <v>1000</v>
      </c>
      <c r="AB940" s="735"/>
      <c r="AC940" s="735">
        <f t="shared" si="661"/>
        <v>1000</v>
      </c>
      <c r="AD940" s="735">
        <f t="shared" si="662"/>
        <v>33523.96</v>
      </c>
      <c r="AE940" s="735">
        <f t="shared" si="663"/>
        <v>33523.96</v>
      </c>
      <c r="AF940" s="735">
        <f t="shared" si="653"/>
        <v>0</v>
      </c>
      <c r="AG940" s="824">
        <f t="shared" si="654"/>
        <v>0</v>
      </c>
      <c r="AH940" s="711">
        <v>1</v>
      </c>
      <c r="AI940" s="735">
        <f t="shared" si="664"/>
        <v>402288.52</v>
      </c>
    </row>
    <row r="941" spans="1:35" x14ac:dyDescent="0.2">
      <c r="A941" s="704"/>
      <c r="B941" s="711">
        <v>1</v>
      </c>
      <c r="C941" s="735">
        <v>2640.33</v>
      </c>
      <c r="D941" s="735"/>
      <c r="E941" s="735"/>
      <c r="F941" s="735"/>
      <c r="G941" s="735"/>
      <c r="H941" s="735"/>
      <c r="I941" s="735"/>
      <c r="J941" s="735">
        <v>100</v>
      </c>
      <c r="K941" s="735">
        <f t="shared" si="668"/>
        <v>2740.33</v>
      </c>
      <c r="L941" s="735">
        <v>1000</v>
      </c>
      <c r="M941" s="735"/>
      <c r="N941" s="735">
        <f t="shared" si="665"/>
        <v>1000</v>
      </c>
      <c r="O941" s="735">
        <f t="shared" si="666"/>
        <v>33883.96</v>
      </c>
      <c r="P941" s="735">
        <f t="shared" si="667"/>
        <v>33883.96</v>
      </c>
      <c r="Q941" s="711">
        <v>1</v>
      </c>
      <c r="R941" s="735">
        <v>2640.33</v>
      </c>
      <c r="S941" s="735"/>
      <c r="T941" s="735"/>
      <c r="U941" s="735"/>
      <c r="V941" s="735"/>
      <c r="W941" s="735"/>
      <c r="X941" s="735"/>
      <c r="Y941" s="735">
        <v>100</v>
      </c>
      <c r="Z941" s="735">
        <f t="shared" si="660"/>
        <v>2740.33</v>
      </c>
      <c r="AA941" s="735">
        <v>1000</v>
      </c>
      <c r="AB941" s="735"/>
      <c r="AC941" s="735">
        <f t="shared" si="661"/>
        <v>1000</v>
      </c>
      <c r="AD941" s="735">
        <f t="shared" si="662"/>
        <v>33883.96</v>
      </c>
      <c r="AE941" s="735">
        <f t="shared" si="663"/>
        <v>33883.96</v>
      </c>
      <c r="AF941" s="735">
        <f t="shared" si="653"/>
        <v>0</v>
      </c>
      <c r="AG941" s="824">
        <f t="shared" si="654"/>
        <v>0</v>
      </c>
      <c r="AH941" s="711">
        <v>1</v>
      </c>
      <c r="AI941" s="735">
        <f t="shared" si="664"/>
        <v>406608.52</v>
      </c>
    </row>
    <row r="942" spans="1:35" x14ac:dyDescent="0.2">
      <c r="A942" s="704"/>
      <c r="B942" s="711">
        <v>1</v>
      </c>
      <c r="C942" s="735">
        <v>2640.33</v>
      </c>
      <c r="D942" s="735"/>
      <c r="E942" s="735"/>
      <c r="F942" s="735"/>
      <c r="G942" s="735"/>
      <c r="H942" s="735"/>
      <c r="I942" s="735"/>
      <c r="J942" s="735">
        <v>0</v>
      </c>
      <c r="K942" s="735">
        <f t="shared" si="668"/>
        <v>2640.33</v>
      </c>
      <c r="L942" s="735">
        <v>1000</v>
      </c>
      <c r="M942" s="735"/>
      <c r="N942" s="735">
        <f t="shared" si="665"/>
        <v>1000</v>
      </c>
      <c r="O942" s="735">
        <f t="shared" si="666"/>
        <v>32683.96</v>
      </c>
      <c r="P942" s="735">
        <f t="shared" si="667"/>
        <v>32683.96</v>
      </c>
      <c r="Q942" s="711">
        <v>1</v>
      </c>
      <c r="R942" s="735">
        <v>2640.33</v>
      </c>
      <c r="S942" s="735"/>
      <c r="T942" s="735"/>
      <c r="U942" s="735"/>
      <c r="V942" s="735"/>
      <c r="W942" s="735"/>
      <c r="X942" s="735"/>
      <c r="Y942" s="735">
        <v>0</v>
      </c>
      <c r="Z942" s="735">
        <f t="shared" si="660"/>
        <v>2640.33</v>
      </c>
      <c r="AA942" s="735">
        <v>1000</v>
      </c>
      <c r="AB942" s="735"/>
      <c r="AC942" s="735">
        <f t="shared" si="661"/>
        <v>1000</v>
      </c>
      <c r="AD942" s="735">
        <f t="shared" si="662"/>
        <v>32683.96</v>
      </c>
      <c r="AE942" s="735">
        <f t="shared" si="663"/>
        <v>32683.96</v>
      </c>
      <c r="AF942" s="735">
        <f t="shared" si="653"/>
        <v>0</v>
      </c>
      <c r="AG942" s="824">
        <f t="shared" si="654"/>
        <v>0</v>
      </c>
      <c r="AH942" s="711">
        <v>1</v>
      </c>
      <c r="AI942" s="735">
        <f t="shared" si="664"/>
        <v>392208.52</v>
      </c>
    </row>
    <row r="943" spans="1:35" x14ac:dyDescent="0.2">
      <c r="A943" s="704"/>
      <c r="B943" s="711">
        <v>1</v>
      </c>
      <c r="C943" s="735">
        <v>2640.33</v>
      </c>
      <c r="D943" s="735"/>
      <c r="E943" s="735"/>
      <c r="F943" s="735"/>
      <c r="G943" s="735"/>
      <c r="H943" s="735"/>
      <c r="I943" s="735"/>
      <c r="J943" s="735">
        <v>0</v>
      </c>
      <c r="K943" s="735">
        <f t="shared" si="668"/>
        <v>2640.33</v>
      </c>
      <c r="L943" s="735">
        <v>1000</v>
      </c>
      <c r="M943" s="735"/>
      <c r="N943" s="735">
        <f t="shared" si="665"/>
        <v>1000</v>
      </c>
      <c r="O943" s="735">
        <f t="shared" si="666"/>
        <v>32683.96</v>
      </c>
      <c r="P943" s="735">
        <f t="shared" si="667"/>
        <v>32683.96</v>
      </c>
      <c r="Q943" s="711">
        <v>1</v>
      </c>
      <c r="R943" s="735">
        <v>2640.33</v>
      </c>
      <c r="S943" s="735"/>
      <c r="T943" s="735"/>
      <c r="U943" s="735"/>
      <c r="V943" s="735"/>
      <c r="W943" s="735"/>
      <c r="X943" s="735"/>
      <c r="Y943" s="735">
        <v>0</v>
      </c>
      <c r="Z943" s="735">
        <f t="shared" si="660"/>
        <v>2640.33</v>
      </c>
      <c r="AA943" s="735">
        <v>1000</v>
      </c>
      <c r="AB943" s="735"/>
      <c r="AC943" s="735">
        <f t="shared" si="661"/>
        <v>1000</v>
      </c>
      <c r="AD943" s="735">
        <f t="shared" si="662"/>
        <v>32683.96</v>
      </c>
      <c r="AE943" s="735">
        <f t="shared" si="663"/>
        <v>32683.96</v>
      </c>
      <c r="AF943" s="735">
        <f t="shared" si="653"/>
        <v>0</v>
      </c>
      <c r="AG943" s="824">
        <f t="shared" si="654"/>
        <v>0</v>
      </c>
      <c r="AH943" s="711">
        <v>1</v>
      </c>
      <c r="AI943" s="735">
        <f t="shared" si="664"/>
        <v>392208.52</v>
      </c>
    </row>
    <row r="944" spans="1:35" x14ac:dyDescent="0.2">
      <c r="A944" s="704"/>
      <c r="B944" s="711">
        <v>1</v>
      </c>
      <c r="C944" s="735">
        <v>2640.33</v>
      </c>
      <c r="D944" s="735"/>
      <c r="E944" s="735"/>
      <c r="F944" s="735"/>
      <c r="G944" s="735"/>
      <c r="H944" s="735"/>
      <c r="I944" s="735"/>
      <c r="J944" s="735">
        <v>100</v>
      </c>
      <c r="K944" s="735">
        <f t="shared" si="668"/>
        <v>2740.33</v>
      </c>
      <c r="L944" s="735">
        <v>1000</v>
      </c>
      <c r="M944" s="735"/>
      <c r="N944" s="735">
        <f t="shared" si="665"/>
        <v>1000</v>
      </c>
      <c r="O944" s="735">
        <f t="shared" si="666"/>
        <v>33883.96</v>
      </c>
      <c r="P944" s="735">
        <f t="shared" si="667"/>
        <v>33883.96</v>
      </c>
      <c r="Q944" s="711">
        <v>1</v>
      </c>
      <c r="R944" s="735">
        <v>2640.33</v>
      </c>
      <c r="S944" s="735"/>
      <c r="T944" s="735"/>
      <c r="U944" s="735"/>
      <c r="V944" s="735"/>
      <c r="W944" s="735"/>
      <c r="X944" s="735"/>
      <c r="Y944" s="735">
        <v>100</v>
      </c>
      <c r="Z944" s="735">
        <f t="shared" si="660"/>
        <v>2740.33</v>
      </c>
      <c r="AA944" s="735">
        <v>1000</v>
      </c>
      <c r="AB944" s="735"/>
      <c r="AC944" s="735">
        <f t="shared" si="661"/>
        <v>1000</v>
      </c>
      <c r="AD944" s="735">
        <f t="shared" si="662"/>
        <v>33883.96</v>
      </c>
      <c r="AE944" s="735">
        <f t="shared" si="663"/>
        <v>33883.96</v>
      </c>
      <c r="AF944" s="735">
        <f t="shared" si="653"/>
        <v>0</v>
      </c>
      <c r="AG944" s="824">
        <f t="shared" si="654"/>
        <v>0</v>
      </c>
      <c r="AH944" s="711">
        <v>1</v>
      </c>
      <c r="AI944" s="735">
        <f t="shared" si="664"/>
        <v>406608.52</v>
      </c>
    </row>
    <row r="945" spans="1:35" x14ac:dyDescent="0.2">
      <c r="A945" s="704"/>
      <c r="B945" s="711">
        <v>1</v>
      </c>
      <c r="C945" s="735">
        <v>2640.33</v>
      </c>
      <c r="D945" s="735"/>
      <c r="E945" s="735"/>
      <c r="F945" s="735"/>
      <c r="G945" s="735"/>
      <c r="H945" s="735"/>
      <c r="I945" s="735"/>
      <c r="J945" s="735">
        <v>0</v>
      </c>
      <c r="K945" s="735">
        <f t="shared" si="668"/>
        <v>2640.33</v>
      </c>
      <c r="L945" s="735">
        <v>1000</v>
      </c>
      <c r="M945" s="735"/>
      <c r="N945" s="735">
        <f t="shared" si="665"/>
        <v>1000</v>
      </c>
      <c r="O945" s="735">
        <f t="shared" si="666"/>
        <v>32683.96</v>
      </c>
      <c r="P945" s="735">
        <f t="shared" si="667"/>
        <v>32683.96</v>
      </c>
      <c r="Q945" s="711">
        <v>1</v>
      </c>
      <c r="R945" s="735">
        <v>2640.33</v>
      </c>
      <c r="S945" s="735"/>
      <c r="T945" s="735"/>
      <c r="U945" s="735"/>
      <c r="V945" s="735"/>
      <c r="W945" s="735"/>
      <c r="X945" s="735"/>
      <c r="Y945" s="735">
        <v>0</v>
      </c>
      <c r="Z945" s="735">
        <f t="shared" si="660"/>
        <v>2640.33</v>
      </c>
      <c r="AA945" s="735">
        <v>1000</v>
      </c>
      <c r="AB945" s="735"/>
      <c r="AC945" s="735">
        <f t="shared" si="661"/>
        <v>1000</v>
      </c>
      <c r="AD945" s="735">
        <f t="shared" si="662"/>
        <v>32683.96</v>
      </c>
      <c r="AE945" s="735">
        <f t="shared" si="663"/>
        <v>32683.96</v>
      </c>
      <c r="AF945" s="735">
        <f t="shared" si="653"/>
        <v>0</v>
      </c>
      <c r="AG945" s="824">
        <f t="shared" si="654"/>
        <v>0</v>
      </c>
      <c r="AH945" s="711">
        <v>1</v>
      </c>
      <c r="AI945" s="735">
        <f t="shared" si="664"/>
        <v>392208.52</v>
      </c>
    </row>
    <row r="946" spans="1:35" x14ac:dyDescent="0.2">
      <c r="A946" s="704"/>
      <c r="B946" s="711">
        <v>1</v>
      </c>
      <c r="C946" s="735">
        <v>2640.33</v>
      </c>
      <c r="D946" s="735"/>
      <c r="E946" s="735"/>
      <c r="F946" s="735"/>
      <c r="G946" s="735"/>
      <c r="H946" s="735"/>
      <c r="I946" s="735"/>
      <c r="J946" s="735">
        <v>70</v>
      </c>
      <c r="K946" s="735">
        <f t="shared" si="668"/>
        <v>2710.33</v>
      </c>
      <c r="L946" s="735">
        <v>1000</v>
      </c>
      <c r="M946" s="735"/>
      <c r="N946" s="735">
        <f t="shared" si="665"/>
        <v>1000</v>
      </c>
      <c r="O946" s="735">
        <f t="shared" si="666"/>
        <v>33523.96</v>
      </c>
      <c r="P946" s="735">
        <f t="shared" si="667"/>
        <v>33523.96</v>
      </c>
      <c r="Q946" s="711">
        <v>1</v>
      </c>
      <c r="R946" s="735">
        <v>2640.33</v>
      </c>
      <c r="S946" s="735"/>
      <c r="T946" s="735"/>
      <c r="U946" s="735"/>
      <c r="V946" s="735"/>
      <c r="W946" s="735"/>
      <c r="X946" s="735"/>
      <c r="Y946" s="735">
        <v>70</v>
      </c>
      <c r="Z946" s="735">
        <f t="shared" si="660"/>
        <v>2710.33</v>
      </c>
      <c r="AA946" s="735">
        <v>1000</v>
      </c>
      <c r="AB946" s="735"/>
      <c r="AC946" s="735">
        <f t="shared" si="661"/>
        <v>1000</v>
      </c>
      <c r="AD946" s="735">
        <f t="shared" si="662"/>
        <v>33523.96</v>
      </c>
      <c r="AE946" s="735">
        <f t="shared" si="663"/>
        <v>33523.96</v>
      </c>
      <c r="AF946" s="735">
        <f t="shared" si="653"/>
        <v>0</v>
      </c>
      <c r="AG946" s="824">
        <f t="shared" si="654"/>
        <v>0</v>
      </c>
      <c r="AH946" s="711">
        <v>1</v>
      </c>
      <c r="AI946" s="735">
        <f t="shared" si="664"/>
        <v>402288.52</v>
      </c>
    </row>
    <row r="947" spans="1:35" x14ac:dyDescent="0.2">
      <c r="A947" s="704"/>
      <c r="B947" s="711">
        <v>1</v>
      </c>
      <c r="C947" s="735">
        <v>2640.33</v>
      </c>
      <c r="D947" s="735"/>
      <c r="E947" s="735"/>
      <c r="F947" s="735"/>
      <c r="G947" s="735"/>
      <c r="H947" s="735"/>
      <c r="I947" s="735"/>
      <c r="J947" s="735">
        <v>50</v>
      </c>
      <c r="K947" s="735">
        <f t="shared" si="668"/>
        <v>2690.33</v>
      </c>
      <c r="L947" s="735">
        <v>1000</v>
      </c>
      <c r="M947" s="735"/>
      <c r="N947" s="735">
        <f t="shared" si="665"/>
        <v>1000</v>
      </c>
      <c r="O947" s="735">
        <f t="shared" si="666"/>
        <v>33283.96</v>
      </c>
      <c r="P947" s="735">
        <f t="shared" si="667"/>
        <v>33283.96</v>
      </c>
      <c r="Q947" s="711">
        <v>1</v>
      </c>
      <c r="R947" s="735">
        <v>2640.33</v>
      </c>
      <c r="S947" s="735"/>
      <c r="T947" s="735"/>
      <c r="U947" s="735"/>
      <c r="V947" s="735"/>
      <c r="W947" s="735"/>
      <c r="X947" s="735"/>
      <c r="Y947" s="735">
        <v>50</v>
      </c>
      <c r="Z947" s="735">
        <f t="shared" si="660"/>
        <v>2690.33</v>
      </c>
      <c r="AA947" s="735">
        <v>1000</v>
      </c>
      <c r="AB947" s="735"/>
      <c r="AC947" s="735">
        <f t="shared" si="661"/>
        <v>1000</v>
      </c>
      <c r="AD947" s="735">
        <f t="shared" si="662"/>
        <v>33283.96</v>
      </c>
      <c r="AE947" s="735">
        <f t="shared" si="663"/>
        <v>33283.96</v>
      </c>
      <c r="AF947" s="735">
        <f t="shared" si="653"/>
        <v>0</v>
      </c>
      <c r="AG947" s="824">
        <f t="shared" si="654"/>
        <v>0</v>
      </c>
      <c r="AH947" s="711">
        <v>1</v>
      </c>
      <c r="AI947" s="735">
        <f t="shared" si="664"/>
        <v>399408.52</v>
      </c>
    </row>
    <row r="948" spans="1:35" x14ac:dyDescent="0.2">
      <c r="A948" s="704"/>
      <c r="B948" s="711">
        <v>1</v>
      </c>
      <c r="C948" s="735">
        <v>2640.33</v>
      </c>
      <c r="D948" s="735"/>
      <c r="E948" s="735"/>
      <c r="F948" s="735"/>
      <c r="G948" s="735"/>
      <c r="H948" s="735"/>
      <c r="I948" s="735"/>
      <c r="J948" s="735">
        <v>790</v>
      </c>
      <c r="K948" s="735">
        <f t="shared" si="668"/>
        <v>3430.33</v>
      </c>
      <c r="L948" s="735">
        <v>1000</v>
      </c>
      <c r="M948" s="735"/>
      <c r="N948" s="735">
        <f t="shared" si="665"/>
        <v>1000</v>
      </c>
      <c r="O948" s="735">
        <f t="shared" si="666"/>
        <v>42163.96</v>
      </c>
      <c r="P948" s="735">
        <f t="shared" si="667"/>
        <v>42163.96</v>
      </c>
      <c r="Q948" s="711">
        <v>1</v>
      </c>
      <c r="R948" s="735">
        <v>2640.33</v>
      </c>
      <c r="S948" s="735"/>
      <c r="T948" s="735"/>
      <c r="U948" s="735"/>
      <c r="V948" s="735"/>
      <c r="W948" s="735"/>
      <c r="X948" s="735"/>
      <c r="Y948" s="735">
        <v>790</v>
      </c>
      <c r="Z948" s="735">
        <f t="shared" si="660"/>
        <v>3430.33</v>
      </c>
      <c r="AA948" s="735">
        <v>1000</v>
      </c>
      <c r="AB948" s="735"/>
      <c r="AC948" s="735">
        <f t="shared" si="661"/>
        <v>1000</v>
      </c>
      <c r="AD948" s="735">
        <f t="shared" si="662"/>
        <v>42163.96</v>
      </c>
      <c r="AE948" s="735">
        <f t="shared" si="663"/>
        <v>42163.96</v>
      </c>
      <c r="AF948" s="735">
        <f t="shared" si="653"/>
        <v>0</v>
      </c>
      <c r="AG948" s="824">
        <f t="shared" si="654"/>
        <v>0</v>
      </c>
      <c r="AH948" s="711">
        <v>1</v>
      </c>
      <c r="AI948" s="735">
        <f t="shared" si="664"/>
        <v>505968.52</v>
      </c>
    </row>
    <row r="949" spans="1:35" x14ac:dyDescent="0.2">
      <c r="A949" s="704"/>
      <c r="B949" s="711">
        <v>1</v>
      </c>
      <c r="C949" s="735">
        <v>2640.33</v>
      </c>
      <c r="D949" s="735"/>
      <c r="E949" s="735"/>
      <c r="F949" s="735"/>
      <c r="G949" s="735"/>
      <c r="H949" s="735"/>
      <c r="I949" s="735"/>
      <c r="J949" s="735">
        <v>0</v>
      </c>
      <c r="K949" s="735">
        <f t="shared" si="668"/>
        <v>2640.33</v>
      </c>
      <c r="L949" s="735">
        <v>1000</v>
      </c>
      <c r="M949" s="735"/>
      <c r="N949" s="735">
        <f t="shared" si="665"/>
        <v>1000</v>
      </c>
      <c r="O949" s="735">
        <f t="shared" si="666"/>
        <v>32683.96</v>
      </c>
      <c r="P949" s="735">
        <f t="shared" si="667"/>
        <v>32683.96</v>
      </c>
      <c r="Q949" s="711">
        <v>1</v>
      </c>
      <c r="R949" s="735">
        <v>2640.33</v>
      </c>
      <c r="S949" s="735"/>
      <c r="T949" s="735"/>
      <c r="U949" s="735"/>
      <c r="V949" s="735"/>
      <c r="W949" s="735"/>
      <c r="X949" s="735"/>
      <c r="Y949" s="735">
        <v>0</v>
      </c>
      <c r="Z949" s="735">
        <f t="shared" si="660"/>
        <v>2640.33</v>
      </c>
      <c r="AA949" s="735">
        <v>1000</v>
      </c>
      <c r="AB949" s="735"/>
      <c r="AC949" s="735">
        <f t="shared" si="661"/>
        <v>1000</v>
      </c>
      <c r="AD949" s="735">
        <f t="shared" si="662"/>
        <v>32683.96</v>
      </c>
      <c r="AE949" s="735">
        <f t="shared" si="663"/>
        <v>32683.96</v>
      </c>
      <c r="AF949" s="735">
        <f t="shared" si="653"/>
        <v>0</v>
      </c>
      <c r="AG949" s="824">
        <f t="shared" si="654"/>
        <v>0</v>
      </c>
      <c r="AH949" s="711">
        <v>1</v>
      </c>
      <c r="AI949" s="735">
        <f t="shared" si="664"/>
        <v>392208.52</v>
      </c>
    </row>
    <row r="950" spans="1:35" x14ac:dyDescent="0.2">
      <c r="A950" s="704"/>
      <c r="B950" s="711">
        <v>1</v>
      </c>
      <c r="C950" s="735">
        <v>2640.33</v>
      </c>
      <c r="D950" s="735"/>
      <c r="E950" s="735"/>
      <c r="F950" s="735"/>
      <c r="G950" s="735"/>
      <c r="H950" s="735"/>
      <c r="I950" s="735"/>
      <c r="J950" s="735">
        <v>640</v>
      </c>
      <c r="K950" s="735">
        <f t="shared" si="668"/>
        <v>3280.33</v>
      </c>
      <c r="L950" s="735">
        <v>1000</v>
      </c>
      <c r="M950" s="735"/>
      <c r="N950" s="735">
        <f t="shared" si="665"/>
        <v>1000</v>
      </c>
      <c r="O950" s="735">
        <f t="shared" si="666"/>
        <v>40363.96</v>
      </c>
      <c r="P950" s="735">
        <f t="shared" si="667"/>
        <v>40363.96</v>
      </c>
      <c r="Q950" s="711">
        <v>1</v>
      </c>
      <c r="R950" s="735">
        <v>2640.33</v>
      </c>
      <c r="S950" s="735"/>
      <c r="T950" s="735"/>
      <c r="U950" s="735"/>
      <c r="V950" s="735"/>
      <c r="W950" s="735"/>
      <c r="X950" s="735"/>
      <c r="Y950" s="735">
        <v>640</v>
      </c>
      <c r="Z950" s="735">
        <f t="shared" si="660"/>
        <v>3280.33</v>
      </c>
      <c r="AA950" s="735">
        <v>1000</v>
      </c>
      <c r="AB950" s="735"/>
      <c r="AC950" s="735">
        <f t="shared" si="661"/>
        <v>1000</v>
      </c>
      <c r="AD950" s="735">
        <f t="shared" si="662"/>
        <v>40363.96</v>
      </c>
      <c r="AE950" s="735">
        <f t="shared" si="663"/>
        <v>40363.96</v>
      </c>
      <c r="AF950" s="735">
        <f t="shared" si="653"/>
        <v>0</v>
      </c>
      <c r="AG950" s="824">
        <f t="shared" si="654"/>
        <v>0</v>
      </c>
      <c r="AH950" s="711">
        <v>1</v>
      </c>
      <c r="AI950" s="735">
        <f t="shared" si="664"/>
        <v>484368.52</v>
      </c>
    </row>
    <row r="951" spans="1:35" x14ac:dyDescent="0.2">
      <c r="A951" s="704"/>
      <c r="B951" s="711">
        <v>1</v>
      </c>
      <c r="C951" s="735">
        <v>2640.33</v>
      </c>
      <c r="D951" s="735"/>
      <c r="E951" s="735"/>
      <c r="F951" s="735"/>
      <c r="G951" s="735"/>
      <c r="H951" s="735"/>
      <c r="I951" s="735"/>
      <c r="J951" s="735">
        <v>790</v>
      </c>
      <c r="K951" s="735">
        <f t="shared" si="668"/>
        <v>3430.33</v>
      </c>
      <c r="L951" s="735">
        <v>1000</v>
      </c>
      <c r="M951" s="735"/>
      <c r="N951" s="735">
        <f t="shared" si="665"/>
        <v>1000</v>
      </c>
      <c r="O951" s="735">
        <f t="shared" si="666"/>
        <v>42163.96</v>
      </c>
      <c r="P951" s="735">
        <f t="shared" si="667"/>
        <v>42163.96</v>
      </c>
      <c r="Q951" s="711">
        <v>1</v>
      </c>
      <c r="R951" s="735">
        <v>2640.33</v>
      </c>
      <c r="S951" s="735"/>
      <c r="T951" s="735"/>
      <c r="U951" s="735"/>
      <c r="V951" s="735"/>
      <c r="W951" s="735"/>
      <c r="X951" s="735"/>
      <c r="Y951" s="735">
        <v>790</v>
      </c>
      <c r="Z951" s="735">
        <f t="shared" si="660"/>
        <v>3430.33</v>
      </c>
      <c r="AA951" s="735">
        <v>1000</v>
      </c>
      <c r="AB951" s="735"/>
      <c r="AC951" s="735">
        <f t="shared" si="661"/>
        <v>1000</v>
      </c>
      <c r="AD951" s="735">
        <f t="shared" si="662"/>
        <v>42163.96</v>
      </c>
      <c r="AE951" s="735">
        <f t="shared" si="663"/>
        <v>42163.96</v>
      </c>
      <c r="AF951" s="735">
        <f t="shared" si="653"/>
        <v>0</v>
      </c>
      <c r="AG951" s="824">
        <f t="shared" si="654"/>
        <v>0</v>
      </c>
      <c r="AH951" s="711">
        <v>1</v>
      </c>
      <c r="AI951" s="735">
        <f t="shared" si="664"/>
        <v>505968.52</v>
      </c>
    </row>
    <row r="952" spans="1:35" x14ac:dyDescent="0.2">
      <c r="A952" s="704"/>
      <c r="B952" s="711">
        <v>1</v>
      </c>
      <c r="C952" s="735">
        <v>2640.33</v>
      </c>
      <c r="D952" s="735"/>
      <c r="E952" s="735"/>
      <c r="F952" s="735"/>
      <c r="G952" s="735"/>
      <c r="H952" s="735"/>
      <c r="I952" s="735"/>
      <c r="J952" s="735">
        <v>0</v>
      </c>
      <c r="K952" s="735">
        <f t="shared" si="668"/>
        <v>2640.33</v>
      </c>
      <c r="L952" s="735">
        <v>1000</v>
      </c>
      <c r="M952" s="735"/>
      <c r="N952" s="735">
        <f t="shared" si="665"/>
        <v>1000</v>
      </c>
      <c r="O952" s="735">
        <f t="shared" si="666"/>
        <v>32683.96</v>
      </c>
      <c r="P952" s="735">
        <f t="shared" si="667"/>
        <v>32683.96</v>
      </c>
      <c r="Q952" s="711">
        <v>1</v>
      </c>
      <c r="R952" s="735">
        <v>2640.33</v>
      </c>
      <c r="S952" s="735"/>
      <c r="T952" s="735"/>
      <c r="U952" s="735"/>
      <c r="V952" s="735"/>
      <c r="W952" s="735"/>
      <c r="X952" s="735"/>
      <c r="Y952" s="735">
        <v>0</v>
      </c>
      <c r="Z952" s="735">
        <f t="shared" si="660"/>
        <v>2640.33</v>
      </c>
      <c r="AA952" s="735">
        <v>1000</v>
      </c>
      <c r="AB952" s="735"/>
      <c r="AC952" s="735">
        <f t="shared" si="661"/>
        <v>1000</v>
      </c>
      <c r="AD952" s="735">
        <f t="shared" si="662"/>
        <v>32683.96</v>
      </c>
      <c r="AE952" s="735">
        <f t="shared" si="663"/>
        <v>32683.96</v>
      </c>
      <c r="AF952" s="735">
        <f t="shared" si="653"/>
        <v>0</v>
      </c>
      <c r="AG952" s="824">
        <f t="shared" si="654"/>
        <v>0</v>
      </c>
      <c r="AH952" s="711">
        <v>1</v>
      </c>
      <c r="AI952" s="735">
        <f t="shared" si="664"/>
        <v>392208.52</v>
      </c>
    </row>
    <row r="953" spans="1:35" x14ac:dyDescent="0.2">
      <c r="A953" s="704"/>
      <c r="B953" s="711">
        <v>1</v>
      </c>
      <c r="C953" s="735">
        <v>2640.33</v>
      </c>
      <c r="D953" s="735"/>
      <c r="E953" s="735"/>
      <c r="F953" s="735"/>
      <c r="G953" s="735"/>
      <c r="H953" s="735"/>
      <c r="I953" s="735"/>
      <c r="J953" s="735">
        <v>790</v>
      </c>
      <c r="K953" s="735">
        <f t="shared" si="668"/>
        <v>3430.33</v>
      </c>
      <c r="L953" s="735">
        <v>1000</v>
      </c>
      <c r="M953" s="735"/>
      <c r="N953" s="735">
        <f t="shared" si="665"/>
        <v>1000</v>
      </c>
      <c r="O953" s="735">
        <f t="shared" si="666"/>
        <v>42163.96</v>
      </c>
      <c r="P953" s="735">
        <f t="shared" si="667"/>
        <v>42163.96</v>
      </c>
      <c r="Q953" s="711">
        <v>1</v>
      </c>
      <c r="R953" s="735">
        <v>2640.33</v>
      </c>
      <c r="S953" s="735"/>
      <c r="T953" s="735"/>
      <c r="U953" s="735"/>
      <c r="V953" s="735"/>
      <c r="W953" s="735"/>
      <c r="X953" s="735"/>
      <c r="Y953" s="735">
        <v>790</v>
      </c>
      <c r="Z953" s="735">
        <f t="shared" si="660"/>
        <v>3430.33</v>
      </c>
      <c r="AA953" s="735">
        <v>1000</v>
      </c>
      <c r="AB953" s="735"/>
      <c r="AC953" s="735">
        <f t="shared" si="661"/>
        <v>1000</v>
      </c>
      <c r="AD953" s="735">
        <f t="shared" si="662"/>
        <v>42163.96</v>
      </c>
      <c r="AE953" s="735">
        <f t="shared" si="663"/>
        <v>42163.96</v>
      </c>
      <c r="AF953" s="735">
        <f t="shared" si="653"/>
        <v>0</v>
      </c>
      <c r="AG953" s="824">
        <f t="shared" si="654"/>
        <v>0</v>
      </c>
      <c r="AH953" s="711">
        <v>1</v>
      </c>
      <c r="AI953" s="735">
        <f t="shared" si="664"/>
        <v>505968.52</v>
      </c>
    </row>
    <row r="954" spans="1:35" x14ac:dyDescent="0.2">
      <c r="A954" s="704"/>
      <c r="B954" s="711">
        <v>1</v>
      </c>
      <c r="C954" s="735">
        <v>2640.33</v>
      </c>
      <c r="D954" s="735"/>
      <c r="E954" s="735"/>
      <c r="F954" s="735"/>
      <c r="G954" s="735"/>
      <c r="H954" s="735"/>
      <c r="I954" s="735"/>
      <c r="J954" s="735">
        <v>0</v>
      </c>
      <c r="K954" s="735">
        <f t="shared" si="668"/>
        <v>2640.33</v>
      </c>
      <c r="L954" s="735">
        <v>1000</v>
      </c>
      <c r="M954" s="735"/>
      <c r="N954" s="735">
        <f t="shared" si="665"/>
        <v>1000</v>
      </c>
      <c r="O954" s="735">
        <f t="shared" si="666"/>
        <v>32683.96</v>
      </c>
      <c r="P954" s="735">
        <f t="shared" si="667"/>
        <v>32683.96</v>
      </c>
      <c r="Q954" s="711">
        <v>1</v>
      </c>
      <c r="R954" s="735">
        <v>2640.33</v>
      </c>
      <c r="S954" s="735"/>
      <c r="T954" s="735"/>
      <c r="U954" s="735"/>
      <c r="V954" s="735"/>
      <c r="W954" s="735"/>
      <c r="X954" s="735"/>
      <c r="Y954" s="735">
        <v>0</v>
      </c>
      <c r="Z954" s="735">
        <f t="shared" si="660"/>
        <v>2640.33</v>
      </c>
      <c r="AA954" s="735">
        <v>1000</v>
      </c>
      <c r="AB954" s="735"/>
      <c r="AC954" s="735">
        <f t="shared" si="661"/>
        <v>1000</v>
      </c>
      <c r="AD954" s="735">
        <f t="shared" si="662"/>
        <v>32683.96</v>
      </c>
      <c r="AE954" s="735">
        <f t="shared" si="663"/>
        <v>32683.96</v>
      </c>
      <c r="AF954" s="735">
        <f t="shared" si="653"/>
        <v>0</v>
      </c>
      <c r="AG954" s="824">
        <f t="shared" si="654"/>
        <v>0</v>
      </c>
      <c r="AH954" s="711">
        <v>1</v>
      </c>
      <c r="AI954" s="735">
        <f t="shared" si="664"/>
        <v>392208.52</v>
      </c>
    </row>
    <row r="955" spans="1:35" x14ac:dyDescent="0.2">
      <c r="A955" s="704"/>
      <c r="B955" s="711">
        <v>1</v>
      </c>
      <c r="C955" s="735">
        <v>2640.33</v>
      </c>
      <c r="D955" s="735"/>
      <c r="E955" s="735"/>
      <c r="F955" s="735"/>
      <c r="G955" s="735"/>
      <c r="H955" s="735"/>
      <c r="I955" s="735"/>
      <c r="J955" s="735">
        <v>200</v>
      </c>
      <c r="K955" s="735">
        <f t="shared" si="668"/>
        <v>2840.33</v>
      </c>
      <c r="L955" s="735">
        <v>1000</v>
      </c>
      <c r="M955" s="735"/>
      <c r="N955" s="735">
        <f t="shared" si="665"/>
        <v>1000</v>
      </c>
      <c r="O955" s="735">
        <f t="shared" si="666"/>
        <v>35083.96</v>
      </c>
      <c r="P955" s="735">
        <f t="shared" si="667"/>
        <v>35083.96</v>
      </c>
      <c r="Q955" s="711">
        <v>1</v>
      </c>
      <c r="R955" s="735">
        <v>2640.33</v>
      </c>
      <c r="S955" s="735"/>
      <c r="T955" s="735"/>
      <c r="U955" s="735"/>
      <c r="V955" s="735"/>
      <c r="W955" s="735"/>
      <c r="X955" s="735"/>
      <c r="Y955" s="735">
        <v>200</v>
      </c>
      <c r="Z955" s="735">
        <f t="shared" si="660"/>
        <v>2840.33</v>
      </c>
      <c r="AA955" s="735">
        <v>1000</v>
      </c>
      <c r="AB955" s="735"/>
      <c r="AC955" s="735">
        <f t="shared" si="661"/>
        <v>1000</v>
      </c>
      <c r="AD955" s="735">
        <f t="shared" si="662"/>
        <v>35083.96</v>
      </c>
      <c r="AE955" s="735">
        <f t="shared" si="663"/>
        <v>35083.96</v>
      </c>
      <c r="AF955" s="735">
        <f t="shared" si="653"/>
        <v>0</v>
      </c>
      <c r="AG955" s="824">
        <f t="shared" si="654"/>
        <v>0</v>
      </c>
      <c r="AH955" s="711">
        <v>1</v>
      </c>
      <c r="AI955" s="735">
        <f t="shared" si="664"/>
        <v>421008.52</v>
      </c>
    </row>
    <row r="956" spans="1:35" x14ac:dyDescent="0.2">
      <c r="A956" s="704"/>
      <c r="B956" s="711">
        <v>1</v>
      </c>
      <c r="C956" s="735">
        <v>2640.33</v>
      </c>
      <c r="D956" s="735"/>
      <c r="E956" s="735"/>
      <c r="F956" s="735"/>
      <c r="G956" s="735"/>
      <c r="H956" s="735"/>
      <c r="I956" s="735"/>
      <c r="J956" s="735">
        <v>0</v>
      </c>
      <c r="K956" s="735">
        <f t="shared" si="668"/>
        <v>2640.33</v>
      </c>
      <c r="L956" s="735">
        <v>1000</v>
      </c>
      <c r="M956" s="735"/>
      <c r="N956" s="735">
        <f t="shared" si="665"/>
        <v>1000</v>
      </c>
      <c r="O956" s="735">
        <f t="shared" si="666"/>
        <v>32683.96</v>
      </c>
      <c r="P956" s="735">
        <f t="shared" si="667"/>
        <v>32683.96</v>
      </c>
      <c r="Q956" s="711">
        <v>1</v>
      </c>
      <c r="R956" s="735">
        <v>2640.33</v>
      </c>
      <c r="S956" s="735"/>
      <c r="T956" s="735"/>
      <c r="U956" s="735"/>
      <c r="V956" s="735"/>
      <c r="W956" s="735"/>
      <c r="X956" s="735"/>
      <c r="Y956" s="735">
        <v>0</v>
      </c>
      <c r="Z956" s="735">
        <f t="shared" si="660"/>
        <v>2640.33</v>
      </c>
      <c r="AA956" s="735">
        <v>1000</v>
      </c>
      <c r="AB956" s="735"/>
      <c r="AC956" s="735">
        <f t="shared" si="661"/>
        <v>1000</v>
      </c>
      <c r="AD956" s="735">
        <f t="shared" si="662"/>
        <v>32683.96</v>
      </c>
      <c r="AE956" s="735">
        <f t="shared" si="663"/>
        <v>32683.96</v>
      </c>
      <c r="AF956" s="735">
        <f t="shared" si="653"/>
        <v>0</v>
      </c>
      <c r="AG956" s="824">
        <f t="shared" si="654"/>
        <v>0</v>
      </c>
      <c r="AH956" s="711">
        <v>1</v>
      </c>
      <c r="AI956" s="735">
        <f t="shared" si="664"/>
        <v>392208.52</v>
      </c>
    </row>
    <row r="957" spans="1:35" x14ac:dyDescent="0.2">
      <c r="A957" s="704"/>
      <c r="B957" s="711">
        <v>1</v>
      </c>
      <c r="C957" s="735">
        <v>2640.33</v>
      </c>
      <c r="D957" s="735"/>
      <c r="E957" s="735"/>
      <c r="F957" s="735"/>
      <c r="G957" s="735"/>
      <c r="H957" s="735"/>
      <c r="I957" s="735"/>
      <c r="J957" s="735">
        <v>0</v>
      </c>
      <c r="K957" s="735">
        <f t="shared" si="668"/>
        <v>2640.33</v>
      </c>
      <c r="L957" s="735">
        <v>1000</v>
      </c>
      <c r="M957" s="735"/>
      <c r="N957" s="735">
        <f t="shared" si="665"/>
        <v>1000</v>
      </c>
      <c r="O957" s="735">
        <f t="shared" si="666"/>
        <v>32683.96</v>
      </c>
      <c r="P957" s="735">
        <f t="shared" si="667"/>
        <v>32683.96</v>
      </c>
      <c r="Q957" s="711">
        <v>1</v>
      </c>
      <c r="R957" s="735">
        <v>2640.33</v>
      </c>
      <c r="S957" s="735"/>
      <c r="T957" s="735"/>
      <c r="U957" s="735"/>
      <c r="V957" s="735"/>
      <c r="W957" s="735"/>
      <c r="X957" s="735"/>
      <c r="Y957" s="735">
        <v>0</v>
      </c>
      <c r="Z957" s="735">
        <f t="shared" si="660"/>
        <v>2640.33</v>
      </c>
      <c r="AA957" s="735">
        <v>1000</v>
      </c>
      <c r="AB957" s="735"/>
      <c r="AC957" s="735">
        <f t="shared" si="661"/>
        <v>1000</v>
      </c>
      <c r="AD957" s="735">
        <f t="shared" si="662"/>
        <v>32683.96</v>
      </c>
      <c r="AE957" s="735">
        <f t="shared" si="663"/>
        <v>32683.96</v>
      </c>
      <c r="AF957" s="735">
        <f t="shared" si="653"/>
        <v>0</v>
      </c>
      <c r="AG957" s="824">
        <f t="shared" si="654"/>
        <v>0</v>
      </c>
      <c r="AH957" s="711">
        <v>1</v>
      </c>
      <c r="AI957" s="735">
        <f t="shared" si="664"/>
        <v>392208.52</v>
      </c>
    </row>
    <row r="958" spans="1:35" x14ac:dyDescent="0.2">
      <c r="A958" s="704"/>
      <c r="B958" s="711">
        <v>1</v>
      </c>
      <c r="C958" s="735">
        <v>2640.33</v>
      </c>
      <c r="D958" s="735"/>
      <c r="E958" s="735"/>
      <c r="F958" s="735"/>
      <c r="G958" s="735"/>
      <c r="H958" s="735"/>
      <c r="I958" s="735"/>
      <c r="J958" s="735">
        <v>0</v>
      </c>
      <c r="K958" s="735">
        <f t="shared" si="668"/>
        <v>2640.33</v>
      </c>
      <c r="L958" s="735">
        <v>1000</v>
      </c>
      <c r="M958" s="735"/>
      <c r="N958" s="735">
        <f t="shared" si="665"/>
        <v>1000</v>
      </c>
      <c r="O958" s="735">
        <f t="shared" si="666"/>
        <v>32683.96</v>
      </c>
      <c r="P958" s="735">
        <f t="shared" si="667"/>
        <v>32683.96</v>
      </c>
      <c r="Q958" s="711">
        <v>1</v>
      </c>
      <c r="R958" s="735">
        <v>2640.33</v>
      </c>
      <c r="S958" s="735"/>
      <c r="T958" s="735"/>
      <c r="U958" s="735"/>
      <c r="V958" s="735"/>
      <c r="W958" s="735"/>
      <c r="X958" s="735"/>
      <c r="Y958" s="735">
        <v>0</v>
      </c>
      <c r="Z958" s="735">
        <f t="shared" si="660"/>
        <v>2640.33</v>
      </c>
      <c r="AA958" s="735">
        <v>1000</v>
      </c>
      <c r="AB958" s="735"/>
      <c r="AC958" s="735">
        <f t="shared" si="661"/>
        <v>1000</v>
      </c>
      <c r="AD958" s="735">
        <f t="shared" si="662"/>
        <v>32683.96</v>
      </c>
      <c r="AE958" s="735">
        <f t="shared" si="663"/>
        <v>32683.96</v>
      </c>
      <c r="AF958" s="735">
        <f t="shared" si="653"/>
        <v>0</v>
      </c>
      <c r="AG958" s="824">
        <f t="shared" si="654"/>
        <v>0</v>
      </c>
      <c r="AH958" s="711">
        <v>1</v>
      </c>
      <c r="AI958" s="735">
        <f t="shared" si="664"/>
        <v>392208.52</v>
      </c>
    </row>
    <row r="959" spans="1:35" x14ac:dyDescent="0.2">
      <c r="A959" s="704"/>
      <c r="B959" s="711">
        <v>1</v>
      </c>
      <c r="C959" s="735">
        <v>2640.33</v>
      </c>
      <c r="D959" s="735"/>
      <c r="E959" s="735"/>
      <c r="F959" s="735"/>
      <c r="G959" s="735"/>
      <c r="H959" s="735"/>
      <c r="I959" s="735"/>
      <c r="J959" s="735">
        <v>0</v>
      </c>
      <c r="K959" s="735">
        <f t="shared" si="668"/>
        <v>2640.33</v>
      </c>
      <c r="L959" s="735">
        <v>1000</v>
      </c>
      <c r="M959" s="735"/>
      <c r="N959" s="735">
        <f t="shared" si="665"/>
        <v>1000</v>
      </c>
      <c r="O959" s="735">
        <f t="shared" si="666"/>
        <v>32683.96</v>
      </c>
      <c r="P959" s="735">
        <f t="shared" si="667"/>
        <v>32683.96</v>
      </c>
      <c r="Q959" s="711">
        <v>1</v>
      </c>
      <c r="R959" s="735">
        <v>2640.33</v>
      </c>
      <c r="S959" s="735"/>
      <c r="T959" s="735"/>
      <c r="U959" s="735"/>
      <c r="V959" s="735"/>
      <c r="W959" s="735"/>
      <c r="X959" s="735"/>
      <c r="Y959" s="735">
        <v>0</v>
      </c>
      <c r="Z959" s="735">
        <f t="shared" si="660"/>
        <v>2640.33</v>
      </c>
      <c r="AA959" s="735">
        <v>1000</v>
      </c>
      <c r="AB959" s="735"/>
      <c r="AC959" s="735">
        <f t="shared" si="661"/>
        <v>1000</v>
      </c>
      <c r="AD959" s="735">
        <f t="shared" si="662"/>
        <v>32683.96</v>
      </c>
      <c r="AE959" s="735">
        <f t="shared" si="663"/>
        <v>32683.96</v>
      </c>
      <c r="AF959" s="735">
        <f t="shared" si="653"/>
        <v>0</v>
      </c>
      <c r="AG959" s="824">
        <f t="shared" si="654"/>
        <v>0</v>
      </c>
      <c r="AH959" s="711">
        <v>1</v>
      </c>
      <c r="AI959" s="735">
        <f t="shared" si="664"/>
        <v>392208.52</v>
      </c>
    </row>
    <row r="960" spans="1:35" x14ac:dyDescent="0.2">
      <c r="A960" s="704"/>
      <c r="B960" s="711">
        <v>1</v>
      </c>
      <c r="C960" s="735">
        <v>2640.33</v>
      </c>
      <c r="D960" s="735"/>
      <c r="E960" s="735"/>
      <c r="F960" s="735"/>
      <c r="G960" s="735"/>
      <c r="H960" s="735"/>
      <c r="I960" s="735"/>
      <c r="J960" s="735">
        <v>850</v>
      </c>
      <c r="K960" s="735">
        <f t="shared" si="668"/>
        <v>3490.33</v>
      </c>
      <c r="L960" s="735">
        <v>1000</v>
      </c>
      <c r="M960" s="735"/>
      <c r="N960" s="735">
        <f t="shared" si="665"/>
        <v>1000</v>
      </c>
      <c r="O960" s="735">
        <f t="shared" si="666"/>
        <v>42883.96</v>
      </c>
      <c r="P960" s="735">
        <f t="shared" si="667"/>
        <v>42883.96</v>
      </c>
      <c r="Q960" s="711">
        <v>1</v>
      </c>
      <c r="R960" s="735">
        <v>2640.33</v>
      </c>
      <c r="S960" s="735"/>
      <c r="T960" s="735"/>
      <c r="U960" s="735"/>
      <c r="V960" s="735"/>
      <c r="W960" s="735"/>
      <c r="X960" s="735"/>
      <c r="Y960" s="735">
        <v>850</v>
      </c>
      <c r="Z960" s="735">
        <f t="shared" si="660"/>
        <v>3490.33</v>
      </c>
      <c r="AA960" s="735">
        <v>1000</v>
      </c>
      <c r="AB960" s="735"/>
      <c r="AC960" s="735">
        <f t="shared" si="661"/>
        <v>1000</v>
      </c>
      <c r="AD960" s="735">
        <f t="shared" si="662"/>
        <v>42883.96</v>
      </c>
      <c r="AE960" s="735">
        <f t="shared" si="663"/>
        <v>42883.96</v>
      </c>
      <c r="AF960" s="735">
        <f t="shared" ref="AF960:AF1023" si="669">AD960-O960</f>
        <v>0</v>
      </c>
      <c r="AG960" s="824">
        <f t="shared" si="654"/>
        <v>0</v>
      </c>
      <c r="AH960" s="711">
        <v>1</v>
      </c>
      <c r="AI960" s="735">
        <f t="shared" si="664"/>
        <v>514608.52</v>
      </c>
    </row>
    <row r="961" spans="1:35" x14ac:dyDescent="0.2">
      <c r="A961" s="704"/>
      <c r="B961" s="711">
        <v>1</v>
      </c>
      <c r="C961" s="735">
        <v>2640.33</v>
      </c>
      <c r="D961" s="735"/>
      <c r="E961" s="735"/>
      <c r="F961" s="735"/>
      <c r="G961" s="735"/>
      <c r="H961" s="735"/>
      <c r="I961" s="735"/>
      <c r="J961" s="735">
        <v>790</v>
      </c>
      <c r="K961" s="735">
        <f t="shared" si="668"/>
        <v>3430.33</v>
      </c>
      <c r="L961" s="735">
        <v>1000</v>
      </c>
      <c r="M961" s="735"/>
      <c r="N961" s="735">
        <f t="shared" si="665"/>
        <v>1000</v>
      </c>
      <c r="O961" s="735">
        <f t="shared" si="666"/>
        <v>42163.96</v>
      </c>
      <c r="P961" s="735">
        <f t="shared" si="667"/>
        <v>42163.96</v>
      </c>
      <c r="Q961" s="711">
        <v>1</v>
      </c>
      <c r="R961" s="735">
        <v>2640.33</v>
      </c>
      <c r="S961" s="735"/>
      <c r="T961" s="735"/>
      <c r="U961" s="735"/>
      <c r="V961" s="735"/>
      <c r="W961" s="735"/>
      <c r="X961" s="735"/>
      <c r="Y961" s="735">
        <v>790</v>
      </c>
      <c r="Z961" s="735">
        <f t="shared" si="660"/>
        <v>3430.33</v>
      </c>
      <c r="AA961" s="735">
        <v>1000</v>
      </c>
      <c r="AB961" s="735"/>
      <c r="AC961" s="735">
        <f t="shared" si="661"/>
        <v>1000</v>
      </c>
      <c r="AD961" s="735">
        <f t="shared" si="662"/>
        <v>42163.96</v>
      </c>
      <c r="AE961" s="735">
        <f t="shared" si="663"/>
        <v>42163.96</v>
      </c>
      <c r="AF961" s="735">
        <f t="shared" si="669"/>
        <v>0</v>
      </c>
      <c r="AG961" s="824">
        <f t="shared" si="654"/>
        <v>0</v>
      </c>
      <c r="AH961" s="711">
        <v>1</v>
      </c>
      <c r="AI961" s="735">
        <f t="shared" si="664"/>
        <v>505968.52</v>
      </c>
    </row>
    <row r="962" spans="1:35" x14ac:dyDescent="0.2">
      <c r="A962" s="704"/>
      <c r="B962" s="711">
        <v>1</v>
      </c>
      <c r="C962" s="735">
        <v>2640.33</v>
      </c>
      <c r="D962" s="735"/>
      <c r="E962" s="735"/>
      <c r="F962" s="735"/>
      <c r="G962" s="735"/>
      <c r="H962" s="735"/>
      <c r="I962" s="735"/>
      <c r="J962" s="735">
        <v>640</v>
      </c>
      <c r="K962" s="735">
        <f t="shared" si="668"/>
        <v>3280.33</v>
      </c>
      <c r="L962" s="735">
        <v>1000</v>
      </c>
      <c r="M962" s="735"/>
      <c r="N962" s="735">
        <f t="shared" si="665"/>
        <v>1000</v>
      </c>
      <c r="O962" s="735">
        <f t="shared" si="666"/>
        <v>40363.96</v>
      </c>
      <c r="P962" s="735">
        <f t="shared" si="667"/>
        <v>40363.96</v>
      </c>
      <c r="Q962" s="711">
        <v>1</v>
      </c>
      <c r="R962" s="735">
        <v>2640.33</v>
      </c>
      <c r="S962" s="735"/>
      <c r="T962" s="735"/>
      <c r="U962" s="735"/>
      <c r="V962" s="735"/>
      <c r="W962" s="735"/>
      <c r="X962" s="735"/>
      <c r="Y962" s="735">
        <v>640</v>
      </c>
      <c r="Z962" s="735">
        <f t="shared" si="660"/>
        <v>3280.33</v>
      </c>
      <c r="AA962" s="735">
        <v>1000</v>
      </c>
      <c r="AB962" s="735"/>
      <c r="AC962" s="735">
        <f t="shared" si="661"/>
        <v>1000</v>
      </c>
      <c r="AD962" s="735">
        <f t="shared" si="662"/>
        <v>40363.96</v>
      </c>
      <c r="AE962" s="735">
        <f t="shared" si="663"/>
        <v>40363.96</v>
      </c>
      <c r="AF962" s="735">
        <f t="shared" si="669"/>
        <v>0</v>
      </c>
      <c r="AG962" s="824">
        <f t="shared" si="654"/>
        <v>0</v>
      </c>
      <c r="AH962" s="711">
        <v>1</v>
      </c>
      <c r="AI962" s="735">
        <f t="shared" si="664"/>
        <v>484368.52</v>
      </c>
    </row>
    <row r="963" spans="1:35" x14ac:dyDescent="0.2">
      <c r="A963" s="704"/>
      <c r="B963" s="711">
        <v>1</v>
      </c>
      <c r="C963" s="735">
        <v>2640.33</v>
      </c>
      <c r="D963" s="735"/>
      <c r="E963" s="735"/>
      <c r="F963" s="735"/>
      <c r="G963" s="735"/>
      <c r="H963" s="735"/>
      <c r="I963" s="735"/>
      <c r="J963" s="735">
        <v>640</v>
      </c>
      <c r="K963" s="735">
        <f t="shared" si="668"/>
        <v>3280.33</v>
      </c>
      <c r="L963" s="735">
        <v>1000</v>
      </c>
      <c r="M963" s="735"/>
      <c r="N963" s="735">
        <f t="shared" si="665"/>
        <v>1000</v>
      </c>
      <c r="O963" s="735">
        <f t="shared" si="666"/>
        <v>40363.96</v>
      </c>
      <c r="P963" s="735">
        <f t="shared" si="667"/>
        <v>40363.96</v>
      </c>
      <c r="Q963" s="711">
        <v>1</v>
      </c>
      <c r="R963" s="735">
        <v>2640.33</v>
      </c>
      <c r="S963" s="735"/>
      <c r="T963" s="735"/>
      <c r="U963" s="735"/>
      <c r="V963" s="735"/>
      <c r="W963" s="735"/>
      <c r="X963" s="735"/>
      <c r="Y963" s="735">
        <v>640</v>
      </c>
      <c r="Z963" s="735">
        <f t="shared" si="660"/>
        <v>3280.33</v>
      </c>
      <c r="AA963" s="735">
        <v>1000</v>
      </c>
      <c r="AB963" s="735"/>
      <c r="AC963" s="735">
        <f t="shared" si="661"/>
        <v>1000</v>
      </c>
      <c r="AD963" s="735">
        <f t="shared" si="662"/>
        <v>40363.96</v>
      </c>
      <c r="AE963" s="735">
        <f t="shared" si="663"/>
        <v>40363.96</v>
      </c>
      <c r="AF963" s="735">
        <f t="shared" si="669"/>
        <v>0</v>
      </c>
      <c r="AG963" s="824">
        <f t="shared" si="654"/>
        <v>0</v>
      </c>
      <c r="AH963" s="711">
        <v>1</v>
      </c>
      <c r="AI963" s="735">
        <f t="shared" si="664"/>
        <v>484368.52</v>
      </c>
    </row>
    <row r="964" spans="1:35" x14ac:dyDescent="0.2">
      <c r="A964" s="704"/>
      <c r="B964" s="711">
        <v>1</v>
      </c>
      <c r="C964" s="735">
        <v>2640.33</v>
      </c>
      <c r="D964" s="735"/>
      <c r="E964" s="735"/>
      <c r="F964" s="735"/>
      <c r="G964" s="735"/>
      <c r="H964" s="735"/>
      <c r="I964" s="735"/>
      <c r="J964" s="735">
        <v>0</v>
      </c>
      <c r="K964" s="735">
        <f t="shared" si="668"/>
        <v>2640.33</v>
      </c>
      <c r="L964" s="735">
        <v>1000</v>
      </c>
      <c r="M964" s="735"/>
      <c r="N964" s="735">
        <f t="shared" si="665"/>
        <v>1000</v>
      </c>
      <c r="O964" s="735">
        <f t="shared" si="666"/>
        <v>32683.96</v>
      </c>
      <c r="P964" s="735">
        <f t="shared" si="667"/>
        <v>32683.96</v>
      </c>
      <c r="Q964" s="711">
        <v>1</v>
      </c>
      <c r="R964" s="735">
        <v>2640.33</v>
      </c>
      <c r="S964" s="735"/>
      <c r="T964" s="735"/>
      <c r="U964" s="735"/>
      <c r="V964" s="735"/>
      <c r="W964" s="735"/>
      <c r="X964" s="735"/>
      <c r="Y964" s="735">
        <v>0</v>
      </c>
      <c r="Z964" s="735">
        <f t="shared" si="660"/>
        <v>2640.33</v>
      </c>
      <c r="AA964" s="735">
        <v>1000</v>
      </c>
      <c r="AB964" s="735"/>
      <c r="AC964" s="735">
        <f t="shared" si="661"/>
        <v>1000</v>
      </c>
      <c r="AD964" s="735">
        <f t="shared" si="662"/>
        <v>32683.96</v>
      </c>
      <c r="AE964" s="735">
        <f t="shared" si="663"/>
        <v>32683.96</v>
      </c>
      <c r="AF964" s="735">
        <f t="shared" si="669"/>
        <v>0</v>
      </c>
      <c r="AG964" s="824">
        <f t="shared" si="654"/>
        <v>0</v>
      </c>
      <c r="AH964" s="711">
        <v>1</v>
      </c>
      <c r="AI964" s="735">
        <f t="shared" si="664"/>
        <v>392208.52</v>
      </c>
    </row>
    <row r="965" spans="1:35" x14ac:dyDescent="0.2">
      <c r="A965" s="704"/>
      <c r="B965" s="711">
        <v>1</v>
      </c>
      <c r="C965" s="735">
        <v>2640.33</v>
      </c>
      <c r="D965" s="735"/>
      <c r="E965" s="735"/>
      <c r="F965" s="735"/>
      <c r="G965" s="735"/>
      <c r="H965" s="735"/>
      <c r="I965" s="735"/>
      <c r="J965" s="735">
        <v>70</v>
      </c>
      <c r="K965" s="735">
        <f t="shared" si="668"/>
        <v>2710.33</v>
      </c>
      <c r="L965" s="735">
        <v>1000</v>
      </c>
      <c r="M965" s="735"/>
      <c r="N965" s="735">
        <f t="shared" si="665"/>
        <v>1000</v>
      </c>
      <c r="O965" s="735">
        <f t="shared" si="666"/>
        <v>33523.96</v>
      </c>
      <c r="P965" s="735">
        <f t="shared" si="667"/>
        <v>33523.96</v>
      </c>
      <c r="Q965" s="711">
        <v>1</v>
      </c>
      <c r="R965" s="735">
        <v>2640.33</v>
      </c>
      <c r="S965" s="735"/>
      <c r="T965" s="735"/>
      <c r="U965" s="735"/>
      <c r="V965" s="735"/>
      <c r="W965" s="735"/>
      <c r="X965" s="735"/>
      <c r="Y965" s="735">
        <v>70</v>
      </c>
      <c r="Z965" s="735">
        <f t="shared" si="660"/>
        <v>2710.33</v>
      </c>
      <c r="AA965" s="735">
        <v>1000</v>
      </c>
      <c r="AB965" s="735"/>
      <c r="AC965" s="735">
        <f t="shared" si="661"/>
        <v>1000</v>
      </c>
      <c r="AD965" s="735">
        <f t="shared" si="662"/>
        <v>33523.96</v>
      </c>
      <c r="AE965" s="735">
        <f t="shared" si="663"/>
        <v>33523.96</v>
      </c>
      <c r="AF965" s="735">
        <f t="shared" si="669"/>
        <v>0</v>
      </c>
      <c r="AG965" s="824">
        <f t="shared" si="654"/>
        <v>0</v>
      </c>
      <c r="AH965" s="711">
        <v>1</v>
      </c>
      <c r="AI965" s="735">
        <f t="shared" si="664"/>
        <v>402288.52</v>
      </c>
    </row>
    <row r="966" spans="1:35" x14ac:dyDescent="0.2">
      <c r="A966" s="704"/>
      <c r="B966" s="711">
        <v>1</v>
      </c>
      <c r="C966" s="735">
        <v>2640.33</v>
      </c>
      <c r="D966" s="735"/>
      <c r="E966" s="735"/>
      <c r="F966" s="735"/>
      <c r="G966" s="735"/>
      <c r="H966" s="735"/>
      <c r="I966" s="735"/>
      <c r="J966" s="735">
        <v>0</v>
      </c>
      <c r="K966" s="735">
        <f t="shared" si="668"/>
        <v>2640.33</v>
      </c>
      <c r="L966" s="735">
        <v>1000</v>
      </c>
      <c r="M966" s="735"/>
      <c r="N966" s="735">
        <f t="shared" si="665"/>
        <v>1000</v>
      </c>
      <c r="O966" s="735">
        <f t="shared" si="666"/>
        <v>32683.96</v>
      </c>
      <c r="P966" s="735">
        <f t="shared" si="667"/>
        <v>32683.96</v>
      </c>
      <c r="Q966" s="711">
        <v>1</v>
      </c>
      <c r="R966" s="735">
        <v>2640.33</v>
      </c>
      <c r="S966" s="735"/>
      <c r="T966" s="735"/>
      <c r="U966" s="735"/>
      <c r="V966" s="735"/>
      <c r="W966" s="735"/>
      <c r="X966" s="735"/>
      <c r="Y966" s="735">
        <v>0</v>
      </c>
      <c r="Z966" s="735">
        <f t="shared" si="660"/>
        <v>2640.33</v>
      </c>
      <c r="AA966" s="735">
        <v>1000</v>
      </c>
      <c r="AB966" s="735"/>
      <c r="AC966" s="735">
        <f t="shared" si="661"/>
        <v>1000</v>
      </c>
      <c r="AD966" s="735">
        <f t="shared" si="662"/>
        <v>32683.96</v>
      </c>
      <c r="AE966" s="735">
        <f t="shared" si="663"/>
        <v>32683.96</v>
      </c>
      <c r="AF966" s="735">
        <f t="shared" si="669"/>
        <v>0</v>
      </c>
      <c r="AG966" s="824">
        <f t="shared" si="654"/>
        <v>0</v>
      </c>
      <c r="AH966" s="711">
        <v>1</v>
      </c>
      <c r="AI966" s="735">
        <f t="shared" si="664"/>
        <v>392208.52</v>
      </c>
    </row>
    <row r="967" spans="1:35" x14ac:dyDescent="0.2">
      <c r="A967" s="704"/>
      <c r="B967" s="711">
        <v>1</v>
      </c>
      <c r="C967" s="735">
        <v>2640.33</v>
      </c>
      <c r="D967" s="735"/>
      <c r="E967" s="735"/>
      <c r="F967" s="735"/>
      <c r="G967" s="735"/>
      <c r="H967" s="735"/>
      <c r="I967" s="735"/>
      <c r="J967" s="735">
        <v>600</v>
      </c>
      <c r="K967" s="735">
        <f t="shared" si="668"/>
        <v>3240.33</v>
      </c>
      <c r="L967" s="735">
        <v>1000</v>
      </c>
      <c r="M967" s="735"/>
      <c r="N967" s="735">
        <f t="shared" si="665"/>
        <v>1000</v>
      </c>
      <c r="O967" s="735">
        <f t="shared" si="666"/>
        <v>39883.96</v>
      </c>
      <c r="P967" s="735">
        <f t="shared" si="667"/>
        <v>39883.96</v>
      </c>
      <c r="Q967" s="711">
        <v>1</v>
      </c>
      <c r="R967" s="735">
        <v>2640.33</v>
      </c>
      <c r="S967" s="735"/>
      <c r="T967" s="735"/>
      <c r="U967" s="735"/>
      <c r="V967" s="735"/>
      <c r="W967" s="735"/>
      <c r="X967" s="735"/>
      <c r="Y967" s="735">
        <v>600</v>
      </c>
      <c r="Z967" s="735">
        <f t="shared" si="660"/>
        <v>3240.33</v>
      </c>
      <c r="AA967" s="735">
        <v>1000</v>
      </c>
      <c r="AB967" s="735"/>
      <c r="AC967" s="735">
        <f t="shared" si="661"/>
        <v>1000</v>
      </c>
      <c r="AD967" s="735">
        <f t="shared" si="662"/>
        <v>39883.96</v>
      </c>
      <c r="AE967" s="735">
        <f t="shared" si="663"/>
        <v>39883.96</v>
      </c>
      <c r="AF967" s="735">
        <f t="shared" si="669"/>
        <v>0</v>
      </c>
      <c r="AG967" s="824">
        <f t="shared" si="654"/>
        <v>0</v>
      </c>
      <c r="AH967" s="711">
        <v>1</v>
      </c>
      <c r="AI967" s="735">
        <f t="shared" si="664"/>
        <v>478608.52</v>
      </c>
    </row>
    <row r="968" spans="1:35" x14ac:dyDescent="0.2">
      <c r="A968" s="704"/>
      <c r="B968" s="711">
        <v>1</v>
      </c>
      <c r="C968" s="735">
        <v>2640.33</v>
      </c>
      <c r="D968" s="735"/>
      <c r="E968" s="735"/>
      <c r="F968" s="735"/>
      <c r="G968" s="735"/>
      <c r="H968" s="735"/>
      <c r="I968" s="735"/>
      <c r="J968" s="735">
        <v>50</v>
      </c>
      <c r="K968" s="735">
        <f t="shared" si="668"/>
        <v>2690.33</v>
      </c>
      <c r="L968" s="735">
        <v>1000</v>
      </c>
      <c r="M968" s="735"/>
      <c r="N968" s="735">
        <f t="shared" si="665"/>
        <v>1000</v>
      </c>
      <c r="O968" s="735">
        <f t="shared" si="666"/>
        <v>33283.96</v>
      </c>
      <c r="P968" s="735">
        <f t="shared" si="667"/>
        <v>33283.96</v>
      </c>
      <c r="Q968" s="711">
        <v>1</v>
      </c>
      <c r="R968" s="735">
        <v>2640.33</v>
      </c>
      <c r="S968" s="735"/>
      <c r="T968" s="735"/>
      <c r="U968" s="735"/>
      <c r="V968" s="735"/>
      <c r="W968" s="735"/>
      <c r="X968" s="735"/>
      <c r="Y968" s="735">
        <v>50</v>
      </c>
      <c r="Z968" s="735">
        <f t="shared" si="660"/>
        <v>2690.33</v>
      </c>
      <c r="AA968" s="735">
        <v>1000</v>
      </c>
      <c r="AB968" s="735"/>
      <c r="AC968" s="735">
        <f t="shared" si="661"/>
        <v>1000</v>
      </c>
      <c r="AD968" s="735">
        <f t="shared" si="662"/>
        <v>33283.96</v>
      </c>
      <c r="AE968" s="735">
        <f t="shared" si="663"/>
        <v>33283.96</v>
      </c>
      <c r="AF968" s="735">
        <f t="shared" si="669"/>
        <v>0</v>
      </c>
      <c r="AG968" s="824">
        <f t="shared" si="654"/>
        <v>0</v>
      </c>
      <c r="AH968" s="711">
        <v>1</v>
      </c>
      <c r="AI968" s="735">
        <f t="shared" si="664"/>
        <v>399408.52</v>
      </c>
    </row>
    <row r="969" spans="1:35" x14ac:dyDescent="0.2">
      <c r="A969" s="704"/>
      <c r="B969" s="711">
        <v>1</v>
      </c>
      <c r="C969" s="735">
        <v>2640.33</v>
      </c>
      <c r="D969" s="735"/>
      <c r="E969" s="735"/>
      <c r="F969" s="735"/>
      <c r="G969" s="735"/>
      <c r="H969" s="735"/>
      <c r="I969" s="735"/>
      <c r="J969" s="735">
        <v>790</v>
      </c>
      <c r="K969" s="735">
        <f t="shared" si="668"/>
        <v>3430.33</v>
      </c>
      <c r="L969" s="735">
        <v>1000</v>
      </c>
      <c r="M969" s="735"/>
      <c r="N969" s="735">
        <f t="shared" si="665"/>
        <v>1000</v>
      </c>
      <c r="O969" s="735">
        <f t="shared" si="666"/>
        <v>42163.96</v>
      </c>
      <c r="P969" s="735">
        <f t="shared" si="667"/>
        <v>42163.96</v>
      </c>
      <c r="Q969" s="711">
        <v>1</v>
      </c>
      <c r="R969" s="735">
        <v>2640.33</v>
      </c>
      <c r="S969" s="735"/>
      <c r="T969" s="735"/>
      <c r="U969" s="735"/>
      <c r="V969" s="735"/>
      <c r="W969" s="735"/>
      <c r="X969" s="735"/>
      <c r="Y969" s="735">
        <v>790</v>
      </c>
      <c r="Z969" s="735">
        <f t="shared" si="660"/>
        <v>3430.33</v>
      </c>
      <c r="AA969" s="735">
        <v>1000</v>
      </c>
      <c r="AB969" s="735"/>
      <c r="AC969" s="735">
        <f t="shared" si="661"/>
        <v>1000</v>
      </c>
      <c r="AD969" s="735">
        <f t="shared" si="662"/>
        <v>42163.96</v>
      </c>
      <c r="AE969" s="735">
        <f t="shared" si="663"/>
        <v>42163.96</v>
      </c>
      <c r="AF969" s="735">
        <f t="shared" si="669"/>
        <v>0</v>
      </c>
      <c r="AG969" s="824">
        <f t="shared" si="654"/>
        <v>0</v>
      </c>
      <c r="AH969" s="711">
        <v>1</v>
      </c>
      <c r="AI969" s="735">
        <f t="shared" si="664"/>
        <v>505968.52</v>
      </c>
    </row>
    <row r="970" spans="1:35" x14ac:dyDescent="0.2">
      <c r="A970" s="704"/>
      <c r="B970" s="711">
        <v>1</v>
      </c>
      <c r="C970" s="735">
        <v>2640.33</v>
      </c>
      <c r="D970" s="735"/>
      <c r="E970" s="735"/>
      <c r="F970" s="735"/>
      <c r="G970" s="735"/>
      <c r="H970" s="735"/>
      <c r="I970" s="735"/>
      <c r="J970" s="735">
        <v>0</v>
      </c>
      <c r="K970" s="735">
        <f t="shared" si="668"/>
        <v>2640.33</v>
      </c>
      <c r="L970" s="735">
        <v>1000</v>
      </c>
      <c r="M970" s="735"/>
      <c r="N970" s="735">
        <f t="shared" si="665"/>
        <v>1000</v>
      </c>
      <c r="O970" s="735">
        <f t="shared" si="666"/>
        <v>32683.96</v>
      </c>
      <c r="P970" s="735">
        <f t="shared" si="667"/>
        <v>32683.96</v>
      </c>
      <c r="Q970" s="711">
        <v>1</v>
      </c>
      <c r="R970" s="735">
        <v>2640.33</v>
      </c>
      <c r="S970" s="735"/>
      <c r="T970" s="735"/>
      <c r="U970" s="735"/>
      <c r="V970" s="735"/>
      <c r="W970" s="735"/>
      <c r="X970" s="735"/>
      <c r="Y970" s="735">
        <v>0</v>
      </c>
      <c r="Z970" s="735">
        <f t="shared" si="660"/>
        <v>2640.33</v>
      </c>
      <c r="AA970" s="735">
        <v>1000</v>
      </c>
      <c r="AB970" s="735"/>
      <c r="AC970" s="735">
        <f t="shared" si="661"/>
        <v>1000</v>
      </c>
      <c r="AD970" s="735">
        <f t="shared" si="662"/>
        <v>32683.96</v>
      </c>
      <c r="AE970" s="735">
        <f t="shared" si="663"/>
        <v>32683.96</v>
      </c>
      <c r="AF970" s="735">
        <f t="shared" si="669"/>
        <v>0</v>
      </c>
      <c r="AG970" s="824">
        <f t="shared" ref="AG970:AG1033" si="670">P970-AE970</f>
        <v>0</v>
      </c>
      <c r="AH970" s="711">
        <v>1</v>
      </c>
      <c r="AI970" s="735">
        <f t="shared" si="664"/>
        <v>392208.52</v>
      </c>
    </row>
    <row r="971" spans="1:35" x14ac:dyDescent="0.2">
      <c r="A971" s="704"/>
      <c r="B971" s="711">
        <v>1</v>
      </c>
      <c r="C971" s="735">
        <v>2640.33</v>
      </c>
      <c r="D971" s="735"/>
      <c r="E971" s="735"/>
      <c r="F971" s="735"/>
      <c r="G971" s="735"/>
      <c r="H971" s="735"/>
      <c r="I971" s="735"/>
      <c r="J971" s="735">
        <v>50</v>
      </c>
      <c r="K971" s="735">
        <f t="shared" si="668"/>
        <v>2690.33</v>
      </c>
      <c r="L971" s="735">
        <v>1000</v>
      </c>
      <c r="M971" s="735"/>
      <c r="N971" s="735">
        <f t="shared" si="665"/>
        <v>1000</v>
      </c>
      <c r="O971" s="735">
        <f t="shared" si="666"/>
        <v>33283.96</v>
      </c>
      <c r="P971" s="735">
        <f t="shared" si="667"/>
        <v>33283.96</v>
      </c>
      <c r="Q971" s="711">
        <v>1</v>
      </c>
      <c r="R971" s="735">
        <v>2640.33</v>
      </c>
      <c r="S971" s="735"/>
      <c r="T971" s="735"/>
      <c r="U971" s="735"/>
      <c r="V971" s="735"/>
      <c r="W971" s="735"/>
      <c r="X971" s="735"/>
      <c r="Y971" s="735">
        <v>50</v>
      </c>
      <c r="Z971" s="735">
        <f t="shared" si="660"/>
        <v>2690.33</v>
      </c>
      <c r="AA971" s="735">
        <v>1000</v>
      </c>
      <c r="AB971" s="735"/>
      <c r="AC971" s="735">
        <f t="shared" si="661"/>
        <v>1000</v>
      </c>
      <c r="AD971" s="735">
        <f t="shared" si="662"/>
        <v>33283.96</v>
      </c>
      <c r="AE971" s="735">
        <f t="shared" si="663"/>
        <v>33283.96</v>
      </c>
      <c r="AF971" s="735">
        <f t="shared" si="669"/>
        <v>0</v>
      </c>
      <c r="AG971" s="824">
        <f t="shared" si="670"/>
        <v>0</v>
      </c>
      <c r="AH971" s="711">
        <v>1</v>
      </c>
      <c r="AI971" s="735">
        <f t="shared" si="664"/>
        <v>399408.52</v>
      </c>
    </row>
    <row r="972" spans="1:35" x14ac:dyDescent="0.2">
      <c r="A972" s="704"/>
      <c r="B972" s="711">
        <v>1</v>
      </c>
      <c r="C972" s="735">
        <v>2640.33</v>
      </c>
      <c r="D972" s="735"/>
      <c r="E972" s="735"/>
      <c r="F972" s="735"/>
      <c r="G972" s="735"/>
      <c r="H972" s="735"/>
      <c r="I972" s="735"/>
      <c r="J972" s="735">
        <v>70</v>
      </c>
      <c r="K972" s="735">
        <f t="shared" si="668"/>
        <v>2710.33</v>
      </c>
      <c r="L972" s="735">
        <v>1000</v>
      </c>
      <c r="M972" s="735"/>
      <c r="N972" s="735">
        <f t="shared" si="665"/>
        <v>1000</v>
      </c>
      <c r="O972" s="735">
        <f t="shared" si="666"/>
        <v>33523.96</v>
      </c>
      <c r="P972" s="735">
        <f t="shared" si="667"/>
        <v>33523.96</v>
      </c>
      <c r="Q972" s="711">
        <v>1</v>
      </c>
      <c r="R972" s="735">
        <v>2640.33</v>
      </c>
      <c r="S972" s="735"/>
      <c r="T972" s="735"/>
      <c r="U972" s="735"/>
      <c r="V972" s="735"/>
      <c r="W972" s="735"/>
      <c r="X972" s="735"/>
      <c r="Y972" s="735">
        <v>70</v>
      </c>
      <c r="Z972" s="735">
        <f t="shared" si="660"/>
        <v>2710.33</v>
      </c>
      <c r="AA972" s="735">
        <v>1000</v>
      </c>
      <c r="AB972" s="735"/>
      <c r="AC972" s="735">
        <f t="shared" si="661"/>
        <v>1000</v>
      </c>
      <c r="AD972" s="735">
        <f t="shared" si="662"/>
        <v>33523.96</v>
      </c>
      <c r="AE972" s="735">
        <f t="shared" si="663"/>
        <v>33523.96</v>
      </c>
      <c r="AF972" s="735">
        <f t="shared" si="669"/>
        <v>0</v>
      </c>
      <c r="AG972" s="824">
        <f t="shared" si="670"/>
        <v>0</v>
      </c>
      <c r="AH972" s="711">
        <v>1</v>
      </c>
      <c r="AI972" s="735">
        <f t="shared" si="664"/>
        <v>402288.52</v>
      </c>
    </row>
    <row r="973" spans="1:35" x14ac:dyDescent="0.2">
      <c r="A973" s="704"/>
      <c r="B973" s="711">
        <v>1</v>
      </c>
      <c r="C973" s="735">
        <v>2640.33</v>
      </c>
      <c r="D973" s="735"/>
      <c r="E973" s="735"/>
      <c r="F973" s="735"/>
      <c r="G973" s="735"/>
      <c r="H973" s="735"/>
      <c r="I973" s="735"/>
      <c r="J973" s="735">
        <v>70</v>
      </c>
      <c r="K973" s="735">
        <f t="shared" si="668"/>
        <v>2710.33</v>
      </c>
      <c r="L973" s="735">
        <v>1000</v>
      </c>
      <c r="M973" s="735"/>
      <c r="N973" s="735">
        <f t="shared" si="665"/>
        <v>1000</v>
      </c>
      <c r="O973" s="735">
        <f t="shared" si="666"/>
        <v>33523.96</v>
      </c>
      <c r="P973" s="735">
        <f t="shared" si="667"/>
        <v>33523.96</v>
      </c>
      <c r="Q973" s="711">
        <v>1</v>
      </c>
      <c r="R973" s="735">
        <v>2640.33</v>
      </c>
      <c r="S973" s="735"/>
      <c r="T973" s="735"/>
      <c r="U973" s="735"/>
      <c r="V973" s="735"/>
      <c r="W973" s="735"/>
      <c r="X973" s="735"/>
      <c r="Y973" s="735">
        <v>70</v>
      </c>
      <c r="Z973" s="735">
        <f t="shared" si="660"/>
        <v>2710.33</v>
      </c>
      <c r="AA973" s="735">
        <v>1000</v>
      </c>
      <c r="AB973" s="735"/>
      <c r="AC973" s="735">
        <f t="shared" si="661"/>
        <v>1000</v>
      </c>
      <c r="AD973" s="735">
        <f t="shared" si="662"/>
        <v>33523.96</v>
      </c>
      <c r="AE973" s="735">
        <f t="shared" si="663"/>
        <v>33523.96</v>
      </c>
      <c r="AF973" s="735">
        <f t="shared" si="669"/>
        <v>0</v>
      </c>
      <c r="AG973" s="824">
        <f t="shared" si="670"/>
        <v>0</v>
      </c>
      <c r="AH973" s="711">
        <v>1</v>
      </c>
      <c r="AI973" s="735">
        <f t="shared" si="664"/>
        <v>402288.52</v>
      </c>
    </row>
    <row r="974" spans="1:35" x14ac:dyDescent="0.2">
      <c r="A974" s="704"/>
      <c r="B974" s="711">
        <v>1</v>
      </c>
      <c r="C974" s="735">
        <v>2640.33</v>
      </c>
      <c r="D974" s="735"/>
      <c r="E974" s="735"/>
      <c r="F974" s="735"/>
      <c r="G974" s="735"/>
      <c r="H974" s="735"/>
      <c r="I974" s="735"/>
      <c r="J974" s="735">
        <v>0</v>
      </c>
      <c r="K974" s="735">
        <f t="shared" si="668"/>
        <v>2640.33</v>
      </c>
      <c r="L974" s="735">
        <v>1000</v>
      </c>
      <c r="M974" s="735"/>
      <c r="N974" s="735">
        <f t="shared" si="665"/>
        <v>1000</v>
      </c>
      <c r="O974" s="735">
        <f t="shared" si="666"/>
        <v>32683.96</v>
      </c>
      <c r="P974" s="735">
        <f t="shared" si="667"/>
        <v>32683.96</v>
      </c>
      <c r="Q974" s="711">
        <v>1</v>
      </c>
      <c r="R974" s="735">
        <v>2640.33</v>
      </c>
      <c r="S974" s="735"/>
      <c r="T974" s="735"/>
      <c r="U974" s="735"/>
      <c r="V974" s="735"/>
      <c r="W974" s="735"/>
      <c r="X974" s="735"/>
      <c r="Y974" s="735">
        <v>0</v>
      </c>
      <c r="Z974" s="735">
        <f t="shared" si="660"/>
        <v>2640.33</v>
      </c>
      <c r="AA974" s="735">
        <v>1000</v>
      </c>
      <c r="AB974" s="735"/>
      <c r="AC974" s="735">
        <f t="shared" si="661"/>
        <v>1000</v>
      </c>
      <c r="AD974" s="735">
        <f t="shared" si="662"/>
        <v>32683.96</v>
      </c>
      <c r="AE974" s="735">
        <f t="shared" si="663"/>
        <v>32683.96</v>
      </c>
      <c r="AF974" s="735">
        <f t="shared" si="669"/>
        <v>0</v>
      </c>
      <c r="AG974" s="824">
        <f t="shared" si="670"/>
        <v>0</v>
      </c>
      <c r="AH974" s="711">
        <v>1</v>
      </c>
      <c r="AI974" s="735">
        <f t="shared" si="664"/>
        <v>392208.52</v>
      </c>
    </row>
    <row r="975" spans="1:35" x14ac:dyDescent="0.2">
      <c r="A975" s="704"/>
      <c r="B975" s="711">
        <v>1</v>
      </c>
      <c r="C975" s="735">
        <v>2640.33</v>
      </c>
      <c r="D975" s="735"/>
      <c r="E975" s="735"/>
      <c r="F975" s="735"/>
      <c r="G975" s="735"/>
      <c r="H975" s="735"/>
      <c r="I975" s="735"/>
      <c r="J975" s="735">
        <v>50</v>
      </c>
      <c r="K975" s="735">
        <f t="shared" si="668"/>
        <v>2690.33</v>
      </c>
      <c r="L975" s="735">
        <v>1000</v>
      </c>
      <c r="M975" s="735"/>
      <c r="N975" s="735">
        <f t="shared" si="665"/>
        <v>1000</v>
      </c>
      <c r="O975" s="735">
        <f t="shared" si="666"/>
        <v>33283.96</v>
      </c>
      <c r="P975" s="735">
        <f t="shared" si="667"/>
        <v>33283.96</v>
      </c>
      <c r="Q975" s="711">
        <v>1</v>
      </c>
      <c r="R975" s="735">
        <v>2640.33</v>
      </c>
      <c r="S975" s="735"/>
      <c r="T975" s="735"/>
      <c r="U975" s="735"/>
      <c r="V975" s="735"/>
      <c r="W975" s="735"/>
      <c r="X975" s="735"/>
      <c r="Y975" s="735">
        <v>50</v>
      </c>
      <c r="Z975" s="735">
        <f t="shared" si="660"/>
        <v>2690.33</v>
      </c>
      <c r="AA975" s="735">
        <v>1000</v>
      </c>
      <c r="AB975" s="735"/>
      <c r="AC975" s="735">
        <f t="shared" si="661"/>
        <v>1000</v>
      </c>
      <c r="AD975" s="735">
        <f t="shared" si="662"/>
        <v>33283.96</v>
      </c>
      <c r="AE975" s="735">
        <f t="shared" si="663"/>
        <v>33283.96</v>
      </c>
      <c r="AF975" s="735">
        <f t="shared" si="669"/>
        <v>0</v>
      </c>
      <c r="AG975" s="824">
        <f t="shared" si="670"/>
        <v>0</v>
      </c>
      <c r="AH975" s="711">
        <v>1</v>
      </c>
      <c r="AI975" s="735">
        <f t="shared" si="664"/>
        <v>399408.52</v>
      </c>
    </row>
    <row r="976" spans="1:35" x14ac:dyDescent="0.2">
      <c r="A976" s="704"/>
      <c r="B976" s="711">
        <v>1</v>
      </c>
      <c r="C976" s="735">
        <v>2640.33</v>
      </c>
      <c r="D976" s="735"/>
      <c r="E976" s="735"/>
      <c r="F976" s="735"/>
      <c r="G976" s="735"/>
      <c r="H976" s="735"/>
      <c r="I976" s="735"/>
      <c r="J976" s="735">
        <v>0</v>
      </c>
      <c r="K976" s="735">
        <f t="shared" si="668"/>
        <v>2640.33</v>
      </c>
      <c r="L976" s="735">
        <v>1000</v>
      </c>
      <c r="M976" s="735"/>
      <c r="N976" s="735">
        <f t="shared" si="665"/>
        <v>1000</v>
      </c>
      <c r="O976" s="735">
        <f t="shared" si="666"/>
        <v>32683.96</v>
      </c>
      <c r="P976" s="735">
        <f t="shared" si="667"/>
        <v>32683.96</v>
      </c>
      <c r="Q976" s="711">
        <v>1</v>
      </c>
      <c r="R976" s="735">
        <v>2640.33</v>
      </c>
      <c r="S976" s="735"/>
      <c r="T976" s="735"/>
      <c r="U976" s="735"/>
      <c r="V976" s="735"/>
      <c r="W976" s="735"/>
      <c r="X976" s="735"/>
      <c r="Y976" s="735">
        <v>0</v>
      </c>
      <c r="Z976" s="735">
        <f t="shared" si="660"/>
        <v>2640.33</v>
      </c>
      <c r="AA976" s="735">
        <v>1000</v>
      </c>
      <c r="AB976" s="735"/>
      <c r="AC976" s="735">
        <f t="shared" si="661"/>
        <v>1000</v>
      </c>
      <c r="AD976" s="735">
        <f t="shared" si="662"/>
        <v>32683.96</v>
      </c>
      <c r="AE976" s="735">
        <f t="shared" si="663"/>
        <v>32683.96</v>
      </c>
      <c r="AF976" s="735">
        <f t="shared" si="669"/>
        <v>0</v>
      </c>
      <c r="AG976" s="824">
        <f t="shared" si="670"/>
        <v>0</v>
      </c>
      <c r="AH976" s="711">
        <v>1</v>
      </c>
      <c r="AI976" s="735">
        <f t="shared" si="664"/>
        <v>392208.52</v>
      </c>
    </row>
    <row r="977" spans="1:35" x14ac:dyDescent="0.2">
      <c r="A977" s="704"/>
      <c r="B977" s="711">
        <v>1</v>
      </c>
      <c r="C977" s="735">
        <v>2640.33</v>
      </c>
      <c r="D977" s="735"/>
      <c r="E977" s="735"/>
      <c r="F977" s="735"/>
      <c r="G977" s="735"/>
      <c r="H977" s="735"/>
      <c r="I977" s="735"/>
      <c r="J977" s="735">
        <v>0</v>
      </c>
      <c r="K977" s="735">
        <f t="shared" si="668"/>
        <v>2640.33</v>
      </c>
      <c r="L977" s="735">
        <v>1000</v>
      </c>
      <c r="M977" s="735"/>
      <c r="N977" s="735">
        <f t="shared" si="665"/>
        <v>1000</v>
      </c>
      <c r="O977" s="735">
        <f t="shared" si="666"/>
        <v>32683.96</v>
      </c>
      <c r="P977" s="735">
        <f t="shared" si="667"/>
        <v>32683.96</v>
      </c>
      <c r="Q977" s="711">
        <v>1</v>
      </c>
      <c r="R977" s="735">
        <v>2640.33</v>
      </c>
      <c r="S977" s="735"/>
      <c r="T977" s="735"/>
      <c r="U977" s="735"/>
      <c r="V977" s="735"/>
      <c r="W977" s="735"/>
      <c r="X977" s="735"/>
      <c r="Y977" s="735">
        <v>0</v>
      </c>
      <c r="Z977" s="735">
        <f t="shared" si="660"/>
        <v>2640.33</v>
      </c>
      <c r="AA977" s="735">
        <v>1000</v>
      </c>
      <c r="AB977" s="735"/>
      <c r="AC977" s="735">
        <f t="shared" si="661"/>
        <v>1000</v>
      </c>
      <c r="AD977" s="735">
        <f t="shared" si="662"/>
        <v>32683.96</v>
      </c>
      <c r="AE977" s="735">
        <f t="shared" si="663"/>
        <v>32683.96</v>
      </c>
      <c r="AF977" s="735">
        <f t="shared" si="669"/>
        <v>0</v>
      </c>
      <c r="AG977" s="824">
        <f t="shared" si="670"/>
        <v>0</v>
      </c>
      <c r="AH977" s="711">
        <v>1</v>
      </c>
      <c r="AI977" s="735">
        <f t="shared" si="664"/>
        <v>392208.52</v>
      </c>
    </row>
    <row r="978" spans="1:35" x14ac:dyDescent="0.2">
      <c r="A978" s="873" t="s">
        <v>793</v>
      </c>
      <c r="B978" s="722">
        <f>SUM(B979:B1025)</f>
        <v>47</v>
      </c>
      <c r="C978" s="784">
        <f t="shared" ref="C978:I978" si="671">SUM(C979:C1025)</f>
        <v>150418.79999999987</v>
      </c>
      <c r="D978" s="784">
        <f t="shared" si="671"/>
        <v>0</v>
      </c>
      <c r="E978" s="784">
        <f t="shared" si="671"/>
        <v>0</v>
      </c>
      <c r="F978" s="784">
        <f t="shared" si="671"/>
        <v>0</v>
      </c>
      <c r="G978" s="784">
        <f t="shared" si="671"/>
        <v>0</v>
      </c>
      <c r="H978" s="784">
        <f t="shared" si="671"/>
        <v>0</v>
      </c>
      <c r="I978" s="784">
        <f t="shared" si="671"/>
        <v>0</v>
      </c>
      <c r="J978" s="784">
        <f>SUM(J979:J1025)</f>
        <v>46130</v>
      </c>
      <c r="K978" s="784">
        <f t="shared" ref="K978:L978" si="672">SUM(K979:K1025)</f>
        <v>196548.79999999984</v>
      </c>
      <c r="L978" s="784">
        <f t="shared" si="672"/>
        <v>47000</v>
      </c>
      <c r="M978" s="784"/>
      <c r="N978" s="784">
        <f>SUM(L978:M978)</f>
        <v>47000</v>
      </c>
      <c r="O978" s="784">
        <f>SUM(O979:O1025)</f>
        <v>2405585.6</v>
      </c>
      <c r="P978" s="784">
        <f>SUM(P979:P1025)</f>
        <v>2405585.6</v>
      </c>
      <c r="Q978" s="711">
        <f>SUM(Q979:Q1025)</f>
        <v>47</v>
      </c>
      <c r="R978" s="784">
        <f t="shared" ref="R978:X978" si="673">SUM(R979:R1025)</f>
        <v>150418.79999999987</v>
      </c>
      <c r="S978" s="784">
        <f t="shared" si="673"/>
        <v>0</v>
      </c>
      <c r="T978" s="784">
        <f t="shared" si="673"/>
        <v>0</v>
      </c>
      <c r="U978" s="784">
        <f t="shared" si="673"/>
        <v>0</v>
      </c>
      <c r="V978" s="784">
        <f t="shared" si="673"/>
        <v>0</v>
      </c>
      <c r="W978" s="784">
        <f t="shared" si="673"/>
        <v>0</v>
      </c>
      <c r="X978" s="784">
        <f t="shared" si="673"/>
        <v>0</v>
      </c>
      <c r="Y978" s="784">
        <f>SUM(Y979:Y1025)</f>
        <v>46130</v>
      </c>
      <c r="Z978" s="784">
        <f t="shared" ref="Z978:AA978" si="674">SUM(Z979:Z1025)</f>
        <v>196548.79999999984</v>
      </c>
      <c r="AA978" s="784">
        <f t="shared" si="674"/>
        <v>47000</v>
      </c>
      <c r="AB978" s="784"/>
      <c r="AC978" s="784">
        <f>SUM(AA978:AB978)</f>
        <v>47000</v>
      </c>
      <c r="AD978" s="784">
        <f>SUM(AD979:AD1025)</f>
        <v>2405585.6</v>
      </c>
      <c r="AE978" s="784">
        <f>SUM(AE979:AE1025)</f>
        <v>2405585.6</v>
      </c>
      <c r="AF978" s="784">
        <f t="shared" ref="AF978:AG978" si="675">SUM(AF979:AF1025)</f>
        <v>0</v>
      </c>
      <c r="AG978" s="786">
        <f t="shared" si="675"/>
        <v>0</v>
      </c>
      <c r="AH978" s="711">
        <f>SUM(AH979:AH1025)</f>
        <v>47</v>
      </c>
      <c r="AI978" s="784">
        <f>SUM(AI979:AI1025)</f>
        <v>28867074.200000022</v>
      </c>
    </row>
    <row r="979" spans="1:35" x14ac:dyDescent="0.2">
      <c r="A979" s="704"/>
      <c r="B979" s="711">
        <v>1</v>
      </c>
      <c r="C979" s="735">
        <v>3200.4</v>
      </c>
      <c r="D979" s="735"/>
      <c r="E979" s="735"/>
      <c r="F979" s="735"/>
      <c r="G979" s="735"/>
      <c r="H979" s="735"/>
      <c r="I979" s="735"/>
      <c r="J979" s="735">
        <v>50</v>
      </c>
      <c r="K979" s="735">
        <f t="shared" si="668"/>
        <v>3250.4</v>
      </c>
      <c r="L979" s="735">
        <v>1000</v>
      </c>
      <c r="M979" s="735"/>
      <c r="N979" s="735">
        <f t="shared" si="665"/>
        <v>1000</v>
      </c>
      <c r="O979" s="735">
        <f t="shared" ref="O979:O1042" si="676">(K979*12)+N979</f>
        <v>40004.800000000003</v>
      </c>
      <c r="P979" s="735">
        <f t="shared" ref="P979:P1042" si="677">B979*O979</f>
        <v>40004.800000000003</v>
      </c>
      <c r="Q979" s="711">
        <v>1</v>
      </c>
      <c r="R979" s="735">
        <v>3200.4</v>
      </c>
      <c r="S979" s="735"/>
      <c r="T979" s="735"/>
      <c r="U979" s="735"/>
      <c r="V979" s="735"/>
      <c r="W979" s="735"/>
      <c r="X979" s="735"/>
      <c r="Y979" s="735">
        <v>50</v>
      </c>
      <c r="Z979" s="735">
        <f t="shared" ref="Z979:Z986" si="678">SUM(R979:Y979)</f>
        <v>3250.4</v>
      </c>
      <c r="AA979" s="735">
        <v>1000</v>
      </c>
      <c r="AB979" s="735"/>
      <c r="AC979" s="735">
        <f t="shared" ref="AC979:AC1025" si="679">SUM(AA979:AB979)</f>
        <v>1000</v>
      </c>
      <c r="AD979" s="735">
        <f t="shared" ref="AD979:AD1025" si="680">(Z979*12)+AC979</f>
        <v>40004.800000000003</v>
      </c>
      <c r="AE979" s="735">
        <f t="shared" ref="AE979:AE1025" si="681">Q979*AD979</f>
        <v>40004.800000000003</v>
      </c>
      <c r="AF979" s="735">
        <f t="shared" si="669"/>
        <v>0</v>
      </c>
      <c r="AG979" s="824">
        <f t="shared" si="670"/>
        <v>0</v>
      </c>
      <c r="AH979" s="711">
        <v>1</v>
      </c>
      <c r="AI979" s="735">
        <f t="shared" ref="AI979:AI1025" si="682">(AE979*12)+AH979</f>
        <v>480058.60000000003</v>
      </c>
    </row>
    <row r="980" spans="1:35" x14ac:dyDescent="0.2">
      <c r="A980" s="704"/>
      <c r="B980" s="711">
        <v>1</v>
      </c>
      <c r="C980" s="735">
        <v>3200.4</v>
      </c>
      <c r="D980" s="735"/>
      <c r="E980" s="735"/>
      <c r="F980" s="735"/>
      <c r="G980" s="735"/>
      <c r="H980" s="735"/>
      <c r="I980" s="735"/>
      <c r="J980" s="735">
        <v>1150</v>
      </c>
      <c r="K980" s="735">
        <f t="shared" si="668"/>
        <v>4350.3999999999996</v>
      </c>
      <c r="L980" s="735">
        <v>1000</v>
      </c>
      <c r="M980" s="735"/>
      <c r="N980" s="735">
        <f t="shared" si="665"/>
        <v>1000</v>
      </c>
      <c r="O980" s="735">
        <f t="shared" si="676"/>
        <v>53204.799999999996</v>
      </c>
      <c r="P980" s="735">
        <f t="shared" si="677"/>
        <v>53204.799999999996</v>
      </c>
      <c r="Q980" s="711">
        <v>1</v>
      </c>
      <c r="R980" s="735">
        <v>3200.4</v>
      </c>
      <c r="S980" s="735"/>
      <c r="T980" s="735"/>
      <c r="U980" s="735"/>
      <c r="V980" s="735"/>
      <c r="W980" s="735"/>
      <c r="X980" s="735"/>
      <c r="Y980" s="735">
        <v>1150</v>
      </c>
      <c r="Z980" s="735">
        <f t="shared" si="678"/>
        <v>4350.3999999999996</v>
      </c>
      <c r="AA980" s="735">
        <v>1000</v>
      </c>
      <c r="AB980" s="735"/>
      <c r="AC980" s="735">
        <f t="shared" si="679"/>
        <v>1000</v>
      </c>
      <c r="AD980" s="735">
        <f t="shared" si="680"/>
        <v>53204.799999999996</v>
      </c>
      <c r="AE980" s="735">
        <f t="shared" si="681"/>
        <v>53204.799999999996</v>
      </c>
      <c r="AF980" s="735">
        <f t="shared" si="669"/>
        <v>0</v>
      </c>
      <c r="AG980" s="824">
        <f t="shared" si="670"/>
        <v>0</v>
      </c>
      <c r="AH980" s="711">
        <v>1</v>
      </c>
      <c r="AI980" s="735">
        <f t="shared" si="682"/>
        <v>638458.6</v>
      </c>
    </row>
    <row r="981" spans="1:35" x14ac:dyDescent="0.2">
      <c r="A981" s="704"/>
      <c r="B981" s="711">
        <v>1</v>
      </c>
      <c r="C981" s="735">
        <v>3200.4</v>
      </c>
      <c r="D981" s="735"/>
      <c r="E981" s="735"/>
      <c r="F981" s="735"/>
      <c r="G981" s="735"/>
      <c r="H981" s="735"/>
      <c r="I981" s="735"/>
      <c r="J981" s="735">
        <v>1100</v>
      </c>
      <c r="K981" s="735">
        <f t="shared" si="668"/>
        <v>4300.3999999999996</v>
      </c>
      <c r="L981" s="735">
        <v>1000</v>
      </c>
      <c r="M981" s="735"/>
      <c r="N981" s="735">
        <f t="shared" si="665"/>
        <v>1000</v>
      </c>
      <c r="O981" s="735">
        <f t="shared" si="676"/>
        <v>52604.799999999996</v>
      </c>
      <c r="P981" s="735">
        <f t="shared" si="677"/>
        <v>52604.799999999996</v>
      </c>
      <c r="Q981" s="711">
        <v>1</v>
      </c>
      <c r="R981" s="735">
        <v>3200.4</v>
      </c>
      <c r="S981" s="735"/>
      <c r="T981" s="735"/>
      <c r="U981" s="735"/>
      <c r="V981" s="735"/>
      <c r="W981" s="735"/>
      <c r="X981" s="735"/>
      <c r="Y981" s="735">
        <v>1100</v>
      </c>
      <c r="Z981" s="735">
        <f t="shared" si="678"/>
        <v>4300.3999999999996</v>
      </c>
      <c r="AA981" s="735">
        <v>1000</v>
      </c>
      <c r="AB981" s="735"/>
      <c r="AC981" s="735">
        <f t="shared" si="679"/>
        <v>1000</v>
      </c>
      <c r="AD981" s="735">
        <f t="shared" si="680"/>
        <v>52604.799999999996</v>
      </c>
      <c r="AE981" s="735">
        <f t="shared" si="681"/>
        <v>52604.799999999996</v>
      </c>
      <c r="AF981" s="735">
        <f t="shared" si="669"/>
        <v>0</v>
      </c>
      <c r="AG981" s="824">
        <f t="shared" si="670"/>
        <v>0</v>
      </c>
      <c r="AH981" s="711">
        <v>1</v>
      </c>
      <c r="AI981" s="735">
        <f t="shared" si="682"/>
        <v>631258.6</v>
      </c>
    </row>
    <row r="982" spans="1:35" x14ac:dyDescent="0.2">
      <c r="A982" s="704"/>
      <c r="B982" s="711">
        <v>1</v>
      </c>
      <c r="C982" s="735">
        <v>3200.4</v>
      </c>
      <c r="D982" s="735"/>
      <c r="E982" s="735"/>
      <c r="F982" s="735"/>
      <c r="G982" s="735"/>
      <c r="H982" s="735"/>
      <c r="I982" s="735"/>
      <c r="J982" s="735">
        <v>1000</v>
      </c>
      <c r="K982" s="735">
        <f t="shared" si="668"/>
        <v>4200.3999999999996</v>
      </c>
      <c r="L982" s="735">
        <v>1000</v>
      </c>
      <c r="M982" s="735"/>
      <c r="N982" s="735">
        <f t="shared" si="665"/>
        <v>1000</v>
      </c>
      <c r="O982" s="735">
        <f t="shared" si="676"/>
        <v>51404.799999999996</v>
      </c>
      <c r="P982" s="735">
        <f t="shared" si="677"/>
        <v>51404.799999999996</v>
      </c>
      <c r="Q982" s="711">
        <v>1</v>
      </c>
      <c r="R982" s="735">
        <v>3200.4</v>
      </c>
      <c r="S982" s="735"/>
      <c r="T982" s="735"/>
      <c r="U982" s="735"/>
      <c r="V982" s="735"/>
      <c r="W982" s="735"/>
      <c r="X982" s="735"/>
      <c r="Y982" s="735">
        <v>1000</v>
      </c>
      <c r="Z982" s="735">
        <f t="shared" si="678"/>
        <v>4200.3999999999996</v>
      </c>
      <c r="AA982" s="735">
        <v>1000</v>
      </c>
      <c r="AB982" s="735"/>
      <c r="AC982" s="735">
        <f t="shared" si="679"/>
        <v>1000</v>
      </c>
      <c r="AD982" s="735">
        <f t="shared" si="680"/>
        <v>51404.799999999996</v>
      </c>
      <c r="AE982" s="735">
        <f t="shared" si="681"/>
        <v>51404.799999999996</v>
      </c>
      <c r="AF982" s="735">
        <f t="shared" si="669"/>
        <v>0</v>
      </c>
      <c r="AG982" s="824">
        <f t="shared" si="670"/>
        <v>0</v>
      </c>
      <c r="AH982" s="711">
        <v>1</v>
      </c>
      <c r="AI982" s="735">
        <f t="shared" si="682"/>
        <v>616858.6</v>
      </c>
    </row>
    <row r="983" spans="1:35" x14ac:dyDescent="0.2">
      <c r="A983" s="704"/>
      <c r="B983" s="711">
        <v>1</v>
      </c>
      <c r="C983" s="735">
        <v>3200.4</v>
      </c>
      <c r="D983" s="735"/>
      <c r="E983" s="735"/>
      <c r="F983" s="735"/>
      <c r="G983" s="735"/>
      <c r="H983" s="735"/>
      <c r="I983" s="735"/>
      <c r="J983" s="735">
        <v>1150</v>
      </c>
      <c r="K983" s="735">
        <f t="shared" si="668"/>
        <v>4350.3999999999996</v>
      </c>
      <c r="L983" s="735">
        <v>1000</v>
      </c>
      <c r="M983" s="735"/>
      <c r="N983" s="735">
        <f t="shared" si="665"/>
        <v>1000</v>
      </c>
      <c r="O983" s="735">
        <f t="shared" si="676"/>
        <v>53204.799999999996</v>
      </c>
      <c r="P983" s="735">
        <f t="shared" si="677"/>
        <v>53204.799999999996</v>
      </c>
      <c r="Q983" s="711">
        <v>1</v>
      </c>
      <c r="R983" s="735">
        <v>3200.4</v>
      </c>
      <c r="S983" s="735"/>
      <c r="T983" s="735"/>
      <c r="U983" s="735"/>
      <c r="V983" s="735"/>
      <c r="W983" s="735"/>
      <c r="X983" s="735"/>
      <c r="Y983" s="735">
        <v>1150</v>
      </c>
      <c r="Z983" s="735">
        <f t="shared" si="678"/>
        <v>4350.3999999999996</v>
      </c>
      <c r="AA983" s="735">
        <v>1000</v>
      </c>
      <c r="AB983" s="735"/>
      <c r="AC983" s="735">
        <f t="shared" si="679"/>
        <v>1000</v>
      </c>
      <c r="AD983" s="735">
        <f t="shared" si="680"/>
        <v>53204.799999999996</v>
      </c>
      <c r="AE983" s="735">
        <f t="shared" si="681"/>
        <v>53204.799999999996</v>
      </c>
      <c r="AF983" s="735">
        <f t="shared" si="669"/>
        <v>0</v>
      </c>
      <c r="AG983" s="824">
        <f t="shared" si="670"/>
        <v>0</v>
      </c>
      <c r="AH983" s="711">
        <v>1</v>
      </c>
      <c r="AI983" s="735">
        <f t="shared" si="682"/>
        <v>638458.6</v>
      </c>
    </row>
    <row r="984" spans="1:35" x14ac:dyDescent="0.2">
      <c r="A984" s="704"/>
      <c r="B984" s="711">
        <v>1</v>
      </c>
      <c r="C984" s="735">
        <v>3200.4</v>
      </c>
      <c r="D984" s="735"/>
      <c r="E984" s="735"/>
      <c r="F984" s="735"/>
      <c r="G984" s="735"/>
      <c r="H984" s="735"/>
      <c r="I984" s="735"/>
      <c r="J984" s="735">
        <v>1100</v>
      </c>
      <c r="K984" s="735">
        <f t="shared" si="668"/>
        <v>4300.3999999999996</v>
      </c>
      <c r="L984" s="735">
        <v>1000</v>
      </c>
      <c r="M984" s="735"/>
      <c r="N984" s="735">
        <f t="shared" si="665"/>
        <v>1000</v>
      </c>
      <c r="O984" s="735">
        <f t="shared" si="676"/>
        <v>52604.799999999996</v>
      </c>
      <c r="P984" s="735">
        <f t="shared" si="677"/>
        <v>52604.799999999996</v>
      </c>
      <c r="Q984" s="711">
        <v>1</v>
      </c>
      <c r="R984" s="735">
        <v>3200.4</v>
      </c>
      <c r="S984" s="735"/>
      <c r="T984" s="735"/>
      <c r="U984" s="735"/>
      <c r="V984" s="735"/>
      <c r="W984" s="735"/>
      <c r="X984" s="735"/>
      <c r="Y984" s="735">
        <v>1100</v>
      </c>
      <c r="Z984" s="735">
        <f t="shared" si="678"/>
        <v>4300.3999999999996</v>
      </c>
      <c r="AA984" s="735">
        <v>1000</v>
      </c>
      <c r="AB984" s="735"/>
      <c r="AC984" s="735">
        <f t="shared" si="679"/>
        <v>1000</v>
      </c>
      <c r="AD984" s="735">
        <f t="shared" si="680"/>
        <v>52604.799999999996</v>
      </c>
      <c r="AE984" s="735">
        <f t="shared" si="681"/>
        <v>52604.799999999996</v>
      </c>
      <c r="AF984" s="735">
        <f t="shared" si="669"/>
        <v>0</v>
      </c>
      <c r="AG984" s="824">
        <f t="shared" si="670"/>
        <v>0</v>
      </c>
      <c r="AH984" s="711">
        <v>1</v>
      </c>
      <c r="AI984" s="735">
        <f t="shared" si="682"/>
        <v>631258.6</v>
      </c>
    </row>
    <row r="985" spans="1:35" x14ac:dyDescent="0.2">
      <c r="A985" s="704"/>
      <c r="B985" s="711">
        <v>1</v>
      </c>
      <c r="C985" s="735">
        <v>3200.4</v>
      </c>
      <c r="D985" s="735"/>
      <c r="E985" s="735"/>
      <c r="F985" s="735"/>
      <c r="G985" s="735"/>
      <c r="H985" s="735"/>
      <c r="I985" s="735"/>
      <c r="J985" s="735">
        <v>1000</v>
      </c>
      <c r="K985" s="735">
        <f t="shared" si="668"/>
        <v>4200.3999999999996</v>
      </c>
      <c r="L985" s="735">
        <v>1000</v>
      </c>
      <c r="M985" s="735"/>
      <c r="N985" s="735">
        <f t="shared" si="665"/>
        <v>1000</v>
      </c>
      <c r="O985" s="735">
        <f t="shared" si="676"/>
        <v>51404.799999999996</v>
      </c>
      <c r="P985" s="735">
        <f t="shared" si="677"/>
        <v>51404.799999999996</v>
      </c>
      <c r="Q985" s="711">
        <v>1</v>
      </c>
      <c r="R985" s="735">
        <v>3200.4</v>
      </c>
      <c r="S985" s="735"/>
      <c r="T985" s="735"/>
      <c r="U985" s="735"/>
      <c r="V985" s="735"/>
      <c r="W985" s="735"/>
      <c r="X985" s="735"/>
      <c r="Y985" s="735">
        <v>1000</v>
      </c>
      <c r="Z985" s="735">
        <f t="shared" si="678"/>
        <v>4200.3999999999996</v>
      </c>
      <c r="AA985" s="735">
        <v>1000</v>
      </c>
      <c r="AB985" s="735"/>
      <c r="AC985" s="735">
        <f t="shared" si="679"/>
        <v>1000</v>
      </c>
      <c r="AD985" s="735">
        <f t="shared" si="680"/>
        <v>51404.799999999996</v>
      </c>
      <c r="AE985" s="735">
        <f t="shared" si="681"/>
        <v>51404.799999999996</v>
      </c>
      <c r="AF985" s="735">
        <f t="shared" si="669"/>
        <v>0</v>
      </c>
      <c r="AG985" s="824">
        <f t="shared" si="670"/>
        <v>0</v>
      </c>
      <c r="AH985" s="711">
        <v>1</v>
      </c>
      <c r="AI985" s="735">
        <f t="shared" si="682"/>
        <v>616858.6</v>
      </c>
    </row>
    <row r="986" spans="1:35" x14ac:dyDescent="0.2">
      <c r="A986" s="704"/>
      <c r="B986" s="711">
        <v>1</v>
      </c>
      <c r="C986" s="735">
        <v>3200.4</v>
      </c>
      <c r="D986" s="735"/>
      <c r="E986" s="735"/>
      <c r="F986" s="735"/>
      <c r="G986" s="735"/>
      <c r="H986" s="735"/>
      <c r="I986" s="735"/>
      <c r="J986" s="735">
        <v>1100</v>
      </c>
      <c r="K986" s="735">
        <f t="shared" si="668"/>
        <v>4300.3999999999996</v>
      </c>
      <c r="L986" s="735">
        <v>1000</v>
      </c>
      <c r="M986" s="735"/>
      <c r="N986" s="735">
        <f t="shared" ref="N986:N1049" si="683">SUM(L986:M986)</f>
        <v>1000</v>
      </c>
      <c r="O986" s="735">
        <f t="shared" si="676"/>
        <v>52604.799999999996</v>
      </c>
      <c r="P986" s="735">
        <f t="shared" si="677"/>
        <v>52604.799999999996</v>
      </c>
      <c r="Q986" s="711">
        <v>1</v>
      </c>
      <c r="R986" s="735">
        <v>3200.4</v>
      </c>
      <c r="S986" s="735"/>
      <c r="T986" s="735"/>
      <c r="U986" s="735"/>
      <c r="V986" s="735"/>
      <c r="W986" s="735"/>
      <c r="X986" s="735"/>
      <c r="Y986" s="735">
        <v>1100</v>
      </c>
      <c r="Z986" s="735">
        <f t="shared" si="678"/>
        <v>4300.3999999999996</v>
      </c>
      <c r="AA986" s="735">
        <v>1000</v>
      </c>
      <c r="AB986" s="735"/>
      <c r="AC986" s="735">
        <f t="shared" si="679"/>
        <v>1000</v>
      </c>
      <c r="AD986" s="735">
        <f t="shared" si="680"/>
        <v>52604.799999999996</v>
      </c>
      <c r="AE986" s="735">
        <f t="shared" si="681"/>
        <v>52604.799999999996</v>
      </c>
      <c r="AF986" s="735">
        <f t="shared" si="669"/>
        <v>0</v>
      </c>
      <c r="AG986" s="824">
        <f t="shared" si="670"/>
        <v>0</v>
      </c>
      <c r="AH986" s="711">
        <v>1</v>
      </c>
      <c r="AI986" s="735">
        <f t="shared" si="682"/>
        <v>631258.6</v>
      </c>
    </row>
    <row r="987" spans="1:35" x14ac:dyDescent="0.2">
      <c r="A987" s="704"/>
      <c r="B987" s="711">
        <v>1</v>
      </c>
      <c r="C987" s="735">
        <v>3200.4</v>
      </c>
      <c r="D987" s="735"/>
      <c r="E987" s="735"/>
      <c r="F987" s="735"/>
      <c r="G987" s="735"/>
      <c r="H987" s="735"/>
      <c r="I987" s="735"/>
      <c r="J987" s="735">
        <v>240</v>
      </c>
      <c r="K987" s="735">
        <f t="shared" ref="K987:K1050" si="684">SUM(C987:J987)</f>
        <v>3440.4</v>
      </c>
      <c r="L987" s="735">
        <v>1000</v>
      </c>
      <c r="M987" s="735"/>
      <c r="N987" s="735">
        <f t="shared" si="683"/>
        <v>1000</v>
      </c>
      <c r="O987" s="735">
        <f t="shared" si="676"/>
        <v>42284.800000000003</v>
      </c>
      <c r="P987" s="735">
        <f t="shared" si="677"/>
        <v>42284.800000000003</v>
      </c>
      <c r="Q987" s="711">
        <v>1</v>
      </c>
      <c r="R987" s="735">
        <v>3200.4</v>
      </c>
      <c r="S987" s="735"/>
      <c r="T987" s="735"/>
      <c r="U987" s="735"/>
      <c r="V987" s="735"/>
      <c r="W987" s="735"/>
      <c r="X987" s="735"/>
      <c r="Y987" s="735">
        <v>240</v>
      </c>
      <c r="Z987" s="735">
        <f t="shared" ref="Z987:Z1025" si="685">SUM(R987:Y987)</f>
        <v>3440.4</v>
      </c>
      <c r="AA987" s="735">
        <v>1000</v>
      </c>
      <c r="AB987" s="735"/>
      <c r="AC987" s="735">
        <f t="shared" si="679"/>
        <v>1000</v>
      </c>
      <c r="AD987" s="735">
        <f t="shared" si="680"/>
        <v>42284.800000000003</v>
      </c>
      <c r="AE987" s="735">
        <f t="shared" si="681"/>
        <v>42284.800000000003</v>
      </c>
      <c r="AF987" s="735">
        <f t="shared" si="669"/>
        <v>0</v>
      </c>
      <c r="AG987" s="824">
        <f t="shared" si="670"/>
        <v>0</v>
      </c>
      <c r="AH987" s="711">
        <v>1</v>
      </c>
      <c r="AI987" s="735">
        <f t="shared" si="682"/>
        <v>507418.60000000003</v>
      </c>
    </row>
    <row r="988" spans="1:35" x14ac:dyDescent="0.2">
      <c r="A988" s="704"/>
      <c r="B988" s="711">
        <v>1</v>
      </c>
      <c r="C988" s="735">
        <v>3200.4</v>
      </c>
      <c r="D988" s="735"/>
      <c r="E988" s="735"/>
      <c r="F988" s="735"/>
      <c r="G988" s="735"/>
      <c r="H988" s="735"/>
      <c r="I988" s="735"/>
      <c r="J988" s="735">
        <v>1100</v>
      </c>
      <c r="K988" s="735">
        <f t="shared" si="684"/>
        <v>4300.3999999999996</v>
      </c>
      <c r="L988" s="735">
        <v>1000</v>
      </c>
      <c r="M988" s="735"/>
      <c r="N988" s="735">
        <f t="shared" si="683"/>
        <v>1000</v>
      </c>
      <c r="O988" s="735">
        <f t="shared" si="676"/>
        <v>52604.799999999996</v>
      </c>
      <c r="P988" s="735">
        <f t="shared" si="677"/>
        <v>52604.799999999996</v>
      </c>
      <c r="Q988" s="711">
        <v>1</v>
      </c>
      <c r="R988" s="735">
        <v>3200.4</v>
      </c>
      <c r="S988" s="735"/>
      <c r="T988" s="735"/>
      <c r="U988" s="735"/>
      <c r="V988" s="735"/>
      <c r="W988" s="735"/>
      <c r="X988" s="735"/>
      <c r="Y988" s="735">
        <v>1100</v>
      </c>
      <c r="Z988" s="735">
        <f t="shared" si="685"/>
        <v>4300.3999999999996</v>
      </c>
      <c r="AA988" s="735">
        <v>1000</v>
      </c>
      <c r="AB988" s="735"/>
      <c r="AC988" s="735">
        <f t="shared" si="679"/>
        <v>1000</v>
      </c>
      <c r="AD988" s="735">
        <f t="shared" si="680"/>
        <v>52604.799999999996</v>
      </c>
      <c r="AE988" s="735">
        <f t="shared" si="681"/>
        <v>52604.799999999996</v>
      </c>
      <c r="AF988" s="735">
        <f t="shared" si="669"/>
        <v>0</v>
      </c>
      <c r="AG988" s="824">
        <f t="shared" si="670"/>
        <v>0</v>
      </c>
      <c r="AH988" s="711">
        <v>1</v>
      </c>
      <c r="AI988" s="735">
        <f t="shared" si="682"/>
        <v>631258.6</v>
      </c>
    </row>
    <row r="989" spans="1:35" x14ac:dyDescent="0.2">
      <c r="A989" s="704"/>
      <c r="B989" s="711">
        <v>1</v>
      </c>
      <c r="C989" s="735">
        <v>3200.4</v>
      </c>
      <c r="D989" s="735"/>
      <c r="E989" s="735"/>
      <c r="F989" s="735"/>
      <c r="G989" s="735"/>
      <c r="H989" s="735"/>
      <c r="I989" s="735"/>
      <c r="J989" s="735">
        <v>1150</v>
      </c>
      <c r="K989" s="735">
        <f t="shared" si="684"/>
        <v>4350.3999999999996</v>
      </c>
      <c r="L989" s="735">
        <v>1000</v>
      </c>
      <c r="M989" s="735"/>
      <c r="N989" s="735">
        <f t="shared" si="683"/>
        <v>1000</v>
      </c>
      <c r="O989" s="735">
        <f t="shared" si="676"/>
        <v>53204.799999999996</v>
      </c>
      <c r="P989" s="735">
        <f t="shared" si="677"/>
        <v>53204.799999999996</v>
      </c>
      <c r="Q989" s="711">
        <v>1</v>
      </c>
      <c r="R989" s="735">
        <v>3200.4</v>
      </c>
      <c r="S989" s="735"/>
      <c r="T989" s="735"/>
      <c r="U989" s="735"/>
      <c r="V989" s="735"/>
      <c r="W989" s="735"/>
      <c r="X989" s="735"/>
      <c r="Y989" s="735">
        <v>1150</v>
      </c>
      <c r="Z989" s="735">
        <f t="shared" si="685"/>
        <v>4350.3999999999996</v>
      </c>
      <c r="AA989" s="735">
        <v>1000</v>
      </c>
      <c r="AB989" s="735"/>
      <c r="AC989" s="735">
        <f t="shared" si="679"/>
        <v>1000</v>
      </c>
      <c r="AD989" s="735">
        <f t="shared" si="680"/>
        <v>53204.799999999996</v>
      </c>
      <c r="AE989" s="735">
        <f t="shared" si="681"/>
        <v>53204.799999999996</v>
      </c>
      <c r="AF989" s="735">
        <f t="shared" si="669"/>
        <v>0</v>
      </c>
      <c r="AG989" s="824">
        <f t="shared" si="670"/>
        <v>0</v>
      </c>
      <c r="AH989" s="711">
        <v>1</v>
      </c>
      <c r="AI989" s="735">
        <f t="shared" si="682"/>
        <v>638458.6</v>
      </c>
    </row>
    <row r="990" spans="1:35" ht="12.75" customHeight="1" x14ac:dyDescent="0.2">
      <c r="A990" s="704"/>
      <c r="B990" s="711">
        <v>1</v>
      </c>
      <c r="C990" s="735">
        <v>3200.4</v>
      </c>
      <c r="D990" s="735"/>
      <c r="E990" s="735"/>
      <c r="F990" s="735"/>
      <c r="G990" s="735"/>
      <c r="H990" s="735"/>
      <c r="I990" s="735"/>
      <c r="J990" s="735">
        <v>1100</v>
      </c>
      <c r="K990" s="735">
        <f t="shared" si="684"/>
        <v>4300.3999999999996</v>
      </c>
      <c r="L990" s="735">
        <v>1000</v>
      </c>
      <c r="M990" s="735"/>
      <c r="N990" s="735">
        <f t="shared" si="683"/>
        <v>1000</v>
      </c>
      <c r="O990" s="735">
        <f t="shared" si="676"/>
        <v>52604.799999999996</v>
      </c>
      <c r="P990" s="735">
        <f t="shared" si="677"/>
        <v>52604.799999999996</v>
      </c>
      <c r="Q990" s="711">
        <v>1</v>
      </c>
      <c r="R990" s="735">
        <v>3200.4</v>
      </c>
      <c r="S990" s="735"/>
      <c r="T990" s="735"/>
      <c r="U990" s="735"/>
      <c r="V990" s="735"/>
      <c r="W990" s="735"/>
      <c r="X990" s="735"/>
      <c r="Y990" s="735">
        <v>1100</v>
      </c>
      <c r="Z990" s="735">
        <f t="shared" si="685"/>
        <v>4300.3999999999996</v>
      </c>
      <c r="AA990" s="735">
        <v>1000</v>
      </c>
      <c r="AB990" s="735"/>
      <c r="AC990" s="735">
        <f t="shared" si="679"/>
        <v>1000</v>
      </c>
      <c r="AD990" s="735">
        <f t="shared" si="680"/>
        <v>52604.799999999996</v>
      </c>
      <c r="AE990" s="735">
        <f t="shared" si="681"/>
        <v>52604.799999999996</v>
      </c>
      <c r="AF990" s="735">
        <f t="shared" si="669"/>
        <v>0</v>
      </c>
      <c r="AG990" s="824">
        <f t="shared" si="670"/>
        <v>0</v>
      </c>
      <c r="AH990" s="711">
        <v>1</v>
      </c>
      <c r="AI990" s="735">
        <f t="shared" si="682"/>
        <v>631258.6</v>
      </c>
    </row>
    <row r="991" spans="1:35" x14ac:dyDescent="0.2">
      <c r="A991" s="704"/>
      <c r="B991" s="711">
        <v>1</v>
      </c>
      <c r="C991" s="735">
        <v>3200.4</v>
      </c>
      <c r="D991" s="735"/>
      <c r="E991" s="735"/>
      <c r="F991" s="735"/>
      <c r="G991" s="735"/>
      <c r="H991" s="735"/>
      <c r="I991" s="735"/>
      <c r="J991" s="735">
        <v>1150</v>
      </c>
      <c r="K991" s="735">
        <f t="shared" si="684"/>
        <v>4350.3999999999996</v>
      </c>
      <c r="L991" s="735">
        <v>1000</v>
      </c>
      <c r="M991" s="735"/>
      <c r="N991" s="735">
        <f t="shared" si="683"/>
        <v>1000</v>
      </c>
      <c r="O991" s="735">
        <f t="shared" si="676"/>
        <v>53204.799999999996</v>
      </c>
      <c r="P991" s="735">
        <f t="shared" si="677"/>
        <v>53204.799999999996</v>
      </c>
      <c r="Q991" s="711">
        <v>1</v>
      </c>
      <c r="R991" s="735">
        <v>3200.4</v>
      </c>
      <c r="S991" s="735"/>
      <c r="T991" s="735"/>
      <c r="U991" s="735"/>
      <c r="V991" s="735"/>
      <c r="W991" s="735"/>
      <c r="X991" s="735"/>
      <c r="Y991" s="735">
        <v>1150</v>
      </c>
      <c r="Z991" s="735">
        <f t="shared" si="685"/>
        <v>4350.3999999999996</v>
      </c>
      <c r="AA991" s="735">
        <v>1000</v>
      </c>
      <c r="AB991" s="735"/>
      <c r="AC991" s="735">
        <f t="shared" si="679"/>
        <v>1000</v>
      </c>
      <c r="AD991" s="735">
        <f t="shared" si="680"/>
        <v>53204.799999999996</v>
      </c>
      <c r="AE991" s="735">
        <f t="shared" si="681"/>
        <v>53204.799999999996</v>
      </c>
      <c r="AF991" s="735">
        <f t="shared" si="669"/>
        <v>0</v>
      </c>
      <c r="AG991" s="824">
        <f t="shared" si="670"/>
        <v>0</v>
      </c>
      <c r="AH991" s="711">
        <v>1</v>
      </c>
      <c r="AI991" s="735">
        <f t="shared" si="682"/>
        <v>638458.6</v>
      </c>
    </row>
    <row r="992" spans="1:35" x14ac:dyDescent="0.2">
      <c r="A992" s="704"/>
      <c r="B992" s="711">
        <v>1</v>
      </c>
      <c r="C992" s="735">
        <v>3200.4</v>
      </c>
      <c r="D992" s="735"/>
      <c r="E992" s="735"/>
      <c r="F992" s="735"/>
      <c r="G992" s="735"/>
      <c r="H992" s="735"/>
      <c r="I992" s="735"/>
      <c r="J992" s="735">
        <v>1100</v>
      </c>
      <c r="K992" s="735">
        <f t="shared" si="684"/>
        <v>4300.3999999999996</v>
      </c>
      <c r="L992" s="735">
        <v>1000</v>
      </c>
      <c r="M992" s="735"/>
      <c r="N992" s="735">
        <f t="shared" si="683"/>
        <v>1000</v>
      </c>
      <c r="O992" s="735">
        <f t="shared" si="676"/>
        <v>52604.799999999996</v>
      </c>
      <c r="P992" s="735">
        <f t="shared" si="677"/>
        <v>52604.799999999996</v>
      </c>
      <c r="Q992" s="711">
        <v>1</v>
      </c>
      <c r="R992" s="735">
        <v>3200.4</v>
      </c>
      <c r="S992" s="735"/>
      <c r="T992" s="735"/>
      <c r="U992" s="735"/>
      <c r="V992" s="735"/>
      <c r="W992" s="735"/>
      <c r="X992" s="735"/>
      <c r="Y992" s="735">
        <v>1100</v>
      </c>
      <c r="Z992" s="735">
        <f t="shared" si="685"/>
        <v>4300.3999999999996</v>
      </c>
      <c r="AA992" s="735">
        <v>1000</v>
      </c>
      <c r="AB992" s="735"/>
      <c r="AC992" s="735">
        <f t="shared" si="679"/>
        <v>1000</v>
      </c>
      <c r="AD992" s="735">
        <f t="shared" si="680"/>
        <v>52604.799999999996</v>
      </c>
      <c r="AE992" s="735">
        <f t="shared" si="681"/>
        <v>52604.799999999996</v>
      </c>
      <c r="AF992" s="735">
        <f t="shared" si="669"/>
        <v>0</v>
      </c>
      <c r="AG992" s="824">
        <f t="shared" si="670"/>
        <v>0</v>
      </c>
      <c r="AH992" s="711">
        <v>1</v>
      </c>
      <c r="AI992" s="735">
        <f t="shared" si="682"/>
        <v>631258.6</v>
      </c>
    </row>
    <row r="993" spans="1:35" x14ac:dyDescent="0.2">
      <c r="A993" s="704"/>
      <c r="B993" s="711">
        <v>1</v>
      </c>
      <c r="C993" s="735">
        <v>3200.4</v>
      </c>
      <c r="D993" s="735"/>
      <c r="E993" s="735"/>
      <c r="F993" s="735"/>
      <c r="G993" s="735"/>
      <c r="H993" s="735"/>
      <c r="I993" s="735"/>
      <c r="J993" s="735">
        <v>1100</v>
      </c>
      <c r="K993" s="735">
        <f t="shared" si="684"/>
        <v>4300.3999999999996</v>
      </c>
      <c r="L993" s="735">
        <v>1000</v>
      </c>
      <c r="M993" s="735"/>
      <c r="N993" s="735">
        <f t="shared" si="683"/>
        <v>1000</v>
      </c>
      <c r="O993" s="735">
        <f t="shared" si="676"/>
        <v>52604.799999999996</v>
      </c>
      <c r="P993" s="735">
        <f t="shared" si="677"/>
        <v>52604.799999999996</v>
      </c>
      <c r="Q993" s="711">
        <v>1</v>
      </c>
      <c r="R993" s="735">
        <v>3200.4</v>
      </c>
      <c r="S993" s="735"/>
      <c r="T993" s="735"/>
      <c r="U993" s="735"/>
      <c r="V993" s="735"/>
      <c r="W993" s="735"/>
      <c r="X993" s="735"/>
      <c r="Y993" s="735">
        <v>1100</v>
      </c>
      <c r="Z993" s="735">
        <f t="shared" si="685"/>
        <v>4300.3999999999996</v>
      </c>
      <c r="AA993" s="735">
        <v>1000</v>
      </c>
      <c r="AB993" s="735"/>
      <c r="AC993" s="735">
        <f t="shared" si="679"/>
        <v>1000</v>
      </c>
      <c r="AD993" s="735">
        <f t="shared" si="680"/>
        <v>52604.799999999996</v>
      </c>
      <c r="AE993" s="735">
        <f t="shared" si="681"/>
        <v>52604.799999999996</v>
      </c>
      <c r="AF993" s="735">
        <f t="shared" si="669"/>
        <v>0</v>
      </c>
      <c r="AG993" s="824">
        <f t="shared" si="670"/>
        <v>0</v>
      </c>
      <c r="AH993" s="711">
        <v>1</v>
      </c>
      <c r="AI993" s="735">
        <f t="shared" si="682"/>
        <v>631258.6</v>
      </c>
    </row>
    <row r="994" spans="1:35" x14ac:dyDescent="0.2">
      <c r="A994" s="704"/>
      <c r="B994" s="711">
        <v>1</v>
      </c>
      <c r="C994" s="735">
        <v>3200.4</v>
      </c>
      <c r="D994" s="735"/>
      <c r="E994" s="735"/>
      <c r="F994" s="735"/>
      <c r="G994" s="735"/>
      <c r="H994" s="735"/>
      <c r="I994" s="735"/>
      <c r="J994" s="735">
        <v>1100</v>
      </c>
      <c r="K994" s="735">
        <f t="shared" si="684"/>
        <v>4300.3999999999996</v>
      </c>
      <c r="L994" s="735">
        <v>1000</v>
      </c>
      <c r="M994" s="735"/>
      <c r="N994" s="735">
        <f t="shared" si="683"/>
        <v>1000</v>
      </c>
      <c r="O994" s="735">
        <f t="shared" si="676"/>
        <v>52604.799999999996</v>
      </c>
      <c r="P994" s="735">
        <f t="shared" si="677"/>
        <v>52604.799999999996</v>
      </c>
      <c r="Q994" s="711">
        <v>1</v>
      </c>
      <c r="R994" s="735">
        <v>3200.4</v>
      </c>
      <c r="S994" s="735"/>
      <c r="T994" s="735"/>
      <c r="U994" s="735"/>
      <c r="V994" s="735"/>
      <c r="W994" s="735"/>
      <c r="X994" s="735"/>
      <c r="Y994" s="735">
        <v>1100</v>
      </c>
      <c r="Z994" s="735">
        <f t="shared" si="685"/>
        <v>4300.3999999999996</v>
      </c>
      <c r="AA994" s="735">
        <v>1000</v>
      </c>
      <c r="AB994" s="735"/>
      <c r="AC994" s="735">
        <f t="shared" si="679"/>
        <v>1000</v>
      </c>
      <c r="AD994" s="735">
        <f t="shared" si="680"/>
        <v>52604.799999999996</v>
      </c>
      <c r="AE994" s="735">
        <f t="shared" si="681"/>
        <v>52604.799999999996</v>
      </c>
      <c r="AF994" s="735">
        <f t="shared" si="669"/>
        <v>0</v>
      </c>
      <c r="AG994" s="824">
        <f t="shared" si="670"/>
        <v>0</v>
      </c>
      <c r="AH994" s="711">
        <v>1</v>
      </c>
      <c r="AI994" s="735">
        <f t="shared" si="682"/>
        <v>631258.6</v>
      </c>
    </row>
    <row r="995" spans="1:35" x14ac:dyDescent="0.2">
      <c r="A995" s="704"/>
      <c r="B995" s="711">
        <v>1</v>
      </c>
      <c r="C995" s="735">
        <v>3200.4</v>
      </c>
      <c r="D995" s="735"/>
      <c r="E995" s="735"/>
      <c r="F995" s="735"/>
      <c r="G995" s="735"/>
      <c r="H995" s="735"/>
      <c r="I995" s="735"/>
      <c r="J995" s="735">
        <v>1150</v>
      </c>
      <c r="K995" s="735">
        <f t="shared" si="684"/>
        <v>4350.3999999999996</v>
      </c>
      <c r="L995" s="735">
        <v>1000</v>
      </c>
      <c r="M995" s="735"/>
      <c r="N995" s="735">
        <f t="shared" si="683"/>
        <v>1000</v>
      </c>
      <c r="O995" s="735">
        <f t="shared" si="676"/>
        <v>53204.799999999996</v>
      </c>
      <c r="P995" s="735">
        <f t="shared" si="677"/>
        <v>53204.799999999996</v>
      </c>
      <c r="Q995" s="711">
        <v>1</v>
      </c>
      <c r="R995" s="735">
        <v>3200.4</v>
      </c>
      <c r="S995" s="735"/>
      <c r="T995" s="735"/>
      <c r="U995" s="735"/>
      <c r="V995" s="735"/>
      <c r="W995" s="735"/>
      <c r="X995" s="735"/>
      <c r="Y995" s="735">
        <v>1150</v>
      </c>
      <c r="Z995" s="735">
        <f t="shared" si="685"/>
        <v>4350.3999999999996</v>
      </c>
      <c r="AA995" s="735">
        <v>1000</v>
      </c>
      <c r="AB995" s="735"/>
      <c r="AC995" s="735">
        <f t="shared" si="679"/>
        <v>1000</v>
      </c>
      <c r="AD995" s="735">
        <f t="shared" si="680"/>
        <v>53204.799999999996</v>
      </c>
      <c r="AE995" s="735">
        <f t="shared" si="681"/>
        <v>53204.799999999996</v>
      </c>
      <c r="AF995" s="735">
        <f t="shared" si="669"/>
        <v>0</v>
      </c>
      <c r="AG995" s="824">
        <f t="shared" si="670"/>
        <v>0</v>
      </c>
      <c r="AH995" s="711">
        <v>1</v>
      </c>
      <c r="AI995" s="735">
        <f t="shared" si="682"/>
        <v>638458.6</v>
      </c>
    </row>
    <row r="996" spans="1:35" x14ac:dyDescent="0.2">
      <c r="A996" s="704"/>
      <c r="B996" s="711">
        <v>1</v>
      </c>
      <c r="C996" s="735">
        <v>3200.4</v>
      </c>
      <c r="D996" s="735"/>
      <c r="E996" s="735"/>
      <c r="F996" s="735"/>
      <c r="G996" s="735"/>
      <c r="H996" s="735"/>
      <c r="I996" s="735"/>
      <c r="J996" s="735">
        <v>960</v>
      </c>
      <c r="K996" s="735">
        <f t="shared" si="684"/>
        <v>4160.3999999999996</v>
      </c>
      <c r="L996" s="735">
        <v>1000</v>
      </c>
      <c r="M996" s="735"/>
      <c r="N996" s="735">
        <f t="shared" si="683"/>
        <v>1000</v>
      </c>
      <c r="O996" s="735">
        <f t="shared" si="676"/>
        <v>50924.799999999996</v>
      </c>
      <c r="P996" s="735">
        <f t="shared" si="677"/>
        <v>50924.799999999996</v>
      </c>
      <c r="Q996" s="711">
        <v>1</v>
      </c>
      <c r="R996" s="735">
        <v>3200.4</v>
      </c>
      <c r="S996" s="735"/>
      <c r="T996" s="735"/>
      <c r="U996" s="735"/>
      <c r="V996" s="735"/>
      <c r="W996" s="735"/>
      <c r="X996" s="735"/>
      <c r="Y996" s="735">
        <v>960</v>
      </c>
      <c r="Z996" s="735">
        <f t="shared" si="685"/>
        <v>4160.3999999999996</v>
      </c>
      <c r="AA996" s="735">
        <v>1000</v>
      </c>
      <c r="AB996" s="735"/>
      <c r="AC996" s="735">
        <f t="shared" si="679"/>
        <v>1000</v>
      </c>
      <c r="AD996" s="735">
        <f t="shared" si="680"/>
        <v>50924.799999999996</v>
      </c>
      <c r="AE996" s="735">
        <f t="shared" si="681"/>
        <v>50924.799999999996</v>
      </c>
      <c r="AF996" s="735">
        <f t="shared" si="669"/>
        <v>0</v>
      </c>
      <c r="AG996" s="824">
        <f t="shared" si="670"/>
        <v>0</v>
      </c>
      <c r="AH996" s="711">
        <v>1</v>
      </c>
      <c r="AI996" s="735">
        <f t="shared" si="682"/>
        <v>611098.6</v>
      </c>
    </row>
    <row r="997" spans="1:35" x14ac:dyDescent="0.2">
      <c r="A997" s="704"/>
      <c r="B997" s="711">
        <v>1</v>
      </c>
      <c r="C997" s="735">
        <v>3200.4</v>
      </c>
      <c r="D997" s="735"/>
      <c r="E997" s="735"/>
      <c r="F997" s="735"/>
      <c r="G997" s="735"/>
      <c r="H997" s="735"/>
      <c r="I997" s="735"/>
      <c r="J997" s="735">
        <v>1100</v>
      </c>
      <c r="K997" s="735">
        <f t="shared" si="684"/>
        <v>4300.3999999999996</v>
      </c>
      <c r="L997" s="735">
        <v>1000</v>
      </c>
      <c r="M997" s="735"/>
      <c r="N997" s="735">
        <f t="shared" si="683"/>
        <v>1000</v>
      </c>
      <c r="O997" s="735">
        <f t="shared" si="676"/>
        <v>52604.799999999996</v>
      </c>
      <c r="P997" s="735">
        <f t="shared" si="677"/>
        <v>52604.799999999996</v>
      </c>
      <c r="Q997" s="711">
        <v>1</v>
      </c>
      <c r="R997" s="735">
        <v>3200.4</v>
      </c>
      <c r="S997" s="735"/>
      <c r="T997" s="735"/>
      <c r="U997" s="735"/>
      <c r="V997" s="735"/>
      <c r="W997" s="735"/>
      <c r="X997" s="735"/>
      <c r="Y997" s="735">
        <v>1100</v>
      </c>
      <c r="Z997" s="735">
        <f t="shared" si="685"/>
        <v>4300.3999999999996</v>
      </c>
      <c r="AA997" s="735">
        <v>1000</v>
      </c>
      <c r="AB997" s="735"/>
      <c r="AC997" s="735">
        <f t="shared" si="679"/>
        <v>1000</v>
      </c>
      <c r="AD997" s="735">
        <f t="shared" si="680"/>
        <v>52604.799999999996</v>
      </c>
      <c r="AE997" s="735">
        <f t="shared" si="681"/>
        <v>52604.799999999996</v>
      </c>
      <c r="AF997" s="735">
        <f t="shared" si="669"/>
        <v>0</v>
      </c>
      <c r="AG997" s="824">
        <f t="shared" si="670"/>
        <v>0</v>
      </c>
      <c r="AH997" s="711">
        <v>1</v>
      </c>
      <c r="AI997" s="735">
        <f t="shared" si="682"/>
        <v>631258.6</v>
      </c>
    </row>
    <row r="998" spans="1:35" x14ac:dyDescent="0.2">
      <c r="A998" s="704"/>
      <c r="B998" s="711">
        <v>1</v>
      </c>
      <c r="C998" s="735">
        <v>3200.4</v>
      </c>
      <c r="D998" s="735"/>
      <c r="E998" s="735"/>
      <c r="F998" s="735"/>
      <c r="G998" s="735"/>
      <c r="H998" s="735"/>
      <c r="I998" s="735"/>
      <c r="J998" s="735">
        <v>1100</v>
      </c>
      <c r="K998" s="735">
        <f t="shared" si="684"/>
        <v>4300.3999999999996</v>
      </c>
      <c r="L998" s="735">
        <v>1000</v>
      </c>
      <c r="M998" s="735"/>
      <c r="N998" s="735">
        <f t="shared" si="683"/>
        <v>1000</v>
      </c>
      <c r="O998" s="735">
        <f t="shared" si="676"/>
        <v>52604.799999999996</v>
      </c>
      <c r="P998" s="735">
        <f t="shared" si="677"/>
        <v>52604.799999999996</v>
      </c>
      <c r="Q998" s="711">
        <v>1</v>
      </c>
      <c r="R998" s="735">
        <v>3200.4</v>
      </c>
      <c r="S998" s="735"/>
      <c r="T998" s="735"/>
      <c r="U998" s="735"/>
      <c r="V998" s="735"/>
      <c r="W998" s="735"/>
      <c r="X998" s="735"/>
      <c r="Y998" s="735">
        <v>1100</v>
      </c>
      <c r="Z998" s="735">
        <f t="shared" si="685"/>
        <v>4300.3999999999996</v>
      </c>
      <c r="AA998" s="735">
        <v>1000</v>
      </c>
      <c r="AB998" s="735"/>
      <c r="AC998" s="735">
        <f t="shared" si="679"/>
        <v>1000</v>
      </c>
      <c r="AD998" s="735">
        <f t="shared" si="680"/>
        <v>52604.799999999996</v>
      </c>
      <c r="AE998" s="735">
        <f t="shared" si="681"/>
        <v>52604.799999999996</v>
      </c>
      <c r="AF998" s="735">
        <f t="shared" si="669"/>
        <v>0</v>
      </c>
      <c r="AG998" s="824">
        <f t="shared" si="670"/>
        <v>0</v>
      </c>
      <c r="AH998" s="711">
        <v>1</v>
      </c>
      <c r="AI998" s="735">
        <f t="shared" si="682"/>
        <v>631258.6</v>
      </c>
    </row>
    <row r="999" spans="1:35" x14ac:dyDescent="0.2">
      <c r="A999" s="704"/>
      <c r="B999" s="711">
        <v>1</v>
      </c>
      <c r="C999" s="735">
        <v>3200.4</v>
      </c>
      <c r="D999" s="735"/>
      <c r="E999" s="735"/>
      <c r="F999" s="735"/>
      <c r="G999" s="735"/>
      <c r="H999" s="735"/>
      <c r="I999" s="735"/>
      <c r="J999" s="735">
        <v>1100</v>
      </c>
      <c r="K999" s="735">
        <f t="shared" si="684"/>
        <v>4300.3999999999996</v>
      </c>
      <c r="L999" s="735">
        <v>1000</v>
      </c>
      <c r="M999" s="735"/>
      <c r="N999" s="735">
        <f t="shared" si="683"/>
        <v>1000</v>
      </c>
      <c r="O999" s="735">
        <f t="shared" si="676"/>
        <v>52604.799999999996</v>
      </c>
      <c r="P999" s="735">
        <f t="shared" si="677"/>
        <v>52604.799999999996</v>
      </c>
      <c r="Q999" s="711">
        <v>1</v>
      </c>
      <c r="R999" s="735">
        <v>3200.4</v>
      </c>
      <c r="S999" s="735"/>
      <c r="T999" s="735"/>
      <c r="U999" s="735"/>
      <c r="V999" s="735"/>
      <c r="W999" s="735"/>
      <c r="X999" s="735"/>
      <c r="Y999" s="735">
        <v>1100</v>
      </c>
      <c r="Z999" s="735">
        <f t="shared" si="685"/>
        <v>4300.3999999999996</v>
      </c>
      <c r="AA999" s="735">
        <v>1000</v>
      </c>
      <c r="AB999" s="735"/>
      <c r="AC999" s="735">
        <f t="shared" si="679"/>
        <v>1000</v>
      </c>
      <c r="AD999" s="735">
        <f t="shared" si="680"/>
        <v>52604.799999999996</v>
      </c>
      <c r="AE999" s="735">
        <f t="shared" si="681"/>
        <v>52604.799999999996</v>
      </c>
      <c r="AF999" s="735">
        <f t="shared" si="669"/>
        <v>0</v>
      </c>
      <c r="AG999" s="824">
        <f t="shared" si="670"/>
        <v>0</v>
      </c>
      <c r="AH999" s="711">
        <v>1</v>
      </c>
      <c r="AI999" s="735">
        <f t="shared" si="682"/>
        <v>631258.6</v>
      </c>
    </row>
    <row r="1000" spans="1:35" x14ac:dyDescent="0.2">
      <c r="A1000" s="704"/>
      <c r="B1000" s="711">
        <v>1</v>
      </c>
      <c r="C1000" s="735">
        <v>3200.4</v>
      </c>
      <c r="D1000" s="735"/>
      <c r="E1000" s="735"/>
      <c r="F1000" s="735"/>
      <c r="G1000" s="735"/>
      <c r="H1000" s="735"/>
      <c r="I1000" s="735"/>
      <c r="J1000" s="735">
        <v>960</v>
      </c>
      <c r="K1000" s="735">
        <f t="shared" si="684"/>
        <v>4160.3999999999996</v>
      </c>
      <c r="L1000" s="735">
        <v>1000</v>
      </c>
      <c r="M1000" s="735"/>
      <c r="N1000" s="735">
        <f t="shared" si="683"/>
        <v>1000</v>
      </c>
      <c r="O1000" s="735">
        <f t="shared" si="676"/>
        <v>50924.799999999996</v>
      </c>
      <c r="P1000" s="735">
        <f t="shared" si="677"/>
        <v>50924.799999999996</v>
      </c>
      <c r="Q1000" s="711">
        <v>1</v>
      </c>
      <c r="R1000" s="735">
        <v>3200.4</v>
      </c>
      <c r="S1000" s="735"/>
      <c r="T1000" s="735"/>
      <c r="U1000" s="735"/>
      <c r="V1000" s="735"/>
      <c r="W1000" s="735"/>
      <c r="X1000" s="735"/>
      <c r="Y1000" s="735">
        <v>960</v>
      </c>
      <c r="Z1000" s="735">
        <f t="shared" si="685"/>
        <v>4160.3999999999996</v>
      </c>
      <c r="AA1000" s="735">
        <v>1000</v>
      </c>
      <c r="AB1000" s="735"/>
      <c r="AC1000" s="735">
        <f t="shared" si="679"/>
        <v>1000</v>
      </c>
      <c r="AD1000" s="735">
        <f t="shared" si="680"/>
        <v>50924.799999999996</v>
      </c>
      <c r="AE1000" s="735">
        <f t="shared" si="681"/>
        <v>50924.799999999996</v>
      </c>
      <c r="AF1000" s="735">
        <f t="shared" si="669"/>
        <v>0</v>
      </c>
      <c r="AG1000" s="824">
        <f t="shared" si="670"/>
        <v>0</v>
      </c>
      <c r="AH1000" s="711">
        <v>1</v>
      </c>
      <c r="AI1000" s="735">
        <f t="shared" si="682"/>
        <v>611098.6</v>
      </c>
    </row>
    <row r="1001" spans="1:35" x14ac:dyDescent="0.2">
      <c r="A1001" s="704"/>
      <c r="B1001" s="711">
        <v>1</v>
      </c>
      <c r="C1001" s="735">
        <v>3200.4</v>
      </c>
      <c r="D1001" s="735"/>
      <c r="E1001" s="735"/>
      <c r="F1001" s="735"/>
      <c r="G1001" s="735"/>
      <c r="H1001" s="735"/>
      <c r="I1001" s="735"/>
      <c r="J1001" s="735">
        <v>1100</v>
      </c>
      <c r="K1001" s="735">
        <f t="shared" si="684"/>
        <v>4300.3999999999996</v>
      </c>
      <c r="L1001" s="735">
        <v>1000</v>
      </c>
      <c r="M1001" s="735"/>
      <c r="N1001" s="735">
        <f t="shared" si="683"/>
        <v>1000</v>
      </c>
      <c r="O1001" s="735">
        <f t="shared" si="676"/>
        <v>52604.799999999996</v>
      </c>
      <c r="P1001" s="735">
        <f t="shared" si="677"/>
        <v>52604.799999999996</v>
      </c>
      <c r="Q1001" s="711">
        <v>1</v>
      </c>
      <c r="R1001" s="735">
        <v>3200.4</v>
      </c>
      <c r="S1001" s="735"/>
      <c r="T1001" s="735"/>
      <c r="U1001" s="735"/>
      <c r="V1001" s="735"/>
      <c r="W1001" s="735"/>
      <c r="X1001" s="735"/>
      <c r="Y1001" s="735">
        <v>1100</v>
      </c>
      <c r="Z1001" s="735">
        <f t="shared" si="685"/>
        <v>4300.3999999999996</v>
      </c>
      <c r="AA1001" s="735">
        <v>1000</v>
      </c>
      <c r="AB1001" s="735"/>
      <c r="AC1001" s="735">
        <f t="shared" si="679"/>
        <v>1000</v>
      </c>
      <c r="AD1001" s="735">
        <f t="shared" si="680"/>
        <v>52604.799999999996</v>
      </c>
      <c r="AE1001" s="735">
        <f t="shared" si="681"/>
        <v>52604.799999999996</v>
      </c>
      <c r="AF1001" s="735">
        <f t="shared" si="669"/>
        <v>0</v>
      </c>
      <c r="AG1001" s="824">
        <f t="shared" si="670"/>
        <v>0</v>
      </c>
      <c r="AH1001" s="711">
        <v>1</v>
      </c>
      <c r="AI1001" s="735">
        <f t="shared" si="682"/>
        <v>631258.6</v>
      </c>
    </row>
    <row r="1002" spans="1:35" x14ac:dyDescent="0.2">
      <c r="A1002" s="704"/>
      <c r="B1002" s="711">
        <v>1</v>
      </c>
      <c r="C1002" s="735">
        <v>3200.4</v>
      </c>
      <c r="D1002" s="735"/>
      <c r="E1002" s="735"/>
      <c r="F1002" s="735"/>
      <c r="G1002" s="735"/>
      <c r="H1002" s="735"/>
      <c r="I1002" s="735"/>
      <c r="J1002" s="735">
        <v>1100</v>
      </c>
      <c r="K1002" s="735">
        <f t="shared" si="684"/>
        <v>4300.3999999999996</v>
      </c>
      <c r="L1002" s="735">
        <v>1000</v>
      </c>
      <c r="M1002" s="735"/>
      <c r="N1002" s="735">
        <f t="shared" si="683"/>
        <v>1000</v>
      </c>
      <c r="O1002" s="735">
        <f t="shared" si="676"/>
        <v>52604.799999999996</v>
      </c>
      <c r="P1002" s="735">
        <f t="shared" si="677"/>
        <v>52604.799999999996</v>
      </c>
      <c r="Q1002" s="711">
        <v>1</v>
      </c>
      <c r="R1002" s="735">
        <v>3200.4</v>
      </c>
      <c r="S1002" s="735"/>
      <c r="T1002" s="735"/>
      <c r="U1002" s="735"/>
      <c r="V1002" s="735"/>
      <c r="W1002" s="735"/>
      <c r="X1002" s="735"/>
      <c r="Y1002" s="735">
        <v>1100</v>
      </c>
      <c r="Z1002" s="735">
        <f t="shared" si="685"/>
        <v>4300.3999999999996</v>
      </c>
      <c r="AA1002" s="735">
        <v>1000</v>
      </c>
      <c r="AB1002" s="735"/>
      <c r="AC1002" s="735">
        <f t="shared" si="679"/>
        <v>1000</v>
      </c>
      <c r="AD1002" s="735">
        <f t="shared" si="680"/>
        <v>52604.799999999996</v>
      </c>
      <c r="AE1002" s="735">
        <f t="shared" si="681"/>
        <v>52604.799999999996</v>
      </c>
      <c r="AF1002" s="735">
        <f t="shared" si="669"/>
        <v>0</v>
      </c>
      <c r="AG1002" s="824">
        <f t="shared" si="670"/>
        <v>0</v>
      </c>
      <c r="AH1002" s="711">
        <v>1</v>
      </c>
      <c r="AI1002" s="735">
        <f t="shared" si="682"/>
        <v>631258.6</v>
      </c>
    </row>
    <row r="1003" spans="1:35" x14ac:dyDescent="0.2">
      <c r="A1003" s="704"/>
      <c r="B1003" s="711">
        <v>1</v>
      </c>
      <c r="C1003" s="735">
        <v>3200.4</v>
      </c>
      <c r="D1003" s="735"/>
      <c r="E1003" s="735"/>
      <c r="F1003" s="735"/>
      <c r="G1003" s="735"/>
      <c r="H1003" s="735"/>
      <c r="I1003" s="735"/>
      <c r="J1003" s="735">
        <v>1150</v>
      </c>
      <c r="K1003" s="735">
        <f t="shared" si="684"/>
        <v>4350.3999999999996</v>
      </c>
      <c r="L1003" s="735">
        <v>1000</v>
      </c>
      <c r="M1003" s="735"/>
      <c r="N1003" s="735">
        <f t="shared" si="683"/>
        <v>1000</v>
      </c>
      <c r="O1003" s="735">
        <f t="shared" si="676"/>
        <v>53204.799999999996</v>
      </c>
      <c r="P1003" s="735">
        <f t="shared" si="677"/>
        <v>53204.799999999996</v>
      </c>
      <c r="Q1003" s="711">
        <v>1</v>
      </c>
      <c r="R1003" s="735">
        <v>3200.4</v>
      </c>
      <c r="S1003" s="735"/>
      <c r="T1003" s="735"/>
      <c r="U1003" s="735"/>
      <c r="V1003" s="735"/>
      <c r="W1003" s="735"/>
      <c r="X1003" s="735"/>
      <c r="Y1003" s="735">
        <v>1150</v>
      </c>
      <c r="Z1003" s="735">
        <f t="shared" si="685"/>
        <v>4350.3999999999996</v>
      </c>
      <c r="AA1003" s="735">
        <v>1000</v>
      </c>
      <c r="AB1003" s="735"/>
      <c r="AC1003" s="735">
        <f t="shared" si="679"/>
        <v>1000</v>
      </c>
      <c r="AD1003" s="735">
        <f t="shared" si="680"/>
        <v>53204.799999999996</v>
      </c>
      <c r="AE1003" s="735">
        <f t="shared" si="681"/>
        <v>53204.799999999996</v>
      </c>
      <c r="AF1003" s="735">
        <f t="shared" si="669"/>
        <v>0</v>
      </c>
      <c r="AG1003" s="824">
        <f t="shared" si="670"/>
        <v>0</v>
      </c>
      <c r="AH1003" s="711">
        <v>1</v>
      </c>
      <c r="AI1003" s="735">
        <f t="shared" si="682"/>
        <v>638458.6</v>
      </c>
    </row>
    <row r="1004" spans="1:35" x14ac:dyDescent="0.2">
      <c r="A1004" s="704"/>
      <c r="B1004" s="711">
        <v>1</v>
      </c>
      <c r="C1004" s="735">
        <v>3200.4</v>
      </c>
      <c r="D1004" s="735"/>
      <c r="E1004" s="735"/>
      <c r="F1004" s="735"/>
      <c r="G1004" s="735"/>
      <c r="H1004" s="735"/>
      <c r="I1004" s="735"/>
      <c r="J1004" s="735">
        <v>1100</v>
      </c>
      <c r="K1004" s="735">
        <f t="shared" si="684"/>
        <v>4300.3999999999996</v>
      </c>
      <c r="L1004" s="735">
        <v>1000</v>
      </c>
      <c r="M1004" s="735"/>
      <c r="N1004" s="735">
        <f t="shared" si="683"/>
        <v>1000</v>
      </c>
      <c r="O1004" s="735">
        <f t="shared" si="676"/>
        <v>52604.799999999996</v>
      </c>
      <c r="P1004" s="735">
        <f t="shared" si="677"/>
        <v>52604.799999999996</v>
      </c>
      <c r="Q1004" s="711">
        <v>1</v>
      </c>
      <c r="R1004" s="735">
        <v>3200.4</v>
      </c>
      <c r="S1004" s="735"/>
      <c r="T1004" s="735"/>
      <c r="U1004" s="735"/>
      <c r="V1004" s="735"/>
      <c r="W1004" s="735"/>
      <c r="X1004" s="735"/>
      <c r="Y1004" s="735">
        <v>1100</v>
      </c>
      <c r="Z1004" s="735">
        <f t="shared" si="685"/>
        <v>4300.3999999999996</v>
      </c>
      <c r="AA1004" s="735">
        <v>1000</v>
      </c>
      <c r="AB1004" s="735"/>
      <c r="AC1004" s="735">
        <f t="shared" si="679"/>
        <v>1000</v>
      </c>
      <c r="AD1004" s="735">
        <f t="shared" si="680"/>
        <v>52604.799999999996</v>
      </c>
      <c r="AE1004" s="735">
        <f t="shared" si="681"/>
        <v>52604.799999999996</v>
      </c>
      <c r="AF1004" s="735">
        <f t="shared" si="669"/>
        <v>0</v>
      </c>
      <c r="AG1004" s="824">
        <f t="shared" si="670"/>
        <v>0</v>
      </c>
      <c r="AH1004" s="711">
        <v>1</v>
      </c>
      <c r="AI1004" s="735">
        <f t="shared" si="682"/>
        <v>631258.6</v>
      </c>
    </row>
    <row r="1005" spans="1:35" x14ac:dyDescent="0.2">
      <c r="A1005" s="704"/>
      <c r="B1005" s="711">
        <v>1</v>
      </c>
      <c r="C1005" s="735">
        <v>3200.4</v>
      </c>
      <c r="D1005" s="735"/>
      <c r="E1005" s="735"/>
      <c r="F1005" s="735"/>
      <c r="G1005" s="735"/>
      <c r="H1005" s="735"/>
      <c r="I1005" s="735"/>
      <c r="J1005" s="735">
        <v>1010</v>
      </c>
      <c r="K1005" s="735">
        <f t="shared" si="684"/>
        <v>4210.3999999999996</v>
      </c>
      <c r="L1005" s="735">
        <v>1000</v>
      </c>
      <c r="M1005" s="735"/>
      <c r="N1005" s="735">
        <f t="shared" si="683"/>
        <v>1000</v>
      </c>
      <c r="O1005" s="735">
        <f t="shared" si="676"/>
        <v>51524.799999999996</v>
      </c>
      <c r="P1005" s="735">
        <f t="shared" si="677"/>
        <v>51524.799999999996</v>
      </c>
      <c r="Q1005" s="711">
        <v>1</v>
      </c>
      <c r="R1005" s="735">
        <v>3200.4</v>
      </c>
      <c r="S1005" s="735"/>
      <c r="T1005" s="735"/>
      <c r="U1005" s="735"/>
      <c r="V1005" s="735"/>
      <c r="W1005" s="735"/>
      <c r="X1005" s="735"/>
      <c r="Y1005" s="735">
        <v>1010</v>
      </c>
      <c r="Z1005" s="735">
        <f t="shared" si="685"/>
        <v>4210.3999999999996</v>
      </c>
      <c r="AA1005" s="735">
        <v>1000</v>
      </c>
      <c r="AB1005" s="735"/>
      <c r="AC1005" s="735">
        <f t="shared" si="679"/>
        <v>1000</v>
      </c>
      <c r="AD1005" s="735">
        <f t="shared" si="680"/>
        <v>51524.799999999996</v>
      </c>
      <c r="AE1005" s="735">
        <f t="shared" si="681"/>
        <v>51524.799999999996</v>
      </c>
      <c r="AF1005" s="735">
        <f t="shared" si="669"/>
        <v>0</v>
      </c>
      <c r="AG1005" s="824">
        <f t="shared" si="670"/>
        <v>0</v>
      </c>
      <c r="AH1005" s="711">
        <v>1</v>
      </c>
      <c r="AI1005" s="735">
        <f t="shared" si="682"/>
        <v>618298.6</v>
      </c>
    </row>
    <row r="1006" spans="1:35" x14ac:dyDescent="0.2">
      <c r="A1006" s="704"/>
      <c r="B1006" s="711">
        <v>1</v>
      </c>
      <c r="C1006" s="735">
        <v>3200.4</v>
      </c>
      <c r="D1006" s="735"/>
      <c r="E1006" s="735"/>
      <c r="F1006" s="735"/>
      <c r="G1006" s="735"/>
      <c r="H1006" s="735"/>
      <c r="I1006" s="735"/>
      <c r="J1006" s="735">
        <v>1100</v>
      </c>
      <c r="K1006" s="735">
        <f t="shared" si="684"/>
        <v>4300.3999999999996</v>
      </c>
      <c r="L1006" s="735">
        <v>1000</v>
      </c>
      <c r="M1006" s="735"/>
      <c r="N1006" s="735">
        <f t="shared" si="683"/>
        <v>1000</v>
      </c>
      <c r="O1006" s="735">
        <f t="shared" si="676"/>
        <v>52604.799999999996</v>
      </c>
      <c r="P1006" s="735">
        <f t="shared" si="677"/>
        <v>52604.799999999996</v>
      </c>
      <c r="Q1006" s="711">
        <v>1</v>
      </c>
      <c r="R1006" s="735">
        <v>3200.4</v>
      </c>
      <c r="S1006" s="735"/>
      <c r="T1006" s="735"/>
      <c r="U1006" s="735"/>
      <c r="V1006" s="735"/>
      <c r="W1006" s="735"/>
      <c r="X1006" s="735"/>
      <c r="Y1006" s="735">
        <v>1100</v>
      </c>
      <c r="Z1006" s="735">
        <f t="shared" si="685"/>
        <v>4300.3999999999996</v>
      </c>
      <c r="AA1006" s="735">
        <v>1000</v>
      </c>
      <c r="AB1006" s="735"/>
      <c r="AC1006" s="735">
        <f t="shared" si="679"/>
        <v>1000</v>
      </c>
      <c r="AD1006" s="735">
        <f t="shared" si="680"/>
        <v>52604.799999999996</v>
      </c>
      <c r="AE1006" s="735">
        <f t="shared" si="681"/>
        <v>52604.799999999996</v>
      </c>
      <c r="AF1006" s="735">
        <f t="shared" si="669"/>
        <v>0</v>
      </c>
      <c r="AG1006" s="824">
        <f t="shared" si="670"/>
        <v>0</v>
      </c>
      <c r="AH1006" s="711">
        <v>1</v>
      </c>
      <c r="AI1006" s="735">
        <f t="shared" si="682"/>
        <v>631258.6</v>
      </c>
    </row>
    <row r="1007" spans="1:35" x14ac:dyDescent="0.2">
      <c r="A1007" s="704"/>
      <c r="B1007" s="711">
        <v>1</v>
      </c>
      <c r="C1007" s="735">
        <v>3200.4</v>
      </c>
      <c r="D1007" s="735"/>
      <c r="E1007" s="735"/>
      <c r="F1007" s="735"/>
      <c r="G1007" s="735"/>
      <c r="H1007" s="735"/>
      <c r="I1007" s="735"/>
      <c r="J1007" s="735">
        <v>1100</v>
      </c>
      <c r="K1007" s="735">
        <f t="shared" si="684"/>
        <v>4300.3999999999996</v>
      </c>
      <c r="L1007" s="735">
        <v>1000</v>
      </c>
      <c r="M1007" s="735"/>
      <c r="N1007" s="735">
        <f t="shared" si="683"/>
        <v>1000</v>
      </c>
      <c r="O1007" s="735">
        <f t="shared" si="676"/>
        <v>52604.799999999996</v>
      </c>
      <c r="P1007" s="735">
        <f t="shared" si="677"/>
        <v>52604.799999999996</v>
      </c>
      <c r="Q1007" s="711">
        <v>1</v>
      </c>
      <c r="R1007" s="735">
        <v>3200.4</v>
      </c>
      <c r="S1007" s="735"/>
      <c r="T1007" s="735"/>
      <c r="U1007" s="735"/>
      <c r="V1007" s="735"/>
      <c r="W1007" s="735"/>
      <c r="X1007" s="735"/>
      <c r="Y1007" s="735">
        <v>1100</v>
      </c>
      <c r="Z1007" s="735">
        <f t="shared" si="685"/>
        <v>4300.3999999999996</v>
      </c>
      <c r="AA1007" s="735">
        <v>1000</v>
      </c>
      <c r="AB1007" s="735"/>
      <c r="AC1007" s="735">
        <f t="shared" si="679"/>
        <v>1000</v>
      </c>
      <c r="AD1007" s="735">
        <f t="shared" si="680"/>
        <v>52604.799999999996</v>
      </c>
      <c r="AE1007" s="735">
        <f t="shared" si="681"/>
        <v>52604.799999999996</v>
      </c>
      <c r="AF1007" s="735">
        <f t="shared" si="669"/>
        <v>0</v>
      </c>
      <c r="AG1007" s="824">
        <f t="shared" si="670"/>
        <v>0</v>
      </c>
      <c r="AH1007" s="711">
        <v>1</v>
      </c>
      <c r="AI1007" s="735">
        <f t="shared" si="682"/>
        <v>631258.6</v>
      </c>
    </row>
    <row r="1008" spans="1:35" x14ac:dyDescent="0.2">
      <c r="A1008" s="704"/>
      <c r="B1008" s="711">
        <v>1</v>
      </c>
      <c r="C1008" s="735">
        <v>3200.4</v>
      </c>
      <c r="D1008" s="735"/>
      <c r="E1008" s="735"/>
      <c r="F1008" s="735"/>
      <c r="G1008" s="735"/>
      <c r="H1008" s="735"/>
      <c r="I1008" s="735"/>
      <c r="J1008" s="735">
        <v>1100</v>
      </c>
      <c r="K1008" s="735">
        <f t="shared" si="684"/>
        <v>4300.3999999999996</v>
      </c>
      <c r="L1008" s="735">
        <v>1000</v>
      </c>
      <c r="M1008" s="735"/>
      <c r="N1008" s="735">
        <f t="shared" si="683"/>
        <v>1000</v>
      </c>
      <c r="O1008" s="735">
        <f t="shared" si="676"/>
        <v>52604.799999999996</v>
      </c>
      <c r="P1008" s="735">
        <f t="shared" si="677"/>
        <v>52604.799999999996</v>
      </c>
      <c r="Q1008" s="711">
        <v>1</v>
      </c>
      <c r="R1008" s="735">
        <v>3200.4</v>
      </c>
      <c r="S1008" s="735"/>
      <c r="T1008" s="735"/>
      <c r="U1008" s="735"/>
      <c r="V1008" s="735"/>
      <c r="W1008" s="735"/>
      <c r="X1008" s="735"/>
      <c r="Y1008" s="735">
        <v>1100</v>
      </c>
      <c r="Z1008" s="735">
        <f t="shared" si="685"/>
        <v>4300.3999999999996</v>
      </c>
      <c r="AA1008" s="735">
        <v>1000</v>
      </c>
      <c r="AB1008" s="735"/>
      <c r="AC1008" s="735">
        <f t="shared" si="679"/>
        <v>1000</v>
      </c>
      <c r="AD1008" s="735">
        <f t="shared" si="680"/>
        <v>52604.799999999996</v>
      </c>
      <c r="AE1008" s="735">
        <f t="shared" si="681"/>
        <v>52604.799999999996</v>
      </c>
      <c r="AF1008" s="735">
        <f t="shared" si="669"/>
        <v>0</v>
      </c>
      <c r="AG1008" s="824">
        <f t="shared" si="670"/>
        <v>0</v>
      </c>
      <c r="AH1008" s="711">
        <v>1</v>
      </c>
      <c r="AI1008" s="735">
        <f t="shared" si="682"/>
        <v>631258.6</v>
      </c>
    </row>
    <row r="1009" spans="1:35" x14ac:dyDescent="0.2">
      <c r="A1009" s="704"/>
      <c r="B1009" s="711">
        <v>1</v>
      </c>
      <c r="C1009" s="735">
        <v>3200.4</v>
      </c>
      <c r="D1009" s="735"/>
      <c r="E1009" s="735"/>
      <c r="F1009" s="735"/>
      <c r="G1009" s="735"/>
      <c r="H1009" s="735"/>
      <c r="I1009" s="735"/>
      <c r="J1009" s="735">
        <v>1000</v>
      </c>
      <c r="K1009" s="735">
        <f t="shared" si="684"/>
        <v>4200.3999999999996</v>
      </c>
      <c r="L1009" s="735">
        <v>1000</v>
      </c>
      <c r="M1009" s="735"/>
      <c r="N1009" s="735">
        <f t="shared" si="683"/>
        <v>1000</v>
      </c>
      <c r="O1009" s="735">
        <f t="shared" si="676"/>
        <v>51404.799999999996</v>
      </c>
      <c r="P1009" s="735">
        <f t="shared" si="677"/>
        <v>51404.799999999996</v>
      </c>
      <c r="Q1009" s="711">
        <v>1</v>
      </c>
      <c r="R1009" s="735">
        <v>3200.4</v>
      </c>
      <c r="S1009" s="735"/>
      <c r="T1009" s="735"/>
      <c r="U1009" s="735"/>
      <c r="V1009" s="735"/>
      <c r="W1009" s="735"/>
      <c r="X1009" s="735"/>
      <c r="Y1009" s="735">
        <v>1000</v>
      </c>
      <c r="Z1009" s="735">
        <f t="shared" si="685"/>
        <v>4200.3999999999996</v>
      </c>
      <c r="AA1009" s="735">
        <v>1000</v>
      </c>
      <c r="AB1009" s="735"/>
      <c r="AC1009" s="735">
        <f t="shared" si="679"/>
        <v>1000</v>
      </c>
      <c r="AD1009" s="735">
        <f t="shared" si="680"/>
        <v>51404.799999999996</v>
      </c>
      <c r="AE1009" s="735">
        <f t="shared" si="681"/>
        <v>51404.799999999996</v>
      </c>
      <c r="AF1009" s="735">
        <f t="shared" si="669"/>
        <v>0</v>
      </c>
      <c r="AG1009" s="824">
        <f t="shared" si="670"/>
        <v>0</v>
      </c>
      <c r="AH1009" s="711">
        <v>1</v>
      </c>
      <c r="AI1009" s="735">
        <f t="shared" si="682"/>
        <v>616858.6</v>
      </c>
    </row>
    <row r="1010" spans="1:35" x14ac:dyDescent="0.2">
      <c r="A1010" s="704"/>
      <c r="B1010" s="711">
        <v>1</v>
      </c>
      <c r="C1010" s="735">
        <v>3200.4</v>
      </c>
      <c r="D1010" s="735"/>
      <c r="E1010" s="735"/>
      <c r="F1010" s="735"/>
      <c r="G1010" s="735"/>
      <c r="H1010" s="735"/>
      <c r="I1010" s="735"/>
      <c r="J1010" s="735">
        <v>740</v>
      </c>
      <c r="K1010" s="735">
        <f t="shared" si="684"/>
        <v>3940.4</v>
      </c>
      <c r="L1010" s="735">
        <v>1000</v>
      </c>
      <c r="M1010" s="735"/>
      <c r="N1010" s="735">
        <f t="shared" si="683"/>
        <v>1000</v>
      </c>
      <c r="O1010" s="735">
        <f t="shared" si="676"/>
        <v>48284.800000000003</v>
      </c>
      <c r="P1010" s="735">
        <f t="shared" si="677"/>
        <v>48284.800000000003</v>
      </c>
      <c r="Q1010" s="711">
        <v>1</v>
      </c>
      <c r="R1010" s="735">
        <v>3200.4</v>
      </c>
      <c r="S1010" s="735"/>
      <c r="T1010" s="735"/>
      <c r="U1010" s="735"/>
      <c r="V1010" s="735"/>
      <c r="W1010" s="735"/>
      <c r="X1010" s="735"/>
      <c r="Y1010" s="735">
        <v>740</v>
      </c>
      <c r="Z1010" s="735">
        <f t="shared" si="685"/>
        <v>3940.4</v>
      </c>
      <c r="AA1010" s="735">
        <v>1000</v>
      </c>
      <c r="AB1010" s="735"/>
      <c r="AC1010" s="735">
        <f t="shared" si="679"/>
        <v>1000</v>
      </c>
      <c r="AD1010" s="735">
        <f t="shared" si="680"/>
        <v>48284.800000000003</v>
      </c>
      <c r="AE1010" s="735">
        <f t="shared" si="681"/>
        <v>48284.800000000003</v>
      </c>
      <c r="AF1010" s="735">
        <f t="shared" si="669"/>
        <v>0</v>
      </c>
      <c r="AG1010" s="824">
        <f t="shared" si="670"/>
        <v>0</v>
      </c>
      <c r="AH1010" s="711">
        <v>1</v>
      </c>
      <c r="AI1010" s="735">
        <f t="shared" si="682"/>
        <v>579418.60000000009</v>
      </c>
    </row>
    <row r="1011" spans="1:35" x14ac:dyDescent="0.2">
      <c r="A1011" s="704"/>
      <c r="B1011" s="711">
        <v>1</v>
      </c>
      <c r="C1011" s="735">
        <v>3200.4</v>
      </c>
      <c r="D1011" s="735"/>
      <c r="E1011" s="735"/>
      <c r="F1011" s="735"/>
      <c r="G1011" s="735"/>
      <c r="H1011" s="735"/>
      <c r="I1011" s="735"/>
      <c r="J1011" s="735">
        <v>1150</v>
      </c>
      <c r="K1011" s="735">
        <f t="shared" si="684"/>
        <v>4350.3999999999996</v>
      </c>
      <c r="L1011" s="735">
        <v>1000</v>
      </c>
      <c r="M1011" s="735"/>
      <c r="N1011" s="735">
        <f t="shared" si="683"/>
        <v>1000</v>
      </c>
      <c r="O1011" s="735">
        <f t="shared" si="676"/>
        <v>53204.799999999996</v>
      </c>
      <c r="P1011" s="735">
        <f t="shared" si="677"/>
        <v>53204.799999999996</v>
      </c>
      <c r="Q1011" s="711">
        <v>1</v>
      </c>
      <c r="R1011" s="735">
        <v>3200.4</v>
      </c>
      <c r="S1011" s="735"/>
      <c r="T1011" s="735"/>
      <c r="U1011" s="735"/>
      <c r="V1011" s="735"/>
      <c r="W1011" s="735"/>
      <c r="X1011" s="735"/>
      <c r="Y1011" s="735">
        <v>1150</v>
      </c>
      <c r="Z1011" s="735">
        <f t="shared" si="685"/>
        <v>4350.3999999999996</v>
      </c>
      <c r="AA1011" s="735">
        <v>1000</v>
      </c>
      <c r="AB1011" s="735"/>
      <c r="AC1011" s="735">
        <f t="shared" si="679"/>
        <v>1000</v>
      </c>
      <c r="AD1011" s="735">
        <f t="shared" si="680"/>
        <v>53204.799999999996</v>
      </c>
      <c r="AE1011" s="735">
        <f t="shared" si="681"/>
        <v>53204.799999999996</v>
      </c>
      <c r="AF1011" s="735">
        <f t="shared" si="669"/>
        <v>0</v>
      </c>
      <c r="AG1011" s="824">
        <f t="shared" si="670"/>
        <v>0</v>
      </c>
      <c r="AH1011" s="711">
        <v>1</v>
      </c>
      <c r="AI1011" s="735">
        <f t="shared" si="682"/>
        <v>638458.6</v>
      </c>
    </row>
    <row r="1012" spans="1:35" x14ac:dyDescent="0.2">
      <c r="A1012" s="704"/>
      <c r="B1012" s="711">
        <v>1</v>
      </c>
      <c r="C1012" s="735">
        <v>3200.4</v>
      </c>
      <c r="D1012" s="735"/>
      <c r="E1012" s="735"/>
      <c r="F1012" s="735"/>
      <c r="G1012" s="735"/>
      <c r="H1012" s="735"/>
      <c r="I1012" s="735"/>
      <c r="J1012" s="735">
        <v>1100</v>
      </c>
      <c r="K1012" s="735">
        <f t="shared" si="684"/>
        <v>4300.3999999999996</v>
      </c>
      <c r="L1012" s="735">
        <v>1000</v>
      </c>
      <c r="M1012" s="735"/>
      <c r="N1012" s="735">
        <f t="shared" si="683"/>
        <v>1000</v>
      </c>
      <c r="O1012" s="735">
        <f t="shared" si="676"/>
        <v>52604.799999999996</v>
      </c>
      <c r="P1012" s="735">
        <f t="shared" si="677"/>
        <v>52604.799999999996</v>
      </c>
      <c r="Q1012" s="711">
        <v>1</v>
      </c>
      <c r="R1012" s="735">
        <v>3200.4</v>
      </c>
      <c r="S1012" s="735"/>
      <c r="T1012" s="735"/>
      <c r="U1012" s="735"/>
      <c r="V1012" s="735"/>
      <c r="W1012" s="735"/>
      <c r="X1012" s="735"/>
      <c r="Y1012" s="735">
        <v>1100</v>
      </c>
      <c r="Z1012" s="735">
        <f t="shared" si="685"/>
        <v>4300.3999999999996</v>
      </c>
      <c r="AA1012" s="735">
        <v>1000</v>
      </c>
      <c r="AB1012" s="735"/>
      <c r="AC1012" s="735">
        <f t="shared" si="679"/>
        <v>1000</v>
      </c>
      <c r="AD1012" s="735">
        <f t="shared" si="680"/>
        <v>52604.799999999996</v>
      </c>
      <c r="AE1012" s="735">
        <f t="shared" si="681"/>
        <v>52604.799999999996</v>
      </c>
      <c r="AF1012" s="735">
        <f t="shared" si="669"/>
        <v>0</v>
      </c>
      <c r="AG1012" s="824">
        <f t="shared" si="670"/>
        <v>0</v>
      </c>
      <c r="AH1012" s="711">
        <v>1</v>
      </c>
      <c r="AI1012" s="735">
        <f t="shared" si="682"/>
        <v>631258.6</v>
      </c>
    </row>
    <row r="1013" spans="1:35" x14ac:dyDescent="0.2">
      <c r="A1013" s="704"/>
      <c r="B1013" s="711">
        <v>1</v>
      </c>
      <c r="C1013" s="735">
        <v>3200.4</v>
      </c>
      <c r="D1013" s="735"/>
      <c r="E1013" s="735"/>
      <c r="F1013" s="735"/>
      <c r="G1013" s="735"/>
      <c r="H1013" s="735"/>
      <c r="I1013" s="735"/>
      <c r="J1013" s="735">
        <v>1100</v>
      </c>
      <c r="K1013" s="735">
        <f t="shared" si="684"/>
        <v>4300.3999999999996</v>
      </c>
      <c r="L1013" s="735">
        <v>1000</v>
      </c>
      <c r="M1013" s="735"/>
      <c r="N1013" s="735">
        <f t="shared" si="683"/>
        <v>1000</v>
      </c>
      <c r="O1013" s="735">
        <f t="shared" si="676"/>
        <v>52604.799999999996</v>
      </c>
      <c r="P1013" s="735">
        <f t="shared" si="677"/>
        <v>52604.799999999996</v>
      </c>
      <c r="Q1013" s="711">
        <v>1</v>
      </c>
      <c r="R1013" s="735">
        <v>3200.4</v>
      </c>
      <c r="S1013" s="735"/>
      <c r="T1013" s="735"/>
      <c r="U1013" s="735"/>
      <c r="V1013" s="735"/>
      <c r="W1013" s="735"/>
      <c r="X1013" s="735"/>
      <c r="Y1013" s="735">
        <v>1100</v>
      </c>
      <c r="Z1013" s="735">
        <f t="shared" si="685"/>
        <v>4300.3999999999996</v>
      </c>
      <c r="AA1013" s="735">
        <v>1000</v>
      </c>
      <c r="AB1013" s="735"/>
      <c r="AC1013" s="735">
        <f t="shared" si="679"/>
        <v>1000</v>
      </c>
      <c r="AD1013" s="735">
        <f t="shared" si="680"/>
        <v>52604.799999999996</v>
      </c>
      <c r="AE1013" s="735">
        <f t="shared" si="681"/>
        <v>52604.799999999996</v>
      </c>
      <c r="AF1013" s="735">
        <f t="shared" si="669"/>
        <v>0</v>
      </c>
      <c r="AG1013" s="824">
        <f t="shared" si="670"/>
        <v>0</v>
      </c>
      <c r="AH1013" s="711">
        <v>1</v>
      </c>
      <c r="AI1013" s="735">
        <f t="shared" si="682"/>
        <v>631258.6</v>
      </c>
    </row>
    <row r="1014" spans="1:35" x14ac:dyDescent="0.2">
      <c r="A1014" s="704"/>
      <c r="B1014" s="711">
        <v>1</v>
      </c>
      <c r="C1014" s="735">
        <v>3200.4</v>
      </c>
      <c r="D1014" s="735"/>
      <c r="E1014" s="735"/>
      <c r="F1014" s="735"/>
      <c r="G1014" s="735"/>
      <c r="H1014" s="735"/>
      <c r="I1014" s="735"/>
      <c r="J1014" s="735">
        <v>960</v>
      </c>
      <c r="K1014" s="735">
        <f t="shared" si="684"/>
        <v>4160.3999999999996</v>
      </c>
      <c r="L1014" s="735">
        <v>1000</v>
      </c>
      <c r="M1014" s="735"/>
      <c r="N1014" s="735">
        <f t="shared" si="683"/>
        <v>1000</v>
      </c>
      <c r="O1014" s="735">
        <f t="shared" si="676"/>
        <v>50924.799999999996</v>
      </c>
      <c r="P1014" s="735">
        <f t="shared" si="677"/>
        <v>50924.799999999996</v>
      </c>
      <c r="Q1014" s="711">
        <v>1</v>
      </c>
      <c r="R1014" s="735">
        <v>3200.4</v>
      </c>
      <c r="S1014" s="735"/>
      <c r="T1014" s="735"/>
      <c r="U1014" s="735"/>
      <c r="V1014" s="735"/>
      <c r="W1014" s="735"/>
      <c r="X1014" s="735"/>
      <c r="Y1014" s="735">
        <v>960</v>
      </c>
      <c r="Z1014" s="735">
        <f t="shared" si="685"/>
        <v>4160.3999999999996</v>
      </c>
      <c r="AA1014" s="735">
        <v>1000</v>
      </c>
      <c r="AB1014" s="735"/>
      <c r="AC1014" s="735">
        <f t="shared" si="679"/>
        <v>1000</v>
      </c>
      <c r="AD1014" s="735">
        <f t="shared" si="680"/>
        <v>50924.799999999996</v>
      </c>
      <c r="AE1014" s="735">
        <f t="shared" si="681"/>
        <v>50924.799999999996</v>
      </c>
      <c r="AF1014" s="735">
        <f t="shared" si="669"/>
        <v>0</v>
      </c>
      <c r="AG1014" s="824">
        <f t="shared" si="670"/>
        <v>0</v>
      </c>
      <c r="AH1014" s="711">
        <v>1</v>
      </c>
      <c r="AI1014" s="735">
        <f t="shared" si="682"/>
        <v>611098.6</v>
      </c>
    </row>
    <row r="1015" spans="1:35" x14ac:dyDescent="0.2">
      <c r="A1015" s="704"/>
      <c r="B1015" s="711">
        <v>1</v>
      </c>
      <c r="C1015" s="735">
        <v>3200.4</v>
      </c>
      <c r="D1015" s="735"/>
      <c r="E1015" s="735"/>
      <c r="F1015" s="735"/>
      <c r="G1015" s="735"/>
      <c r="H1015" s="735"/>
      <c r="I1015" s="735"/>
      <c r="J1015" s="735">
        <v>530</v>
      </c>
      <c r="K1015" s="735">
        <f t="shared" si="684"/>
        <v>3730.4</v>
      </c>
      <c r="L1015" s="735">
        <v>1000</v>
      </c>
      <c r="M1015" s="735"/>
      <c r="N1015" s="735">
        <f t="shared" si="683"/>
        <v>1000</v>
      </c>
      <c r="O1015" s="735">
        <f t="shared" si="676"/>
        <v>45764.800000000003</v>
      </c>
      <c r="P1015" s="735">
        <f t="shared" si="677"/>
        <v>45764.800000000003</v>
      </c>
      <c r="Q1015" s="711">
        <v>1</v>
      </c>
      <c r="R1015" s="735">
        <v>3200.4</v>
      </c>
      <c r="S1015" s="735"/>
      <c r="T1015" s="735"/>
      <c r="U1015" s="735"/>
      <c r="V1015" s="735"/>
      <c r="W1015" s="735"/>
      <c r="X1015" s="735"/>
      <c r="Y1015" s="735">
        <v>530</v>
      </c>
      <c r="Z1015" s="735">
        <f t="shared" si="685"/>
        <v>3730.4</v>
      </c>
      <c r="AA1015" s="735">
        <v>1000</v>
      </c>
      <c r="AB1015" s="735"/>
      <c r="AC1015" s="735">
        <f t="shared" si="679"/>
        <v>1000</v>
      </c>
      <c r="AD1015" s="735">
        <f t="shared" si="680"/>
        <v>45764.800000000003</v>
      </c>
      <c r="AE1015" s="735">
        <f t="shared" si="681"/>
        <v>45764.800000000003</v>
      </c>
      <c r="AF1015" s="735">
        <f t="shared" si="669"/>
        <v>0</v>
      </c>
      <c r="AG1015" s="824">
        <f t="shared" si="670"/>
        <v>0</v>
      </c>
      <c r="AH1015" s="711">
        <v>1</v>
      </c>
      <c r="AI1015" s="735">
        <f t="shared" si="682"/>
        <v>549178.60000000009</v>
      </c>
    </row>
    <row r="1016" spans="1:35" x14ac:dyDescent="0.2">
      <c r="A1016" s="704"/>
      <c r="B1016" s="711">
        <v>1</v>
      </c>
      <c r="C1016" s="735">
        <v>3200.4</v>
      </c>
      <c r="D1016" s="735"/>
      <c r="E1016" s="735"/>
      <c r="F1016" s="735"/>
      <c r="G1016" s="735"/>
      <c r="H1016" s="735"/>
      <c r="I1016" s="735"/>
      <c r="J1016" s="735">
        <v>1100</v>
      </c>
      <c r="K1016" s="735">
        <f t="shared" si="684"/>
        <v>4300.3999999999996</v>
      </c>
      <c r="L1016" s="735">
        <v>1000</v>
      </c>
      <c r="M1016" s="735"/>
      <c r="N1016" s="735">
        <f t="shared" si="683"/>
        <v>1000</v>
      </c>
      <c r="O1016" s="735">
        <f t="shared" si="676"/>
        <v>52604.799999999996</v>
      </c>
      <c r="P1016" s="735">
        <f t="shared" si="677"/>
        <v>52604.799999999996</v>
      </c>
      <c r="Q1016" s="711">
        <v>1</v>
      </c>
      <c r="R1016" s="735">
        <v>3200.4</v>
      </c>
      <c r="S1016" s="735"/>
      <c r="T1016" s="735"/>
      <c r="U1016" s="735"/>
      <c r="V1016" s="735"/>
      <c r="W1016" s="735"/>
      <c r="X1016" s="735"/>
      <c r="Y1016" s="735">
        <v>1100</v>
      </c>
      <c r="Z1016" s="735">
        <f t="shared" si="685"/>
        <v>4300.3999999999996</v>
      </c>
      <c r="AA1016" s="735">
        <v>1000</v>
      </c>
      <c r="AB1016" s="735"/>
      <c r="AC1016" s="735">
        <f t="shared" si="679"/>
        <v>1000</v>
      </c>
      <c r="AD1016" s="735">
        <f t="shared" si="680"/>
        <v>52604.799999999996</v>
      </c>
      <c r="AE1016" s="735">
        <f t="shared" si="681"/>
        <v>52604.799999999996</v>
      </c>
      <c r="AF1016" s="735">
        <f t="shared" si="669"/>
        <v>0</v>
      </c>
      <c r="AG1016" s="824">
        <f t="shared" si="670"/>
        <v>0</v>
      </c>
      <c r="AH1016" s="711">
        <v>1</v>
      </c>
      <c r="AI1016" s="735">
        <f t="shared" si="682"/>
        <v>631258.6</v>
      </c>
    </row>
    <row r="1017" spans="1:35" x14ac:dyDescent="0.2">
      <c r="A1017" s="704"/>
      <c r="B1017" s="711">
        <v>1</v>
      </c>
      <c r="C1017" s="735">
        <v>3200.4</v>
      </c>
      <c r="D1017" s="735"/>
      <c r="E1017" s="735"/>
      <c r="F1017" s="735"/>
      <c r="G1017" s="735"/>
      <c r="H1017" s="735"/>
      <c r="I1017" s="735"/>
      <c r="J1017" s="735">
        <v>960</v>
      </c>
      <c r="K1017" s="735">
        <f t="shared" si="684"/>
        <v>4160.3999999999996</v>
      </c>
      <c r="L1017" s="735">
        <v>1000</v>
      </c>
      <c r="M1017" s="735"/>
      <c r="N1017" s="735">
        <f t="shared" si="683"/>
        <v>1000</v>
      </c>
      <c r="O1017" s="735">
        <f t="shared" si="676"/>
        <v>50924.799999999996</v>
      </c>
      <c r="P1017" s="735">
        <f t="shared" si="677"/>
        <v>50924.799999999996</v>
      </c>
      <c r="Q1017" s="711">
        <v>1</v>
      </c>
      <c r="R1017" s="735">
        <v>3200.4</v>
      </c>
      <c r="S1017" s="735"/>
      <c r="T1017" s="735"/>
      <c r="U1017" s="735"/>
      <c r="V1017" s="735"/>
      <c r="W1017" s="735"/>
      <c r="X1017" s="735"/>
      <c r="Y1017" s="735">
        <v>960</v>
      </c>
      <c r="Z1017" s="735">
        <f t="shared" si="685"/>
        <v>4160.3999999999996</v>
      </c>
      <c r="AA1017" s="735">
        <v>1000</v>
      </c>
      <c r="AB1017" s="735"/>
      <c r="AC1017" s="735">
        <f t="shared" si="679"/>
        <v>1000</v>
      </c>
      <c r="AD1017" s="735">
        <f t="shared" si="680"/>
        <v>50924.799999999996</v>
      </c>
      <c r="AE1017" s="735">
        <f t="shared" si="681"/>
        <v>50924.799999999996</v>
      </c>
      <c r="AF1017" s="735">
        <f t="shared" si="669"/>
        <v>0</v>
      </c>
      <c r="AG1017" s="824">
        <f t="shared" si="670"/>
        <v>0</v>
      </c>
      <c r="AH1017" s="711">
        <v>1</v>
      </c>
      <c r="AI1017" s="735">
        <f t="shared" si="682"/>
        <v>611098.6</v>
      </c>
    </row>
    <row r="1018" spans="1:35" x14ac:dyDescent="0.2">
      <c r="A1018" s="704"/>
      <c r="B1018" s="711">
        <v>1</v>
      </c>
      <c r="C1018" s="735">
        <v>3200.4</v>
      </c>
      <c r="D1018" s="735"/>
      <c r="E1018" s="735"/>
      <c r="F1018" s="735"/>
      <c r="G1018" s="735"/>
      <c r="H1018" s="735"/>
      <c r="I1018" s="735"/>
      <c r="J1018" s="735">
        <v>1150</v>
      </c>
      <c r="K1018" s="735">
        <f t="shared" si="684"/>
        <v>4350.3999999999996</v>
      </c>
      <c r="L1018" s="735">
        <v>1000</v>
      </c>
      <c r="M1018" s="735"/>
      <c r="N1018" s="735">
        <f t="shared" si="683"/>
        <v>1000</v>
      </c>
      <c r="O1018" s="735">
        <f t="shared" si="676"/>
        <v>53204.799999999996</v>
      </c>
      <c r="P1018" s="735">
        <f t="shared" si="677"/>
        <v>53204.799999999996</v>
      </c>
      <c r="Q1018" s="711">
        <v>1</v>
      </c>
      <c r="R1018" s="735">
        <v>3200.4</v>
      </c>
      <c r="S1018" s="735"/>
      <c r="T1018" s="735"/>
      <c r="U1018" s="735"/>
      <c r="V1018" s="735"/>
      <c r="W1018" s="735"/>
      <c r="X1018" s="735"/>
      <c r="Y1018" s="735">
        <v>1150</v>
      </c>
      <c r="Z1018" s="735">
        <f t="shared" si="685"/>
        <v>4350.3999999999996</v>
      </c>
      <c r="AA1018" s="735">
        <v>1000</v>
      </c>
      <c r="AB1018" s="735"/>
      <c r="AC1018" s="735">
        <f t="shared" si="679"/>
        <v>1000</v>
      </c>
      <c r="AD1018" s="735">
        <f t="shared" si="680"/>
        <v>53204.799999999996</v>
      </c>
      <c r="AE1018" s="735">
        <f t="shared" si="681"/>
        <v>53204.799999999996</v>
      </c>
      <c r="AF1018" s="735">
        <f t="shared" si="669"/>
        <v>0</v>
      </c>
      <c r="AG1018" s="824">
        <f t="shared" si="670"/>
        <v>0</v>
      </c>
      <c r="AH1018" s="711">
        <v>1</v>
      </c>
      <c r="AI1018" s="735">
        <f t="shared" si="682"/>
        <v>638458.6</v>
      </c>
    </row>
    <row r="1019" spans="1:35" x14ac:dyDescent="0.2">
      <c r="A1019" s="704"/>
      <c r="B1019" s="711">
        <v>1</v>
      </c>
      <c r="C1019" s="735">
        <v>3200.4</v>
      </c>
      <c r="D1019" s="735"/>
      <c r="E1019" s="735"/>
      <c r="F1019" s="735"/>
      <c r="G1019" s="735"/>
      <c r="H1019" s="735"/>
      <c r="I1019" s="735"/>
      <c r="J1019" s="735">
        <v>360</v>
      </c>
      <c r="K1019" s="735">
        <f t="shared" si="684"/>
        <v>3560.4</v>
      </c>
      <c r="L1019" s="735">
        <v>1000</v>
      </c>
      <c r="M1019" s="735"/>
      <c r="N1019" s="735">
        <f t="shared" si="683"/>
        <v>1000</v>
      </c>
      <c r="O1019" s="735">
        <f t="shared" si="676"/>
        <v>43724.800000000003</v>
      </c>
      <c r="P1019" s="735">
        <f t="shared" si="677"/>
        <v>43724.800000000003</v>
      </c>
      <c r="Q1019" s="711">
        <v>1</v>
      </c>
      <c r="R1019" s="735">
        <v>3200.4</v>
      </c>
      <c r="S1019" s="735"/>
      <c r="T1019" s="735"/>
      <c r="U1019" s="735"/>
      <c r="V1019" s="735"/>
      <c r="W1019" s="735"/>
      <c r="X1019" s="735"/>
      <c r="Y1019" s="735">
        <v>360</v>
      </c>
      <c r="Z1019" s="735">
        <f t="shared" si="685"/>
        <v>3560.4</v>
      </c>
      <c r="AA1019" s="735">
        <v>1000</v>
      </c>
      <c r="AB1019" s="735"/>
      <c r="AC1019" s="735">
        <f t="shared" si="679"/>
        <v>1000</v>
      </c>
      <c r="AD1019" s="735">
        <f t="shared" si="680"/>
        <v>43724.800000000003</v>
      </c>
      <c r="AE1019" s="735">
        <f t="shared" si="681"/>
        <v>43724.800000000003</v>
      </c>
      <c r="AF1019" s="735">
        <f t="shared" si="669"/>
        <v>0</v>
      </c>
      <c r="AG1019" s="824">
        <f t="shared" si="670"/>
        <v>0</v>
      </c>
      <c r="AH1019" s="711">
        <v>1</v>
      </c>
      <c r="AI1019" s="735">
        <f t="shared" si="682"/>
        <v>524698.60000000009</v>
      </c>
    </row>
    <row r="1020" spans="1:35" x14ac:dyDescent="0.2">
      <c r="A1020" s="704"/>
      <c r="B1020" s="711">
        <v>1</v>
      </c>
      <c r="C1020" s="735">
        <v>3200.4</v>
      </c>
      <c r="D1020" s="735"/>
      <c r="E1020" s="735"/>
      <c r="F1020" s="735"/>
      <c r="G1020" s="735"/>
      <c r="H1020" s="735"/>
      <c r="I1020" s="735"/>
      <c r="J1020" s="735">
        <v>750</v>
      </c>
      <c r="K1020" s="735">
        <f t="shared" si="684"/>
        <v>3950.4</v>
      </c>
      <c r="L1020" s="735">
        <v>1000</v>
      </c>
      <c r="M1020" s="735"/>
      <c r="N1020" s="735">
        <f t="shared" si="683"/>
        <v>1000</v>
      </c>
      <c r="O1020" s="735">
        <f t="shared" si="676"/>
        <v>48404.800000000003</v>
      </c>
      <c r="P1020" s="735">
        <f t="shared" si="677"/>
        <v>48404.800000000003</v>
      </c>
      <c r="Q1020" s="711">
        <v>1</v>
      </c>
      <c r="R1020" s="735">
        <v>3200.4</v>
      </c>
      <c r="S1020" s="735"/>
      <c r="T1020" s="735"/>
      <c r="U1020" s="735"/>
      <c r="V1020" s="735"/>
      <c r="W1020" s="735"/>
      <c r="X1020" s="735"/>
      <c r="Y1020" s="735">
        <v>750</v>
      </c>
      <c r="Z1020" s="735">
        <f t="shared" si="685"/>
        <v>3950.4</v>
      </c>
      <c r="AA1020" s="735">
        <v>1000</v>
      </c>
      <c r="AB1020" s="735"/>
      <c r="AC1020" s="735">
        <f t="shared" si="679"/>
        <v>1000</v>
      </c>
      <c r="AD1020" s="735">
        <f t="shared" si="680"/>
        <v>48404.800000000003</v>
      </c>
      <c r="AE1020" s="735">
        <f t="shared" si="681"/>
        <v>48404.800000000003</v>
      </c>
      <c r="AF1020" s="735">
        <f t="shared" si="669"/>
        <v>0</v>
      </c>
      <c r="AG1020" s="824">
        <f t="shared" si="670"/>
        <v>0</v>
      </c>
      <c r="AH1020" s="711">
        <v>1</v>
      </c>
      <c r="AI1020" s="735">
        <f t="shared" si="682"/>
        <v>580858.60000000009</v>
      </c>
    </row>
    <row r="1021" spans="1:35" x14ac:dyDescent="0.2">
      <c r="A1021" s="704"/>
      <c r="B1021" s="711">
        <v>1</v>
      </c>
      <c r="C1021" s="735">
        <v>3200.4</v>
      </c>
      <c r="D1021" s="735"/>
      <c r="E1021" s="735"/>
      <c r="F1021" s="735"/>
      <c r="G1021" s="735"/>
      <c r="H1021" s="735"/>
      <c r="I1021" s="735"/>
      <c r="J1021" s="735">
        <v>240</v>
      </c>
      <c r="K1021" s="735">
        <f t="shared" si="684"/>
        <v>3440.4</v>
      </c>
      <c r="L1021" s="735">
        <v>1000</v>
      </c>
      <c r="M1021" s="735"/>
      <c r="N1021" s="735">
        <f t="shared" si="683"/>
        <v>1000</v>
      </c>
      <c r="O1021" s="735">
        <f t="shared" si="676"/>
        <v>42284.800000000003</v>
      </c>
      <c r="P1021" s="735">
        <f t="shared" si="677"/>
        <v>42284.800000000003</v>
      </c>
      <c r="Q1021" s="711">
        <v>1</v>
      </c>
      <c r="R1021" s="735">
        <v>3200.4</v>
      </c>
      <c r="S1021" s="735"/>
      <c r="T1021" s="735"/>
      <c r="U1021" s="735"/>
      <c r="V1021" s="735"/>
      <c r="W1021" s="735"/>
      <c r="X1021" s="735"/>
      <c r="Y1021" s="735">
        <v>240</v>
      </c>
      <c r="Z1021" s="735">
        <f t="shared" si="685"/>
        <v>3440.4</v>
      </c>
      <c r="AA1021" s="735">
        <v>1000</v>
      </c>
      <c r="AB1021" s="735"/>
      <c r="AC1021" s="735">
        <f t="shared" si="679"/>
        <v>1000</v>
      </c>
      <c r="AD1021" s="735">
        <f t="shared" si="680"/>
        <v>42284.800000000003</v>
      </c>
      <c r="AE1021" s="735">
        <f t="shared" si="681"/>
        <v>42284.800000000003</v>
      </c>
      <c r="AF1021" s="735">
        <f t="shared" si="669"/>
        <v>0</v>
      </c>
      <c r="AG1021" s="824">
        <f t="shared" si="670"/>
        <v>0</v>
      </c>
      <c r="AH1021" s="711">
        <v>1</v>
      </c>
      <c r="AI1021" s="735">
        <f t="shared" si="682"/>
        <v>507418.60000000003</v>
      </c>
    </row>
    <row r="1022" spans="1:35" x14ac:dyDescent="0.2">
      <c r="A1022" s="704"/>
      <c r="B1022" s="711">
        <v>1</v>
      </c>
      <c r="C1022" s="735">
        <v>3200.4</v>
      </c>
      <c r="D1022" s="735"/>
      <c r="E1022" s="735"/>
      <c r="F1022" s="735"/>
      <c r="G1022" s="735"/>
      <c r="H1022" s="735"/>
      <c r="I1022" s="735"/>
      <c r="J1022" s="735">
        <v>1100</v>
      </c>
      <c r="K1022" s="735">
        <f t="shared" si="684"/>
        <v>4300.3999999999996</v>
      </c>
      <c r="L1022" s="735">
        <v>1000</v>
      </c>
      <c r="M1022" s="735"/>
      <c r="N1022" s="735">
        <f t="shared" si="683"/>
        <v>1000</v>
      </c>
      <c r="O1022" s="735">
        <f t="shared" si="676"/>
        <v>52604.799999999996</v>
      </c>
      <c r="P1022" s="735">
        <f t="shared" si="677"/>
        <v>52604.799999999996</v>
      </c>
      <c r="Q1022" s="711">
        <v>1</v>
      </c>
      <c r="R1022" s="735">
        <v>3200.4</v>
      </c>
      <c r="S1022" s="735"/>
      <c r="T1022" s="735"/>
      <c r="U1022" s="735"/>
      <c r="V1022" s="735"/>
      <c r="W1022" s="735"/>
      <c r="X1022" s="735"/>
      <c r="Y1022" s="735">
        <v>1100</v>
      </c>
      <c r="Z1022" s="735">
        <f t="shared" si="685"/>
        <v>4300.3999999999996</v>
      </c>
      <c r="AA1022" s="735">
        <v>1000</v>
      </c>
      <c r="AB1022" s="735"/>
      <c r="AC1022" s="735">
        <f t="shared" si="679"/>
        <v>1000</v>
      </c>
      <c r="AD1022" s="735">
        <f t="shared" si="680"/>
        <v>52604.799999999996</v>
      </c>
      <c r="AE1022" s="735">
        <f t="shared" si="681"/>
        <v>52604.799999999996</v>
      </c>
      <c r="AF1022" s="735">
        <f t="shared" si="669"/>
        <v>0</v>
      </c>
      <c r="AG1022" s="824">
        <f t="shared" si="670"/>
        <v>0</v>
      </c>
      <c r="AH1022" s="711">
        <v>1</v>
      </c>
      <c r="AI1022" s="735">
        <f t="shared" si="682"/>
        <v>631258.6</v>
      </c>
    </row>
    <row r="1023" spans="1:35" x14ac:dyDescent="0.2">
      <c r="A1023" s="704"/>
      <c r="B1023" s="711">
        <v>1</v>
      </c>
      <c r="C1023" s="735">
        <v>3200.4</v>
      </c>
      <c r="D1023" s="735"/>
      <c r="E1023" s="735"/>
      <c r="F1023" s="735"/>
      <c r="G1023" s="735"/>
      <c r="H1023" s="735"/>
      <c r="I1023" s="735"/>
      <c r="J1023" s="735">
        <v>960</v>
      </c>
      <c r="K1023" s="735">
        <f t="shared" si="684"/>
        <v>4160.3999999999996</v>
      </c>
      <c r="L1023" s="735">
        <v>1000</v>
      </c>
      <c r="M1023" s="735"/>
      <c r="N1023" s="735">
        <f t="shared" si="683"/>
        <v>1000</v>
      </c>
      <c r="O1023" s="735">
        <f t="shared" si="676"/>
        <v>50924.799999999996</v>
      </c>
      <c r="P1023" s="735">
        <f t="shared" si="677"/>
        <v>50924.799999999996</v>
      </c>
      <c r="Q1023" s="711">
        <v>1</v>
      </c>
      <c r="R1023" s="735">
        <v>3200.4</v>
      </c>
      <c r="S1023" s="735"/>
      <c r="T1023" s="735"/>
      <c r="U1023" s="735"/>
      <c r="V1023" s="735"/>
      <c r="W1023" s="735"/>
      <c r="X1023" s="735"/>
      <c r="Y1023" s="735">
        <v>960</v>
      </c>
      <c r="Z1023" s="735">
        <f t="shared" si="685"/>
        <v>4160.3999999999996</v>
      </c>
      <c r="AA1023" s="735">
        <v>1000</v>
      </c>
      <c r="AB1023" s="735"/>
      <c r="AC1023" s="735">
        <f t="shared" si="679"/>
        <v>1000</v>
      </c>
      <c r="AD1023" s="735">
        <f t="shared" si="680"/>
        <v>50924.799999999996</v>
      </c>
      <c r="AE1023" s="735">
        <f t="shared" si="681"/>
        <v>50924.799999999996</v>
      </c>
      <c r="AF1023" s="735">
        <f t="shared" si="669"/>
        <v>0</v>
      </c>
      <c r="AG1023" s="824">
        <f t="shared" si="670"/>
        <v>0</v>
      </c>
      <c r="AH1023" s="711">
        <v>1</v>
      </c>
      <c r="AI1023" s="735">
        <f t="shared" si="682"/>
        <v>611098.6</v>
      </c>
    </row>
    <row r="1024" spans="1:35" x14ac:dyDescent="0.2">
      <c r="A1024" s="704"/>
      <c r="B1024" s="711">
        <v>1</v>
      </c>
      <c r="C1024" s="735">
        <v>3200.4</v>
      </c>
      <c r="D1024" s="735"/>
      <c r="E1024" s="735"/>
      <c r="F1024" s="735"/>
      <c r="G1024" s="735"/>
      <c r="H1024" s="735"/>
      <c r="I1024" s="735"/>
      <c r="J1024" s="735">
        <v>1100</v>
      </c>
      <c r="K1024" s="735">
        <f t="shared" si="684"/>
        <v>4300.3999999999996</v>
      </c>
      <c r="L1024" s="735">
        <v>1000</v>
      </c>
      <c r="M1024" s="735"/>
      <c r="N1024" s="735">
        <f t="shared" si="683"/>
        <v>1000</v>
      </c>
      <c r="O1024" s="735">
        <f t="shared" si="676"/>
        <v>52604.799999999996</v>
      </c>
      <c r="P1024" s="735">
        <f t="shared" si="677"/>
        <v>52604.799999999996</v>
      </c>
      <c r="Q1024" s="711">
        <v>1</v>
      </c>
      <c r="R1024" s="735">
        <v>3200.4</v>
      </c>
      <c r="S1024" s="735"/>
      <c r="T1024" s="735"/>
      <c r="U1024" s="735"/>
      <c r="V1024" s="735"/>
      <c r="W1024" s="735"/>
      <c r="X1024" s="735"/>
      <c r="Y1024" s="735">
        <v>1100</v>
      </c>
      <c r="Z1024" s="735">
        <f t="shared" si="685"/>
        <v>4300.3999999999996</v>
      </c>
      <c r="AA1024" s="735">
        <v>1000</v>
      </c>
      <c r="AB1024" s="735"/>
      <c r="AC1024" s="735">
        <f t="shared" si="679"/>
        <v>1000</v>
      </c>
      <c r="AD1024" s="735">
        <f t="shared" si="680"/>
        <v>52604.799999999996</v>
      </c>
      <c r="AE1024" s="735">
        <f t="shared" si="681"/>
        <v>52604.799999999996</v>
      </c>
      <c r="AF1024" s="735">
        <f t="shared" ref="AF1024:AF1087" si="686">AD1024-O1024</f>
        <v>0</v>
      </c>
      <c r="AG1024" s="824">
        <f t="shared" si="670"/>
        <v>0</v>
      </c>
      <c r="AH1024" s="711">
        <v>1</v>
      </c>
      <c r="AI1024" s="735">
        <f t="shared" si="682"/>
        <v>631258.6</v>
      </c>
    </row>
    <row r="1025" spans="1:35" x14ac:dyDescent="0.2">
      <c r="A1025" s="704"/>
      <c r="B1025" s="711">
        <v>1</v>
      </c>
      <c r="C1025" s="735">
        <v>3200.4</v>
      </c>
      <c r="D1025" s="735"/>
      <c r="E1025" s="735"/>
      <c r="F1025" s="735"/>
      <c r="G1025" s="735"/>
      <c r="H1025" s="735"/>
      <c r="I1025" s="735"/>
      <c r="J1025" s="735">
        <v>1010</v>
      </c>
      <c r="K1025" s="735">
        <f t="shared" si="684"/>
        <v>4210.3999999999996</v>
      </c>
      <c r="L1025" s="735">
        <v>1000</v>
      </c>
      <c r="M1025" s="735"/>
      <c r="N1025" s="735">
        <f t="shared" si="683"/>
        <v>1000</v>
      </c>
      <c r="O1025" s="735">
        <f t="shared" si="676"/>
        <v>51524.799999999996</v>
      </c>
      <c r="P1025" s="735">
        <f t="shared" si="677"/>
        <v>51524.799999999996</v>
      </c>
      <c r="Q1025" s="711">
        <v>1</v>
      </c>
      <c r="R1025" s="735">
        <v>3200.4</v>
      </c>
      <c r="S1025" s="735"/>
      <c r="T1025" s="735"/>
      <c r="U1025" s="735"/>
      <c r="V1025" s="735"/>
      <c r="W1025" s="735"/>
      <c r="X1025" s="735"/>
      <c r="Y1025" s="735">
        <v>1010</v>
      </c>
      <c r="Z1025" s="735">
        <f t="shared" si="685"/>
        <v>4210.3999999999996</v>
      </c>
      <c r="AA1025" s="735">
        <v>1000</v>
      </c>
      <c r="AB1025" s="735"/>
      <c r="AC1025" s="735">
        <f t="shared" si="679"/>
        <v>1000</v>
      </c>
      <c r="AD1025" s="735">
        <f t="shared" si="680"/>
        <v>51524.799999999996</v>
      </c>
      <c r="AE1025" s="735">
        <f t="shared" si="681"/>
        <v>51524.799999999996</v>
      </c>
      <c r="AF1025" s="735">
        <f t="shared" si="686"/>
        <v>0</v>
      </c>
      <c r="AG1025" s="824">
        <f t="shared" si="670"/>
        <v>0</v>
      </c>
      <c r="AH1025" s="711">
        <v>1</v>
      </c>
      <c r="AI1025" s="735">
        <f t="shared" si="682"/>
        <v>618298.6</v>
      </c>
    </row>
    <row r="1026" spans="1:35" x14ac:dyDescent="0.2">
      <c r="A1026" s="873" t="s">
        <v>794</v>
      </c>
      <c r="B1026" s="722">
        <f>SUM(B1027:B1144)</f>
        <v>118</v>
      </c>
      <c r="C1026" s="784">
        <f>SUM(C1027:C1144)</f>
        <v>283235.39999999938</v>
      </c>
      <c r="D1026" s="784">
        <f t="shared" ref="D1026:L1026" si="687">SUM(D1027:D1144)</f>
        <v>0</v>
      </c>
      <c r="E1026" s="784">
        <f t="shared" si="687"/>
        <v>0</v>
      </c>
      <c r="F1026" s="784">
        <f t="shared" si="687"/>
        <v>0</v>
      </c>
      <c r="G1026" s="784">
        <f t="shared" si="687"/>
        <v>0</v>
      </c>
      <c r="H1026" s="784">
        <f t="shared" si="687"/>
        <v>0</v>
      </c>
      <c r="I1026" s="784">
        <f t="shared" si="687"/>
        <v>0</v>
      </c>
      <c r="J1026" s="784">
        <f>SUM(J1027:J1144)</f>
        <v>50670</v>
      </c>
      <c r="K1026" s="784">
        <f t="shared" si="687"/>
        <v>333905.39999999927</v>
      </c>
      <c r="L1026" s="784">
        <f t="shared" si="687"/>
        <v>118000</v>
      </c>
      <c r="M1026" s="784"/>
      <c r="N1026" s="784">
        <f>SUM(L1026:M1026)</f>
        <v>118000</v>
      </c>
      <c r="O1026" s="784">
        <f>SUM(O1027:O1144)</f>
        <v>4124864.8000000077</v>
      </c>
      <c r="P1026" s="784">
        <f>SUM(P1027:P1144)</f>
        <v>4124864.8000000077</v>
      </c>
      <c r="Q1026" s="711">
        <f>SUM(Q1027:Q1144)</f>
        <v>118</v>
      </c>
      <c r="R1026" s="784">
        <f>SUM(R1027:R1144)</f>
        <v>283235.39999999938</v>
      </c>
      <c r="S1026" s="784">
        <f t="shared" ref="S1026:X1026" si="688">SUM(S1027:S1144)</f>
        <v>0</v>
      </c>
      <c r="T1026" s="784">
        <f t="shared" si="688"/>
        <v>0</v>
      </c>
      <c r="U1026" s="784">
        <f t="shared" si="688"/>
        <v>0</v>
      </c>
      <c r="V1026" s="784">
        <f t="shared" si="688"/>
        <v>0</v>
      </c>
      <c r="W1026" s="784">
        <f t="shared" si="688"/>
        <v>0</v>
      </c>
      <c r="X1026" s="784">
        <f t="shared" si="688"/>
        <v>0</v>
      </c>
      <c r="Y1026" s="784">
        <f>SUM(Y1027:Y1144)</f>
        <v>50670</v>
      </c>
      <c r="Z1026" s="784">
        <f t="shared" ref="Z1026:AA1026" si="689">SUM(Z1027:Z1144)</f>
        <v>333905.39999999927</v>
      </c>
      <c r="AA1026" s="784">
        <f t="shared" si="689"/>
        <v>118000</v>
      </c>
      <c r="AB1026" s="784"/>
      <c r="AC1026" s="784">
        <f>SUM(AA1026:AB1026)</f>
        <v>118000</v>
      </c>
      <c r="AD1026" s="784">
        <f>SUM(AD1027:AD1144)</f>
        <v>4124864.8000000077</v>
      </c>
      <c r="AE1026" s="784">
        <f>SUM(AE1027:AE1144)</f>
        <v>4124864.8000000077</v>
      </c>
      <c r="AF1026" s="784">
        <f t="shared" ref="AF1026:AG1026" si="690">SUM(AF1027:AF1144)</f>
        <v>0</v>
      </c>
      <c r="AG1026" s="786">
        <f t="shared" si="690"/>
        <v>0</v>
      </c>
      <c r="AH1026" s="711">
        <f>SUM(AH1027:AH1144)</f>
        <v>118</v>
      </c>
      <c r="AI1026" s="784">
        <f>SUM(AI1027:AI1144)</f>
        <v>49498495.600000076</v>
      </c>
    </row>
    <row r="1027" spans="1:35" x14ac:dyDescent="0.2">
      <c r="A1027" s="704"/>
      <c r="B1027" s="711">
        <v>1</v>
      </c>
      <c r="C1027" s="735">
        <v>2400.3000000000002</v>
      </c>
      <c r="D1027" s="735"/>
      <c r="E1027" s="735"/>
      <c r="F1027" s="735"/>
      <c r="G1027" s="735"/>
      <c r="H1027" s="735"/>
      <c r="I1027" s="735"/>
      <c r="J1027" s="735">
        <v>0</v>
      </c>
      <c r="K1027" s="735">
        <f t="shared" si="684"/>
        <v>2400.3000000000002</v>
      </c>
      <c r="L1027" s="735">
        <v>1000</v>
      </c>
      <c r="M1027" s="735"/>
      <c r="N1027" s="735">
        <f t="shared" si="683"/>
        <v>1000</v>
      </c>
      <c r="O1027" s="735">
        <f t="shared" si="676"/>
        <v>29803.600000000002</v>
      </c>
      <c r="P1027" s="735">
        <f t="shared" si="677"/>
        <v>29803.600000000002</v>
      </c>
      <c r="Q1027" s="711">
        <v>1</v>
      </c>
      <c r="R1027" s="735">
        <v>2400.3000000000002</v>
      </c>
      <c r="S1027" s="735"/>
      <c r="T1027" s="735"/>
      <c r="U1027" s="735"/>
      <c r="V1027" s="735"/>
      <c r="W1027" s="735"/>
      <c r="X1027" s="735"/>
      <c r="Y1027" s="735">
        <v>0</v>
      </c>
      <c r="Z1027" s="735">
        <f t="shared" ref="Z1027:Z1090" si="691">SUM(R1027:Y1027)</f>
        <v>2400.3000000000002</v>
      </c>
      <c r="AA1027" s="735">
        <v>1000</v>
      </c>
      <c r="AB1027" s="735"/>
      <c r="AC1027" s="735">
        <f t="shared" ref="AC1027:AC1090" si="692">SUM(AA1027:AB1027)</f>
        <v>1000</v>
      </c>
      <c r="AD1027" s="735">
        <f t="shared" ref="AD1027:AD1090" si="693">(Z1027*12)+AC1027</f>
        <v>29803.600000000002</v>
      </c>
      <c r="AE1027" s="735">
        <f t="shared" ref="AE1027:AE1090" si="694">Q1027*AD1027</f>
        <v>29803.600000000002</v>
      </c>
      <c r="AF1027" s="735">
        <f t="shared" si="686"/>
        <v>0</v>
      </c>
      <c r="AG1027" s="824">
        <f t="shared" si="670"/>
        <v>0</v>
      </c>
      <c r="AH1027" s="711">
        <v>1</v>
      </c>
      <c r="AI1027" s="735">
        <f t="shared" ref="AI1027:AI1090" si="695">(AE1027*12)+AH1027</f>
        <v>357644.2</v>
      </c>
    </row>
    <row r="1028" spans="1:35" x14ac:dyDescent="0.2">
      <c r="A1028" s="704"/>
      <c r="B1028" s="711">
        <v>1</v>
      </c>
      <c r="C1028" s="735">
        <v>2400.3000000000002</v>
      </c>
      <c r="D1028" s="735"/>
      <c r="E1028" s="735"/>
      <c r="F1028" s="735"/>
      <c r="G1028" s="735"/>
      <c r="H1028" s="735"/>
      <c r="I1028" s="735"/>
      <c r="J1028" s="735">
        <v>650</v>
      </c>
      <c r="K1028" s="735">
        <f t="shared" si="684"/>
        <v>3050.3</v>
      </c>
      <c r="L1028" s="735">
        <v>1000</v>
      </c>
      <c r="M1028" s="735"/>
      <c r="N1028" s="735">
        <f t="shared" si="683"/>
        <v>1000</v>
      </c>
      <c r="O1028" s="735">
        <f t="shared" si="676"/>
        <v>37603.600000000006</v>
      </c>
      <c r="P1028" s="735">
        <f t="shared" si="677"/>
        <v>37603.600000000006</v>
      </c>
      <c r="Q1028" s="711">
        <v>1</v>
      </c>
      <c r="R1028" s="735">
        <v>2400.3000000000002</v>
      </c>
      <c r="S1028" s="735"/>
      <c r="T1028" s="735"/>
      <c r="U1028" s="735"/>
      <c r="V1028" s="735"/>
      <c r="W1028" s="735"/>
      <c r="X1028" s="735"/>
      <c r="Y1028" s="735">
        <v>650</v>
      </c>
      <c r="Z1028" s="735">
        <f t="shared" si="691"/>
        <v>3050.3</v>
      </c>
      <c r="AA1028" s="735">
        <v>1000</v>
      </c>
      <c r="AB1028" s="735"/>
      <c r="AC1028" s="735">
        <f t="shared" si="692"/>
        <v>1000</v>
      </c>
      <c r="AD1028" s="735">
        <f t="shared" si="693"/>
        <v>37603.600000000006</v>
      </c>
      <c r="AE1028" s="735">
        <f t="shared" si="694"/>
        <v>37603.600000000006</v>
      </c>
      <c r="AF1028" s="735">
        <f t="shared" si="686"/>
        <v>0</v>
      </c>
      <c r="AG1028" s="824">
        <f t="shared" si="670"/>
        <v>0</v>
      </c>
      <c r="AH1028" s="711">
        <v>1</v>
      </c>
      <c r="AI1028" s="735">
        <f t="shared" si="695"/>
        <v>451244.20000000007</v>
      </c>
    </row>
    <row r="1029" spans="1:35" x14ac:dyDescent="0.2">
      <c r="A1029" s="704"/>
      <c r="B1029" s="711">
        <v>1</v>
      </c>
      <c r="C1029" s="735">
        <v>2400.3000000000002</v>
      </c>
      <c r="D1029" s="735"/>
      <c r="E1029" s="735"/>
      <c r="F1029" s="735"/>
      <c r="G1029" s="735"/>
      <c r="H1029" s="735"/>
      <c r="I1029" s="735"/>
      <c r="J1029" s="735">
        <v>600</v>
      </c>
      <c r="K1029" s="735">
        <f t="shared" si="684"/>
        <v>3000.3</v>
      </c>
      <c r="L1029" s="735">
        <v>1000</v>
      </c>
      <c r="M1029" s="735"/>
      <c r="N1029" s="735">
        <f t="shared" si="683"/>
        <v>1000</v>
      </c>
      <c r="O1029" s="735">
        <f t="shared" si="676"/>
        <v>37003.600000000006</v>
      </c>
      <c r="P1029" s="735">
        <f t="shared" si="677"/>
        <v>37003.600000000006</v>
      </c>
      <c r="Q1029" s="711">
        <v>1</v>
      </c>
      <c r="R1029" s="735">
        <v>2400.3000000000002</v>
      </c>
      <c r="S1029" s="735"/>
      <c r="T1029" s="735"/>
      <c r="U1029" s="735"/>
      <c r="V1029" s="735"/>
      <c r="W1029" s="735"/>
      <c r="X1029" s="735"/>
      <c r="Y1029" s="735">
        <v>600</v>
      </c>
      <c r="Z1029" s="735">
        <f t="shared" si="691"/>
        <v>3000.3</v>
      </c>
      <c r="AA1029" s="735">
        <v>1000</v>
      </c>
      <c r="AB1029" s="735"/>
      <c r="AC1029" s="735">
        <f t="shared" si="692"/>
        <v>1000</v>
      </c>
      <c r="AD1029" s="735">
        <f t="shared" si="693"/>
        <v>37003.600000000006</v>
      </c>
      <c r="AE1029" s="735">
        <f t="shared" si="694"/>
        <v>37003.600000000006</v>
      </c>
      <c r="AF1029" s="735">
        <f t="shared" si="686"/>
        <v>0</v>
      </c>
      <c r="AG1029" s="824">
        <f t="shared" si="670"/>
        <v>0</v>
      </c>
      <c r="AH1029" s="711">
        <v>1</v>
      </c>
      <c r="AI1029" s="735">
        <f t="shared" si="695"/>
        <v>444044.20000000007</v>
      </c>
    </row>
    <row r="1030" spans="1:35" x14ac:dyDescent="0.2">
      <c r="A1030" s="704"/>
      <c r="B1030" s="711">
        <v>1</v>
      </c>
      <c r="C1030" s="735">
        <v>2400.3000000000002</v>
      </c>
      <c r="D1030" s="735"/>
      <c r="E1030" s="735"/>
      <c r="F1030" s="735"/>
      <c r="G1030" s="735"/>
      <c r="H1030" s="735"/>
      <c r="I1030" s="735"/>
      <c r="J1030" s="735">
        <v>650</v>
      </c>
      <c r="K1030" s="735">
        <f t="shared" si="684"/>
        <v>3050.3</v>
      </c>
      <c r="L1030" s="735">
        <v>1000</v>
      </c>
      <c r="M1030" s="735"/>
      <c r="N1030" s="735">
        <f t="shared" si="683"/>
        <v>1000</v>
      </c>
      <c r="O1030" s="735">
        <f t="shared" si="676"/>
        <v>37603.600000000006</v>
      </c>
      <c r="P1030" s="735">
        <f t="shared" si="677"/>
        <v>37603.600000000006</v>
      </c>
      <c r="Q1030" s="711">
        <v>1</v>
      </c>
      <c r="R1030" s="735">
        <v>2400.3000000000002</v>
      </c>
      <c r="S1030" s="735"/>
      <c r="T1030" s="735"/>
      <c r="U1030" s="735"/>
      <c r="V1030" s="735"/>
      <c r="W1030" s="735"/>
      <c r="X1030" s="735"/>
      <c r="Y1030" s="735">
        <v>650</v>
      </c>
      <c r="Z1030" s="735">
        <f t="shared" si="691"/>
        <v>3050.3</v>
      </c>
      <c r="AA1030" s="735">
        <v>1000</v>
      </c>
      <c r="AB1030" s="735"/>
      <c r="AC1030" s="735">
        <f t="shared" si="692"/>
        <v>1000</v>
      </c>
      <c r="AD1030" s="735">
        <f t="shared" si="693"/>
        <v>37603.600000000006</v>
      </c>
      <c r="AE1030" s="735">
        <f t="shared" si="694"/>
        <v>37603.600000000006</v>
      </c>
      <c r="AF1030" s="735">
        <f t="shared" si="686"/>
        <v>0</v>
      </c>
      <c r="AG1030" s="824">
        <f t="shared" si="670"/>
        <v>0</v>
      </c>
      <c r="AH1030" s="711">
        <v>1</v>
      </c>
      <c r="AI1030" s="735">
        <f t="shared" si="695"/>
        <v>451244.20000000007</v>
      </c>
    </row>
    <row r="1031" spans="1:35" x14ac:dyDescent="0.2">
      <c r="A1031" s="704"/>
      <c r="B1031" s="711">
        <v>1</v>
      </c>
      <c r="C1031" s="735">
        <v>2400.3000000000002</v>
      </c>
      <c r="D1031" s="735"/>
      <c r="E1031" s="735"/>
      <c r="F1031" s="735"/>
      <c r="G1031" s="735"/>
      <c r="H1031" s="735"/>
      <c r="I1031" s="735"/>
      <c r="J1031" s="735">
        <v>650</v>
      </c>
      <c r="K1031" s="735">
        <f t="shared" si="684"/>
        <v>3050.3</v>
      </c>
      <c r="L1031" s="735">
        <v>1000</v>
      </c>
      <c r="M1031" s="735"/>
      <c r="N1031" s="735">
        <f t="shared" si="683"/>
        <v>1000</v>
      </c>
      <c r="O1031" s="735">
        <f t="shared" si="676"/>
        <v>37603.600000000006</v>
      </c>
      <c r="P1031" s="735">
        <f t="shared" si="677"/>
        <v>37603.600000000006</v>
      </c>
      <c r="Q1031" s="711">
        <v>1</v>
      </c>
      <c r="R1031" s="735">
        <v>2400.3000000000002</v>
      </c>
      <c r="S1031" s="735"/>
      <c r="T1031" s="735"/>
      <c r="U1031" s="735"/>
      <c r="V1031" s="735"/>
      <c r="W1031" s="735"/>
      <c r="X1031" s="735"/>
      <c r="Y1031" s="735">
        <v>650</v>
      </c>
      <c r="Z1031" s="735">
        <f t="shared" si="691"/>
        <v>3050.3</v>
      </c>
      <c r="AA1031" s="735">
        <v>1000</v>
      </c>
      <c r="AB1031" s="735"/>
      <c r="AC1031" s="735">
        <f t="shared" si="692"/>
        <v>1000</v>
      </c>
      <c r="AD1031" s="735">
        <f t="shared" si="693"/>
        <v>37603.600000000006</v>
      </c>
      <c r="AE1031" s="735">
        <f t="shared" si="694"/>
        <v>37603.600000000006</v>
      </c>
      <c r="AF1031" s="735">
        <f t="shared" si="686"/>
        <v>0</v>
      </c>
      <c r="AG1031" s="824">
        <f t="shared" si="670"/>
        <v>0</v>
      </c>
      <c r="AH1031" s="711">
        <v>1</v>
      </c>
      <c r="AI1031" s="735">
        <f t="shared" si="695"/>
        <v>451244.20000000007</v>
      </c>
    </row>
    <row r="1032" spans="1:35" x14ac:dyDescent="0.2">
      <c r="A1032" s="704"/>
      <c r="B1032" s="711">
        <v>1</v>
      </c>
      <c r="C1032" s="735">
        <v>2400.3000000000002</v>
      </c>
      <c r="D1032" s="735"/>
      <c r="E1032" s="735"/>
      <c r="F1032" s="735"/>
      <c r="G1032" s="735"/>
      <c r="H1032" s="735"/>
      <c r="I1032" s="735"/>
      <c r="J1032" s="735">
        <v>650</v>
      </c>
      <c r="K1032" s="735">
        <f t="shared" si="684"/>
        <v>3050.3</v>
      </c>
      <c r="L1032" s="735">
        <v>1000</v>
      </c>
      <c r="M1032" s="735"/>
      <c r="N1032" s="735">
        <f t="shared" si="683"/>
        <v>1000</v>
      </c>
      <c r="O1032" s="735">
        <f t="shared" si="676"/>
        <v>37603.600000000006</v>
      </c>
      <c r="P1032" s="735">
        <f t="shared" si="677"/>
        <v>37603.600000000006</v>
      </c>
      <c r="Q1032" s="711">
        <v>1</v>
      </c>
      <c r="R1032" s="735">
        <v>2400.3000000000002</v>
      </c>
      <c r="S1032" s="735"/>
      <c r="T1032" s="735"/>
      <c r="U1032" s="735"/>
      <c r="V1032" s="735"/>
      <c r="W1032" s="735"/>
      <c r="X1032" s="735"/>
      <c r="Y1032" s="735">
        <v>650</v>
      </c>
      <c r="Z1032" s="735">
        <f t="shared" si="691"/>
        <v>3050.3</v>
      </c>
      <c r="AA1032" s="735">
        <v>1000</v>
      </c>
      <c r="AB1032" s="735"/>
      <c r="AC1032" s="735">
        <f t="shared" si="692"/>
        <v>1000</v>
      </c>
      <c r="AD1032" s="735">
        <f t="shared" si="693"/>
        <v>37603.600000000006</v>
      </c>
      <c r="AE1032" s="735">
        <f t="shared" si="694"/>
        <v>37603.600000000006</v>
      </c>
      <c r="AF1032" s="735">
        <f t="shared" si="686"/>
        <v>0</v>
      </c>
      <c r="AG1032" s="824">
        <f t="shared" si="670"/>
        <v>0</v>
      </c>
      <c r="AH1032" s="711">
        <v>1</v>
      </c>
      <c r="AI1032" s="735">
        <f t="shared" si="695"/>
        <v>451244.20000000007</v>
      </c>
    </row>
    <row r="1033" spans="1:35" x14ac:dyDescent="0.2">
      <c r="A1033" s="704"/>
      <c r="B1033" s="711">
        <v>1</v>
      </c>
      <c r="C1033" s="735">
        <v>2400.3000000000002</v>
      </c>
      <c r="D1033" s="735"/>
      <c r="E1033" s="735"/>
      <c r="F1033" s="735"/>
      <c r="G1033" s="735"/>
      <c r="H1033" s="735"/>
      <c r="I1033" s="735"/>
      <c r="J1033" s="735">
        <v>170</v>
      </c>
      <c r="K1033" s="735">
        <f t="shared" si="684"/>
        <v>2570.3000000000002</v>
      </c>
      <c r="L1033" s="735">
        <v>1000</v>
      </c>
      <c r="M1033" s="735"/>
      <c r="N1033" s="735">
        <f t="shared" si="683"/>
        <v>1000</v>
      </c>
      <c r="O1033" s="735">
        <f t="shared" si="676"/>
        <v>31843.600000000002</v>
      </c>
      <c r="P1033" s="735">
        <f t="shared" si="677"/>
        <v>31843.600000000002</v>
      </c>
      <c r="Q1033" s="711">
        <v>1</v>
      </c>
      <c r="R1033" s="735">
        <v>2400.3000000000002</v>
      </c>
      <c r="S1033" s="735"/>
      <c r="T1033" s="735"/>
      <c r="U1033" s="735"/>
      <c r="V1033" s="735"/>
      <c r="W1033" s="735"/>
      <c r="X1033" s="735"/>
      <c r="Y1033" s="735">
        <v>170</v>
      </c>
      <c r="Z1033" s="735">
        <f t="shared" si="691"/>
        <v>2570.3000000000002</v>
      </c>
      <c r="AA1033" s="735">
        <v>1000</v>
      </c>
      <c r="AB1033" s="735"/>
      <c r="AC1033" s="735">
        <f t="shared" si="692"/>
        <v>1000</v>
      </c>
      <c r="AD1033" s="735">
        <f t="shared" si="693"/>
        <v>31843.600000000002</v>
      </c>
      <c r="AE1033" s="735">
        <f t="shared" si="694"/>
        <v>31843.600000000002</v>
      </c>
      <c r="AF1033" s="735">
        <f t="shared" si="686"/>
        <v>0</v>
      </c>
      <c r="AG1033" s="824">
        <f t="shared" si="670"/>
        <v>0</v>
      </c>
      <c r="AH1033" s="711">
        <v>1</v>
      </c>
      <c r="AI1033" s="735">
        <f t="shared" si="695"/>
        <v>382124.2</v>
      </c>
    </row>
    <row r="1034" spans="1:35" x14ac:dyDescent="0.2">
      <c r="A1034" s="704"/>
      <c r="B1034" s="711">
        <v>1</v>
      </c>
      <c r="C1034" s="735">
        <v>2400.3000000000002</v>
      </c>
      <c r="D1034" s="735"/>
      <c r="E1034" s="735"/>
      <c r="F1034" s="735"/>
      <c r="G1034" s="735"/>
      <c r="H1034" s="735"/>
      <c r="I1034" s="735"/>
      <c r="J1034" s="735">
        <v>790</v>
      </c>
      <c r="K1034" s="735">
        <f t="shared" si="684"/>
        <v>3190.3</v>
      </c>
      <c r="L1034" s="735">
        <v>1000</v>
      </c>
      <c r="M1034" s="735"/>
      <c r="N1034" s="735">
        <f t="shared" si="683"/>
        <v>1000</v>
      </c>
      <c r="O1034" s="735">
        <f t="shared" si="676"/>
        <v>39283.600000000006</v>
      </c>
      <c r="P1034" s="735">
        <f t="shared" si="677"/>
        <v>39283.600000000006</v>
      </c>
      <c r="Q1034" s="711">
        <v>1</v>
      </c>
      <c r="R1034" s="735">
        <v>2400.3000000000002</v>
      </c>
      <c r="S1034" s="735"/>
      <c r="T1034" s="735"/>
      <c r="U1034" s="735"/>
      <c r="V1034" s="735"/>
      <c r="W1034" s="735"/>
      <c r="X1034" s="735"/>
      <c r="Y1034" s="735">
        <v>790</v>
      </c>
      <c r="Z1034" s="735">
        <f t="shared" si="691"/>
        <v>3190.3</v>
      </c>
      <c r="AA1034" s="735">
        <v>1000</v>
      </c>
      <c r="AB1034" s="735"/>
      <c r="AC1034" s="735">
        <f t="shared" si="692"/>
        <v>1000</v>
      </c>
      <c r="AD1034" s="735">
        <f t="shared" si="693"/>
        <v>39283.600000000006</v>
      </c>
      <c r="AE1034" s="735">
        <f t="shared" si="694"/>
        <v>39283.600000000006</v>
      </c>
      <c r="AF1034" s="735">
        <f t="shared" si="686"/>
        <v>0</v>
      </c>
      <c r="AG1034" s="824">
        <f t="shared" ref="AG1034:AG1099" si="696">P1034-AE1034</f>
        <v>0</v>
      </c>
      <c r="AH1034" s="711">
        <v>1</v>
      </c>
      <c r="AI1034" s="735">
        <f t="shared" si="695"/>
        <v>471404.20000000007</v>
      </c>
    </row>
    <row r="1035" spans="1:35" x14ac:dyDescent="0.2">
      <c r="A1035" s="704"/>
      <c r="B1035" s="711">
        <v>1</v>
      </c>
      <c r="C1035" s="735">
        <v>2400.3000000000002</v>
      </c>
      <c r="D1035" s="735"/>
      <c r="E1035" s="735"/>
      <c r="F1035" s="735"/>
      <c r="G1035" s="735"/>
      <c r="H1035" s="735"/>
      <c r="I1035" s="735"/>
      <c r="J1035" s="735">
        <v>640</v>
      </c>
      <c r="K1035" s="735">
        <f t="shared" si="684"/>
        <v>3040.3</v>
      </c>
      <c r="L1035" s="735">
        <v>1000</v>
      </c>
      <c r="M1035" s="735"/>
      <c r="N1035" s="735">
        <f t="shared" si="683"/>
        <v>1000</v>
      </c>
      <c r="O1035" s="735">
        <f t="shared" si="676"/>
        <v>37483.600000000006</v>
      </c>
      <c r="P1035" s="735">
        <f t="shared" si="677"/>
        <v>37483.600000000006</v>
      </c>
      <c r="Q1035" s="711">
        <v>1</v>
      </c>
      <c r="R1035" s="735">
        <v>2400.3000000000002</v>
      </c>
      <c r="S1035" s="735"/>
      <c r="T1035" s="735"/>
      <c r="U1035" s="735"/>
      <c r="V1035" s="735"/>
      <c r="W1035" s="735"/>
      <c r="X1035" s="735"/>
      <c r="Y1035" s="735">
        <v>640</v>
      </c>
      <c r="Z1035" s="735">
        <f t="shared" si="691"/>
        <v>3040.3</v>
      </c>
      <c r="AA1035" s="735">
        <v>1000</v>
      </c>
      <c r="AB1035" s="735"/>
      <c r="AC1035" s="735">
        <f t="shared" si="692"/>
        <v>1000</v>
      </c>
      <c r="AD1035" s="735">
        <f t="shared" si="693"/>
        <v>37483.600000000006</v>
      </c>
      <c r="AE1035" s="735">
        <f t="shared" si="694"/>
        <v>37483.600000000006</v>
      </c>
      <c r="AF1035" s="735">
        <f t="shared" si="686"/>
        <v>0</v>
      </c>
      <c r="AG1035" s="824">
        <f t="shared" si="696"/>
        <v>0</v>
      </c>
      <c r="AH1035" s="711">
        <v>1</v>
      </c>
      <c r="AI1035" s="735">
        <f t="shared" si="695"/>
        <v>449804.20000000007</v>
      </c>
    </row>
    <row r="1036" spans="1:35" x14ac:dyDescent="0.2">
      <c r="A1036" s="704"/>
      <c r="B1036" s="711">
        <v>1</v>
      </c>
      <c r="C1036" s="735">
        <v>2400.3000000000002</v>
      </c>
      <c r="D1036" s="735"/>
      <c r="E1036" s="735"/>
      <c r="F1036" s="735"/>
      <c r="G1036" s="735"/>
      <c r="H1036" s="735"/>
      <c r="I1036" s="735"/>
      <c r="J1036" s="735">
        <v>0</v>
      </c>
      <c r="K1036" s="735">
        <f t="shared" si="684"/>
        <v>2400.3000000000002</v>
      </c>
      <c r="L1036" s="735">
        <v>1000</v>
      </c>
      <c r="M1036" s="735"/>
      <c r="N1036" s="735">
        <f t="shared" si="683"/>
        <v>1000</v>
      </c>
      <c r="O1036" s="735">
        <f t="shared" si="676"/>
        <v>29803.600000000002</v>
      </c>
      <c r="P1036" s="735">
        <f t="shared" si="677"/>
        <v>29803.600000000002</v>
      </c>
      <c r="Q1036" s="711">
        <v>1</v>
      </c>
      <c r="R1036" s="735">
        <v>2400.3000000000002</v>
      </c>
      <c r="S1036" s="735"/>
      <c r="T1036" s="735"/>
      <c r="U1036" s="735"/>
      <c r="V1036" s="735"/>
      <c r="W1036" s="735"/>
      <c r="X1036" s="735"/>
      <c r="Y1036" s="735">
        <v>0</v>
      </c>
      <c r="Z1036" s="735">
        <f t="shared" si="691"/>
        <v>2400.3000000000002</v>
      </c>
      <c r="AA1036" s="735">
        <v>1000</v>
      </c>
      <c r="AB1036" s="735"/>
      <c r="AC1036" s="735">
        <f t="shared" si="692"/>
        <v>1000</v>
      </c>
      <c r="AD1036" s="735">
        <f t="shared" si="693"/>
        <v>29803.600000000002</v>
      </c>
      <c r="AE1036" s="735">
        <f t="shared" si="694"/>
        <v>29803.600000000002</v>
      </c>
      <c r="AF1036" s="735">
        <f t="shared" si="686"/>
        <v>0</v>
      </c>
      <c r="AG1036" s="824">
        <f t="shared" si="696"/>
        <v>0</v>
      </c>
      <c r="AH1036" s="711">
        <v>1</v>
      </c>
      <c r="AI1036" s="735">
        <f t="shared" si="695"/>
        <v>357644.2</v>
      </c>
    </row>
    <row r="1037" spans="1:35" x14ac:dyDescent="0.2">
      <c r="A1037" s="704"/>
      <c r="B1037" s="711">
        <v>1</v>
      </c>
      <c r="C1037" s="735">
        <v>2400.3000000000002</v>
      </c>
      <c r="D1037" s="735"/>
      <c r="E1037" s="735"/>
      <c r="F1037" s="735"/>
      <c r="G1037" s="735"/>
      <c r="H1037" s="735"/>
      <c r="I1037" s="735"/>
      <c r="J1037" s="735">
        <v>0</v>
      </c>
      <c r="K1037" s="735">
        <f t="shared" si="684"/>
        <v>2400.3000000000002</v>
      </c>
      <c r="L1037" s="735">
        <v>1000</v>
      </c>
      <c r="M1037" s="735"/>
      <c r="N1037" s="735">
        <f t="shared" si="683"/>
        <v>1000</v>
      </c>
      <c r="O1037" s="735">
        <f t="shared" si="676"/>
        <v>29803.600000000002</v>
      </c>
      <c r="P1037" s="735">
        <f t="shared" si="677"/>
        <v>29803.600000000002</v>
      </c>
      <c r="Q1037" s="711">
        <v>1</v>
      </c>
      <c r="R1037" s="735">
        <v>2400.3000000000002</v>
      </c>
      <c r="S1037" s="735"/>
      <c r="T1037" s="735"/>
      <c r="U1037" s="735"/>
      <c r="V1037" s="735"/>
      <c r="W1037" s="735"/>
      <c r="X1037" s="735"/>
      <c r="Y1037" s="735">
        <v>0</v>
      </c>
      <c r="Z1037" s="735">
        <f t="shared" si="691"/>
        <v>2400.3000000000002</v>
      </c>
      <c r="AA1037" s="735">
        <v>1000</v>
      </c>
      <c r="AB1037" s="735"/>
      <c r="AC1037" s="735">
        <f t="shared" si="692"/>
        <v>1000</v>
      </c>
      <c r="AD1037" s="735">
        <f t="shared" si="693"/>
        <v>29803.600000000002</v>
      </c>
      <c r="AE1037" s="735">
        <f t="shared" si="694"/>
        <v>29803.600000000002</v>
      </c>
      <c r="AF1037" s="735">
        <f t="shared" si="686"/>
        <v>0</v>
      </c>
      <c r="AG1037" s="824">
        <f t="shared" si="696"/>
        <v>0</v>
      </c>
      <c r="AH1037" s="711">
        <v>1</v>
      </c>
      <c r="AI1037" s="735">
        <f t="shared" si="695"/>
        <v>357644.2</v>
      </c>
    </row>
    <row r="1038" spans="1:35" x14ac:dyDescent="0.2">
      <c r="A1038" s="704"/>
      <c r="B1038" s="711">
        <v>1</v>
      </c>
      <c r="C1038" s="735">
        <v>2400.3000000000002</v>
      </c>
      <c r="D1038" s="735"/>
      <c r="E1038" s="735"/>
      <c r="F1038" s="735"/>
      <c r="G1038" s="735"/>
      <c r="H1038" s="735"/>
      <c r="I1038" s="735"/>
      <c r="J1038" s="735">
        <v>650</v>
      </c>
      <c r="K1038" s="735">
        <f t="shared" si="684"/>
        <v>3050.3</v>
      </c>
      <c r="L1038" s="735">
        <v>1000</v>
      </c>
      <c r="M1038" s="735"/>
      <c r="N1038" s="735">
        <f t="shared" si="683"/>
        <v>1000</v>
      </c>
      <c r="O1038" s="735">
        <f t="shared" si="676"/>
        <v>37603.600000000006</v>
      </c>
      <c r="P1038" s="735">
        <f t="shared" si="677"/>
        <v>37603.600000000006</v>
      </c>
      <c r="Q1038" s="711">
        <v>1</v>
      </c>
      <c r="R1038" s="735">
        <v>2400.3000000000002</v>
      </c>
      <c r="S1038" s="735"/>
      <c r="T1038" s="735"/>
      <c r="U1038" s="735"/>
      <c r="V1038" s="735"/>
      <c r="W1038" s="735"/>
      <c r="X1038" s="735"/>
      <c r="Y1038" s="735">
        <v>650</v>
      </c>
      <c r="Z1038" s="735">
        <f t="shared" si="691"/>
        <v>3050.3</v>
      </c>
      <c r="AA1038" s="735">
        <v>1000</v>
      </c>
      <c r="AB1038" s="735"/>
      <c r="AC1038" s="735">
        <f t="shared" si="692"/>
        <v>1000</v>
      </c>
      <c r="AD1038" s="735">
        <f t="shared" si="693"/>
        <v>37603.600000000006</v>
      </c>
      <c r="AE1038" s="735">
        <f t="shared" si="694"/>
        <v>37603.600000000006</v>
      </c>
      <c r="AF1038" s="735">
        <f t="shared" si="686"/>
        <v>0</v>
      </c>
      <c r="AG1038" s="824">
        <f t="shared" si="696"/>
        <v>0</v>
      </c>
      <c r="AH1038" s="711">
        <v>1</v>
      </c>
      <c r="AI1038" s="735">
        <f t="shared" si="695"/>
        <v>451244.20000000007</v>
      </c>
    </row>
    <row r="1039" spans="1:35" x14ac:dyDescent="0.2">
      <c r="A1039" s="704"/>
      <c r="B1039" s="711">
        <v>1</v>
      </c>
      <c r="C1039" s="735">
        <v>2400.3000000000002</v>
      </c>
      <c r="D1039" s="735"/>
      <c r="E1039" s="735"/>
      <c r="F1039" s="735"/>
      <c r="G1039" s="735"/>
      <c r="H1039" s="735"/>
      <c r="I1039" s="735"/>
      <c r="J1039" s="735">
        <v>650</v>
      </c>
      <c r="K1039" s="735">
        <f t="shared" si="684"/>
        <v>3050.3</v>
      </c>
      <c r="L1039" s="735">
        <v>1000</v>
      </c>
      <c r="M1039" s="735"/>
      <c r="N1039" s="735">
        <f t="shared" si="683"/>
        <v>1000</v>
      </c>
      <c r="O1039" s="735">
        <f t="shared" si="676"/>
        <v>37603.600000000006</v>
      </c>
      <c r="P1039" s="735">
        <f t="shared" si="677"/>
        <v>37603.600000000006</v>
      </c>
      <c r="Q1039" s="711">
        <v>1</v>
      </c>
      <c r="R1039" s="735">
        <v>2400.3000000000002</v>
      </c>
      <c r="S1039" s="735"/>
      <c r="T1039" s="735"/>
      <c r="U1039" s="735"/>
      <c r="V1039" s="735"/>
      <c r="W1039" s="735"/>
      <c r="X1039" s="735"/>
      <c r="Y1039" s="735">
        <v>650</v>
      </c>
      <c r="Z1039" s="735">
        <f t="shared" si="691"/>
        <v>3050.3</v>
      </c>
      <c r="AA1039" s="735">
        <v>1000</v>
      </c>
      <c r="AB1039" s="735"/>
      <c r="AC1039" s="735">
        <f t="shared" si="692"/>
        <v>1000</v>
      </c>
      <c r="AD1039" s="735">
        <f t="shared" si="693"/>
        <v>37603.600000000006</v>
      </c>
      <c r="AE1039" s="735">
        <f t="shared" si="694"/>
        <v>37603.600000000006</v>
      </c>
      <c r="AF1039" s="735">
        <f t="shared" si="686"/>
        <v>0</v>
      </c>
      <c r="AG1039" s="824">
        <f t="shared" si="696"/>
        <v>0</v>
      </c>
      <c r="AH1039" s="711">
        <v>1</v>
      </c>
      <c r="AI1039" s="735">
        <f t="shared" si="695"/>
        <v>451244.20000000007</v>
      </c>
    </row>
    <row r="1040" spans="1:35" x14ac:dyDescent="0.2">
      <c r="A1040" s="704"/>
      <c r="B1040" s="711">
        <v>1</v>
      </c>
      <c r="C1040" s="735">
        <v>2400.3000000000002</v>
      </c>
      <c r="D1040" s="735"/>
      <c r="E1040" s="735"/>
      <c r="F1040" s="735"/>
      <c r="G1040" s="735"/>
      <c r="H1040" s="735"/>
      <c r="I1040" s="735"/>
      <c r="J1040" s="735">
        <v>790</v>
      </c>
      <c r="K1040" s="735">
        <f t="shared" si="684"/>
        <v>3190.3</v>
      </c>
      <c r="L1040" s="735">
        <v>1000</v>
      </c>
      <c r="M1040" s="735"/>
      <c r="N1040" s="735">
        <f t="shared" si="683"/>
        <v>1000</v>
      </c>
      <c r="O1040" s="735">
        <f t="shared" si="676"/>
        <v>39283.600000000006</v>
      </c>
      <c r="P1040" s="735">
        <f t="shared" si="677"/>
        <v>39283.600000000006</v>
      </c>
      <c r="Q1040" s="711">
        <v>1</v>
      </c>
      <c r="R1040" s="735">
        <v>2400.3000000000002</v>
      </c>
      <c r="S1040" s="735"/>
      <c r="T1040" s="735"/>
      <c r="U1040" s="735"/>
      <c r="V1040" s="735"/>
      <c r="W1040" s="735"/>
      <c r="X1040" s="735"/>
      <c r="Y1040" s="735">
        <v>790</v>
      </c>
      <c r="Z1040" s="735">
        <f t="shared" si="691"/>
        <v>3190.3</v>
      </c>
      <c r="AA1040" s="735">
        <v>1000</v>
      </c>
      <c r="AB1040" s="735"/>
      <c r="AC1040" s="735">
        <f t="shared" si="692"/>
        <v>1000</v>
      </c>
      <c r="AD1040" s="735">
        <f t="shared" si="693"/>
        <v>39283.600000000006</v>
      </c>
      <c r="AE1040" s="735">
        <f t="shared" si="694"/>
        <v>39283.600000000006</v>
      </c>
      <c r="AF1040" s="735">
        <f t="shared" si="686"/>
        <v>0</v>
      </c>
      <c r="AG1040" s="824">
        <f t="shared" si="696"/>
        <v>0</v>
      </c>
      <c r="AH1040" s="711">
        <v>1</v>
      </c>
      <c r="AI1040" s="735">
        <f t="shared" si="695"/>
        <v>471404.20000000007</v>
      </c>
    </row>
    <row r="1041" spans="1:35" x14ac:dyDescent="0.2">
      <c r="A1041" s="704"/>
      <c r="B1041" s="711">
        <v>1</v>
      </c>
      <c r="C1041" s="735">
        <v>2400.3000000000002</v>
      </c>
      <c r="D1041" s="735"/>
      <c r="E1041" s="735"/>
      <c r="F1041" s="735"/>
      <c r="G1041" s="735"/>
      <c r="H1041" s="735"/>
      <c r="I1041" s="735"/>
      <c r="J1041" s="735">
        <v>790</v>
      </c>
      <c r="K1041" s="735">
        <f t="shared" si="684"/>
        <v>3190.3</v>
      </c>
      <c r="L1041" s="735">
        <v>1000</v>
      </c>
      <c r="M1041" s="735"/>
      <c r="N1041" s="735">
        <f t="shared" si="683"/>
        <v>1000</v>
      </c>
      <c r="O1041" s="735">
        <f t="shared" si="676"/>
        <v>39283.600000000006</v>
      </c>
      <c r="P1041" s="735">
        <f t="shared" si="677"/>
        <v>39283.600000000006</v>
      </c>
      <c r="Q1041" s="711">
        <v>1</v>
      </c>
      <c r="R1041" s="735">
        <v>2400.3000000000002</v>
      </c>
      <c r="S1041" s="735"/>
      <c r="T1041" s="735"/>
      <c r="U1041" s="735"/>
      <c r="V1041" s="735"/>
      <c r="W1041" s="735"/>
      <c r="X1041" s="735"/>
      <c r="Y1041" s="735">
        <v>790</v>
      </c>
      <c r="Z1041" s="735">
        <f t="shared" si="691"/>
        <v>3190.3</v>
      </c>
      <c r="AA1041" s="735">
        <v>1000</v>
      </c>
      <c r="AB1041" s="735"/>
      <c r="AC1041" s="735">
        <f t="shared" si="692"/>
        <v>1000</v>
      </c>
      <c r="AD1041" s="735">
        <f t="shared" si="693"/>
        <v>39283.600000000006</v>
      </c>
      <c r="AE1041" s="735">
        <f t="shared" si="694"/>
        <v>39283.600000000006</v>
      </c>
      <c r="AF1041" s="735">
        <f t="shared" si="686"/>
        <v>0</v>
      </c>
      <c r="AG1041" s="824">
        <f t="shared" si="696"/>
        <v>0</v>
      </c>
      <c r="AH1041" s="711">
        <v>1</v>
      </c>
      <c r="AI1041" s="735">
        <f t="shared" si="695"/>
        <v>471404.20000000007</v>
      </c>
    </row>
    <row r="1042" spans="1:35" x14ac:dyDescent="0.2">
      <c r="A1042" s="704"/>
      <c r="B1042" s="711">
        <v>1</v>
      </c>
      <c r="C1042" s="735">
        <v>2400.3000000000002</v>
      </c>
      <c r="D1042" s="735"/>
      <c r="E1042" s="735"/>
      <c r="F1042" s="735"/>
      <c r="G1042" s="735"/>
      <c r="H1042" s="735"/>
      <c r="I1042" s="735"/>
      <c r="J1042" s="735">
        <v>740</v>
      </c>
      <c r="K1042" s="735">
        <f t="shared" si="684"/>
        <v>3140.3</v>
      </c>
      <c r="L1042" s="735">
        <v>1000</v>
      </c>
      <c r="M1042" s="735"/>
      <c r="N1042" s="735">
        <f t="shared" si="683"/>
        <v>1000</v>
      </c>
      <c r="O1042" s="735">
        <f t="shared" si="676"/>
        <v>38683.600000000006</v>
      </c>
      <c r="P1042" s="735">
        <f t="shared" si="677"/>
        <v>38683.600000000006</v>
      </c>
      <c r="Q1042" s="711">
        <v>1</v>
      </c>
      <c r="R1042" s="735">
        <v>2400.3000000000002</v>
      </c>
      <c r="S1042" s="735"/>
      <c r="T1042" s="735"/>
      <c r="U1042" s="735"/>
      <c r="V1042" s="735"/>
      <c r="W1042" s="735"/>
      <c r="X1042" s="735"/>
      <c r="Y1042" s="735">
        <v>740</v>
      </c>
      <c r="Z1042" s="735">
        <f t="shared" si="691"/>
        <v>3140.3</v>
      </c>
      <c r="AA1042" s="735">
        <v>1000</v>
      </c>
      <c r="AB1042" s="735"/>
      <c r="AC1042" s="735">
        <f t="shared" si="692"/>
        <v>1000</v>
      </c>
      <c r="AD1042" s="735">
        <f t="shared" si="693"/>
        <v>38683.600000000006</v>
      </c>
      <c r="AE1042" s="735">
        <f t="shared" si="694"/>
        <v>38683.600000000006</v>
      </c>
      <c r="AF1042" s="735">
        <f t="shared" si="686"/>
        <v>0</v>
      </c>
      <c r="AG1042" s="824">
        <f t="shared" si="696"/>
        <v>0</v>
      </c>
      <c r="AH1042" s="711">
        <v>1</v>
      </c>
      <c r="AI1042" s="735">
        <f t="shared" si="695"/>
        <v>464204.20000000007</v>
      </c>
    </row>
    <row r="1043" spans="1:35" x14ac:dyDescent="0.2">
      <c r="A1043" s="704"/>
      <c r="B1043" s="711">
        <v>1</v>
      </c>
      <c r="C1043" s="735">
        <v>2400.3000000000002</v>
      </c>
      <c r="D1043" s="735"/>
      <c r="E1043" s="735"/>
      <c r="F1043" s="735"/>
      <c r="G1043" s="735"/>
      <c r="H1043" s="735"/>
      <c r="I1043" s="735"/>
      <c r="J1043" s="735">
        <v>790</v>
      </c>
      <c r="K1043" s="735">
        <f t="shared" si="684"/>
        <v>3190.3</v>
      </c>
      <c r="L1043" s="735">
        <v>1000</v>
      </c>
      <c r="M1043" s="735"/>
      <c r="N1043" s="735">
        <f t="shared" si="683"/>
        <v>1000</v>
      </c>
      <c r="O1043" s="735">
        <f t="shared" ref="O1043:O1106" si="697">(K1043*12)+N1043</f>
        <v>39283.600000000006</v>
      </c>
      <c r="P1043" s="735">
        <f t="shared" ref="P1043:P1106" si="698">B1043*O1043</f>
        <v>39283.600000000006</v>
      </c>
      <c r="Q1043" s="711">
        <v>1</v>
      </c>
      <c r="R1043" s="735">
        <v>2400.3000000000002</v>
      </c>
      <c r="S1043" s="735"/>
      <c r="T1043" s="735"/>
      <c r="U1043" s="735"/>
      <c r="V1043" s="735"/>
      <c r="W1043" s="735"/>
      <c r="X1043" s="735"/>
      <c r="Y1043" s="735">
        <v>790</v>
      </c>
      <c r="Z1043" s="735">
        <f t="shared" si="691"/>
        <v>3190.3</v>
      </c>
      <c r="AA1043" s="735">
        <v>1000</v>
      </c>
      <c r="AB1043" s="735"/>
      <c r="AC1043" s="735">
        <f t="shared" si="692"/>
        <v>1000</v>
      </c>
      <c r="AD1043" s="735">
        <f t="shared" si="693"/>
        <v>39283.600000000006</v>
      </c>
      <c r="AE1043" s="735">
        <f t="shared" si="694"/>
        <v>39283.600000000006</v>
      </c>
      <c r="AF1043" s="735">
        <f t="shared" si="686"/>
        <v>0</v>
      </c>
      <c r="AG1043" s="824">
        <f t="shared" si="696"/>
        <v>0</v>
      </c>
      <c r="AH1043" s="711">
        <v>1</v>
      </c>
      <c r="AI1043" s="735">
        <f t="shared" si="695"/>
        <v>471404.20000000007</v>
      </c>
    </row>
    <row r="1044" spans="1:35" x14ac:dyDescent="0.2">
      <c r="A1044" s="704"/>
      <c r="B1044" s="711">
        <v>1</v>
      </c>
      <c r="C1044" s="735">
        <v>2400.3000000000002</v>
      </c>
      <c r="D1044" s="735"/>
      <c r="E1044" s="735"/>
      <c r="F1044" s="735"/>
      <c r="G1044" s="735"/>
      <c r="H1044" s="735"/>
      <c r="I1044" s="735"/>
      <c r="J1044" s="735">
        <v>0</v>
      </c>
      <c r="K1044" s="735">
        <f t="shared" si="684"/>
        <v>2400.3000000000002</v>
      </c>
      <c r="L1044" s="735">
        <v>1000</v>
      </c>
      <c r="M1044" s="735"/>
      <c r="N1044" s="735">
        <f t="shared" si="683"/>
        <v>1000</v>
      </c>
      <c r="O1044" s="735">
        <f t="shared" si="697"/>
        <v>29803.600000000002</v>
      </c>
      <c r="P1044" s="735">
        <f t="shared" si="698"/>
        <v>29803.600000000002</v>
      </c>
      <c r="Q1044" s="711">
        <v>1</v>
      </c>
      <c r="R1044" s="735">
        <v>2400.3000000000002</v>
      </c>
      <c r="S1044" s="735"/>
      <c r="T1044" s="735"/>
      <c r="U1044" s="735"/>
      <c r="V1044" s="735"/>
      <c r="W1044" s="735"/>
      <c r="X1044" s="735"/>
      <c r="Y1044" s="735">
        <v>0</v>
      </c>
      <c r="Z1044" s="735">
        <f t="shared" si="691"/>
        <v>2400.3000000000002</v>
      </c>
      <c r="AA1044" s="735">
        <v>1000</v>
      </c>
      <c r="AB1044" s="735"/>
      <c r="AC1044" s="735">
        <f t="shared" si="692"/>
        <v>1000</v>
      </c>
      <c r="AD1044" s="735">
        <f t="shared" si="693"/>
        <v>29803.600000000002</v>
      </c>
      <c r="AE1044" s="735">
        <f t="shared" si="694"/>
        <v>29803.600000000002</v>
      </c>
      <c r="AF1044" s="735">
        <f t="shared" si="686"/>
        <v>0</v>
      </c>
      <c r="AG1044" s="824">
        <f t="shared" si="696"/>
        <v>0</v>
      </c>
      <c r="AH1044" s="711">
        <v>1</v>
      </c>
      <c r="AI1044" s="735">
        <f t="shared" si="695"/>
        <v>357644.2</v>
      </c>
    </row>
    <row r="1045" spans="1:35" x14ac:dyDescent="0.2">
      <c r="A1045" s="704"/>
      <c r="B1045" s="711">
        <v>1</v>
      </c>
      <c r="C1045" s="735">
        <v>2400.3000000000002</v>
      </c>
      <c r="D1045" s="735"/>
      <c r="E1045" s="735"/>
      <c r="F1045" s="735"/>
      <c r="G1045" s="735"/>
      <c r="H1045" s="735"/>
      <c r="I1045" s="735"/>
      <c r="J1045" s="735">
        <v>0</v>
      </c>
      <c r="K1045" s="735">
        <f t="shared" si="684"/>
        <v>2400.3000000000002</v>
      </c>
      <c r="L1045" s="735">
        <v>1000</v>
      </c>
      <c r="M1045" s="735"/>
      <c r="N1045" s="735">
        <f t="shared" si="683"/>
        <v>1000</v>
      </c>
      <c r="O1045" s="735">
        <f t="shared" si="697"/>
        <v>29803.600000000002</v>
      </c>
      <c r="P1045" s="735">
        <f t="shared" si="698"/>
        <v>29803.600000000002</v>
      </c>
      <c r="Q1045" s="711">
        <v>1</v>
      </c>
      <c r="R1045" s="735">
        <v>2400.3000000000002</v>
      </c>
      <c r="S1045" s="735"/>
      <c r="T1045" s="735"/>
      <c r="U1045" s="735"/>
      <c r="V1045" s="735"/>
      <c r="W1045" s="735"/>
      <c r="X1045" s="735"/>
      <c r="Y1045" s="735">
        <v>0</v>
      </c>
      <c r="Z1045" s="735">
        <f t="shared" si="691"/>
        <v>2400.3000000000002</v>
      </c>
      <c r="AA1045" s="735">
        <v>1000</v>
      </c>
      <c r="AB1045" s="735"/>
      <c r="AC1045" s="735">
        <f t="shared" si="692"/>
        <v>1000</v>
      </c>
      <c r="AD1045" s="735">
        <f t="shared" si="693"/>
        <v>29803.600000000002</v>
      </c>
      <c r="AE1045" s="735">
        <f t="shared" si="694"/>
        <v>29803.600000000002</v>
      </c>
      <c r="AF1045" s="735">
        <f t="shared" si="686"/>
        <v>0</v>
      </c>
      <c r="AG1045" s="824">
        <f t="shared" si="696"/>
        <v>0</v>
      </c>
      <c r="AH1045" s="711">
        <v>1</v>
      </c>
      <c r="AI1045" s="735">
        <f t="shared" si="695"/>
        <v>357644.2</v>
      </c>
    </row>
    <row r="1046" spans="1:35" x14ac:dyDescent="0.2">
      <c r="A1046" s="704"/>
      <c r="B1046" s="711">
        <v>1</v>
      </c>
      <c r="C1046" s="735">
        <v>2400.3000000000002</v>
      </c>
      <c r="D1046" s="735"/>
      <c r="E1046" s="735"/>
      <c r="F1046" s="735"/>
      <c r="G1046" s="735"/>
      <c r="H1046" s="735"/>
      <c r="I1046" s="735"/>
      <c r="J1046" s="735">
        <v>0</v>
      </c>
      <c r="K1046" s="735">
        <f t="shared" si="684"/>
        <v>2400.3000000000002</v>
      </c>
      <c r="L1046" s="735">
        <v>1000</v>
      </c>
      <c r="M1046" s="735"/>
      <c r="N1046" s="735">
        <f t="shared" si="683"/>
        <v>1000</v>
      </c>
      <c r="O1046" s="735">
        <f t="shared" si="697"/>
        <v>29803.600000000002</v>
      </c>
      <c r="P1046" s="735">
        <f t="shared" si="698"/>
        <v>29803.600000000002</v>
      </c>
      <c r="Q1046" s="711">
        <v>1</v>
      </c>
      <c r="R1046" s="735">
        <v>2400.3000000000002</v>
      </c>
      <c r="S1046" s="735"/>
      <c r="T1046" s="735"/>
      <c r="U1046" s="735"/>
      <c r="V1046" s="735"/>
      <c r="W1046" s="735"/>
      <c r="X1046" s="735"/>
      <c r="Y1046" s="735">
        <v>0</v>
      </c>
      <c r="Z1046" s="735">
        <f t="shared" si="691"/>
        <v>2400.3000000000002</v>
      </c>
      <c r="AA1046" s="735">
        <v>1000</v>
      </c>
      <c r="AB1046" s="735"/>
      <c r="AC1046" s="735">
        <f t="shared" si="692"/>
        <v>1000</v>
      </c>
      <c r="AD1046" s="735">
        <f t="shared" si="693"/>
        <v>29803.600000000002</v>
      </c>
      <c r="AE1046" s="735">
        <f t="shared" si="694"/>
        <v>29803.600000000002</v>
      </c>
      <c r="AF1046" s="735">
        <f t="shared" si="686"/>
        <v>0</v>
      </c>
      <c r="AG1046" s="824">
        <f t="shared" si="696"/>
        <v>0</v>
      </c>
      <c r="AH1046" s="711">
        <v>1</v>
      </c>
      <c r="AI1046" s="735">
        <f t="shared" si="695"/>
        <v>357644.2</v>
      </c>
    </row>
    <row r="1047" spans="1:35" x14ac:dyDescent="0.2">
      <c r="A1047" s="704"/>
      <c r="B1047" s="711">
        <v>1</v>
      </c>
      <c r="C1047" s="735">
        <v>2400.3000000000002</v>
      </c>
      <c r="D1047" s="735"/>
      <c r="E1047" s="735"/>
      <c r="F1047" s="735"/>
      <c r="G1047" s="735"/>
      <c r="H1047" s="735"/>
      <c r="I1047" s="735"/>
      <c r="J1047" s="735">
        <v>0</v>
      </c>
      <c r="K1047" s="735">
        <f t="shared" si="684"/>
        <v>2400.3000000000002</v>
      </c>
      <c r="L1047" s="735">
        <v>1000</v>
      </c>
      <c r="M1047" s="735"/>
      <c r="N1047" s="735">
        <f t="shared" si="683"/>
        <v>1000</v>
      </c>
      <c r="O1047" s="735">
        <f t="shared" si="697"/>
        <v>29803.600000000002</v>
      </c>
      <c r="P1047" s="735">
        <f t="shared" si="698"/>
        <v>29803.600000000002</v>
      </c>
      <c r="Q1047" s="711">
        <v>1</v>
      </c>
      <c r="R1047" s="735">
        <v>2400.3000000000002</v>
      </c>
      <c r="S1047" s="735"/>
      <c r="T1047" s="735"/>
      <c r="U1047" s="735"/>
      <c r="V1047" s="735"/>
      <c r="W1047" s="735"/>
      <c r="X1047" s="735"/>
      <c r="Y1047" s="735">
        <v>0</v>
      </c>
      <c r="Z1047" s="735">
        <f t="shared" si="691"/>
        <v>2400.3000000000002</v>
      </c>
      <c r="AA1047" s="735">
        <v>1000</v>
      </c>
      <c r="AB1047" s="735"/>
      <c r="AC1047" s="735">
        <f t="shared" si="692"/>
        <v>1000</v>
      </c>
      <c r="AD1047" s="735">
        <f t="shared" si="693"/>
        <v>29803.600000000002</v>
      </c>
      <c r="AE1047" s="735">
        <f t="shared" si="694"/>
        <v>29803.600000000002</v>
      </c>
      <c r="AF1047" s="735">
        <f t="shared" si="686"/>
        <v>0</v>
      </c>
      <c r="AG1047" s="824">
        <f t="shared" si="696"/>
        <v>0</v>
      </c>
      <c r="AH1047" s="711">
        <v>1</v>
      </c>
      <c r="AI1047" s="735">
        <f t="shared" si="695"/>
        <v>357644.2</v>
      </c>
    </row>
    <row r="1048" spans="1:35" x14ac:dyDescent="0.2">
      <c r="A1048" s="704"/>
      <c r="B1048" s="711">
        <v>1</v>
      </c>
      <c r="C1048" s="735">
        <v>2400.3000000000002</v>
      </c>
      <c r="D1048" s="735"/>
      <c r="E1048" s="735"/>
      <c r="F1048" s="735"/>
      <c r="G1048" s="735"/>
      <c r="H1048" s="735"/>
      <c r="I1048" s="735"/>
      <c r="J1048" s="735">
        <v>0</v>
      </c>
      <c r="K1048" s="735">
        <f t="shared" si="684"/>
        <v>2400.3000000000002</v>
      </c>
      <c r="L1048" s="735">
        <v>1000</v>
      </c>
      <c r="M1048" s="735"/>
      <c r="N1048" s="735">
        <f t="shared" si="683"/>
        <v>1000</v>
      </c>
      <c r="O1048" s="735">
        <f t="shared" si="697"/>
        <v>29803.600000000002</v>
      </c>
      <c r="P1048" s="735">
        <f t="shared" si="698"/>
        <v>29803.600000000002</v>
      </c>
      <c r="Q1048" s="711">
        <v>1</v>
      </c>
      <c r="R1048" s="735">
        <v>2400.3000000000002</v>
      </c>
      <c r="S1048" s="735"/>
      <c r="T1048" s="735"/>
      <c r="U1048" s="735"/>
      <c r="V1048" s="735"/>
      <c r="W1048" s="735"/>
      <c r="X1048" s="735"/>
      <c r="Y1048" s="735">
        <v>0</v>
      </c>
      <c r="Z1048" s="735">
        <f t="shared" si="691"/>
        <v>2400.3000000000002</v>
      </c>
      <c r="AA1048" s="735">
        <v>1000</v>
      </c>
      <c r="AB1048" s="735"/>
      <c r="AC1048" s="735">
        <f t="shared" si="692"/>
        <v>1000</v>
      </c>
      <c r="AD1048" s="735">
        <f t="shared" si="693"/>
        <v>29803.600000000002</v>
      </c>
      <c r="AE1048" s="735">
        <f t="shared" si="694"/>
        <v>29803.600000000002</v>
      </c>
      <c r="AF1048" s="735">
        <f t="shared" si="686"/>
        <v>0</v>
      </c>
      <c r="AG1048" s="824">
        <f t="shared" si="696"/>
        <v>0</v>
      </c>
      <c r="AH1048" s="711">
        <v>1</v>
      </c>
      <c r="AI1048" s="735">
        <f t="shared" si="695"/>
        <v>357644.2</v>
      </c>
    </row>
    <row r="1049" spans="1:35" x14ac:dyDescent="0.2">
      <c r="A1049" s="704"/>
      <c r="B1049" s="711">
        <v>1</v>
      </c>
      <c r="C1049" s="735">
        <v>2400.3000000000002</v>
      </c>
      <c r="D1049" s="735"/>
      <c r="E1049" s="735"/>
      <c r="F1049" s="735"/>
      <c r="G1049" s="735"/>
      <c r="H1049" s="735"/>
      <c r="I1049" s="735"/>
      <c r="J1049" s="735">
        <v>0</v>
      </c>
      <c r="K1049" s="735">
        <f t="shared" si="684"/>
        <v>2400.3000000000002</v>
      </c>
      <c r="L1049" s="735">
        <v>1000</v>
      </c>
      <c r="M1049" s="735"/>
      <c r="N1049" s="735">
        <f t="shared" si="683"/>
        <v>1000</v>
      </c>
      <c r="O1049" s="735">
        <f t="shared" si="697"/>
        <v>29803.600000000002</v>
      </c>
      <c r="P1049" s="735">
        <f t="shared" si="698"/>
        <v>29803.600000000002</v>
      </c>
      <c r="Q1049" s="711">
        <v>1</v>
      </c>
      <c r="R1049" s="735">
        <v>2400.3000000000002</v>
      </c>
      <c r="S1049" s="735"/>
      <c r="T1049" s="735"/>
      <c r="U1049" s="735"/>
      <c r="V1049" s="735"/>
      <c r="W1049" s="735"/>
      <c r="X1049" s="735"/>
      <c r="Y1049" s="735">
        <v>0</v>
      </c>
      <c r="Z1049" s="735">
        <f t="shared" si="691"/>
        <v>2400.3000000000002</v>
      </c>
      <c r="AA1049" s="735">
        <v>1000</v>
      </c>
      <c r="AB1049" s="735"/>
      <c r="AC1049" s="735">
        <f t="shared" si="692"/>
        <v>1000</v>
      </c>
      <c r="AD1049" s="735">
        <f t="shared" si="693"/>
        <v>29803.600000000002</v>
      </c>
      <c r="AE1049" s="735">
        <f t="shared" si="694"/>
        <v>29803.600000000002</v>
      </c>
      <c r="AF1049" s="735">
        <f t="shared" si="686"/>
        <v>0</v>
      </c>
      <c r="AG1049" s="824">
        <f t="shared" si="696"/>
        <v>0</v>
      </c>
      <c r="AH1049" s="711">
        <v>1</v>
      </c>
      <c r="AI1049" s="735">
        <f t="shared" si="695"/>
        <v>357644.2</v>
      </c>
    </row>
    <row r="1050" spans="1:35" x14ac:dyDescent="0.2">
      <c r="A1050" s="704"/>
      <c r="B1050" s="711">
        <v>1</v>
      </c>
      <c r="C1050" s="735">
        <v>2400.3000000000002</v>
      </c>
      <c r="D1050" s="735"/>
      <c r="E1050" s="735"/>
      <c r="F1050" s="735"/>
      <c r="G1050" s="735"/>
      <c r="H1050" s="735"/>
      <c r="I1050" s="735"/>
      <c r="J1050" s="735">
        <v>0</v>
      </c>
      <c r="K1050" s="735">
        <f t="shared" si="684"/>
        <v>2400.3000000000002</v>
      </c>
      <c r="L1050" s="735">
        <v>1000</v>
      </c>
      <c r="M1050" s="735"/>
      <c r="N1050" s="735">
        <f t="shared" ref="N1050:N1113" si="699">SUM(L1050:M1050)</f>
        <v>1000</v>
      </c>
      <c r="O1050" s="735">
        <f t="shared" si="697"/>
        <v>29803.600000000002</v>
      </c>
      <c r="P1050" s="735">
        <f t="shared" si="698"/>
        <v>29803.600000000002</v>
      </c>
      <c r="Q1050" s="711">
        <v>1</v>
      </c>
      <c r="R1050" s="735">
        <v>2400.3000000000002</v>
      </c>
      <c r="S1050" s="735"/>
      <c r="T1050" s="735"/>
      <c r="U1050" s="735"/>
      <c r="V1050" s="735"/>
      <c r="W1050" s="735"/>
      <c r="X1050" s="735"/>
      <c r="Y1050" s="735">
        <v>0</v>
      </c>
      <c r="Z1050" s="735">
        <f t="shared" si="691"/>
        <v>2400.3000000000002</v>
      </c>
      <c r="AA1050" s="735">
        <v>1000</v>
      </c>
      <c r="AB1050" s="735"/>
      <c r="AC1050" s="735">
        <f t="shared" si="692"/>
        <v>1000</v>
      </c>
      <c r="AD1050" s="735">
        <f t="shared" si="693"/>
        <v>29803.600000000002</v>
      </c>
      <c r="AE1050" s="735">
        <f t="shared" si="694"/>
        <v>29803.600000000002</v>
      </c>
      <c r="AF1050" s="735">
        <f t="shared" si="686"/>
        <v>0</v>
      </c>
      <c r="AG1050" s="824">
        <f t="shared" si="696"/>
        <v>0</v>
      </c>
      <c r="AH1050" s="711">
        <v>1</v>
      </c>
      <c r="AI1050" s="735">
        <f t="shared" si="695"/>
        <v>357644.2</v>
      </c>
    </row>
    <row r="1051" spans="1:35" x14ac:dyDescent="0.2">
      <c r="A1051" s="704"/>
      <c r="B1051" s="711">
        <v>1</v>
      </c>
      <c r="C1051" s="735">
        <v>2400.3000000000002</v>
      </c>
      <c r="D1051" s="735"/>
      <c r="E1051" s="735"/>
      <c r="F1051" s="735"/>
      <c r="G1051" s="735"/>
      <c r="H1051" s="735"/>
      <c r="I1051" s="735"/>
      <c r="J1051" s="735">
        <v>790</v>
      </c>
      <c r="K1051" s="735">
        <f t="shared" ref="K1051:K1114" si="700">SUM(C1051:J1051)</f>
        <v>3190.3</v>
      </c>
      <c r="L1051" s="735">
        <v>1000</v>
      </c>
      <c r="M1051" s="735"/>
      <c r="N1051" s="735">
        <f t="shared" si="699"/>
        <v>1000</v>
      </c>
      <c r="O1051" s="735">
        <f t="shared" si="697"/>
        <v>39283.600000000006</v>
      </c>
      <c r="P1051" s="735">
        <f t="shared" si="698"/>
        <v>39283.600000000006</v>
      </c>
      <c r="Q1051" s="711">
        <v>1</v>
      </c>
      <c r="R1051" s="735">
        <v>2400.3000000000002</v>
      </c>
      <c r="S1051" s="735"/>
      <c r="T1051" s="735"/>
      <c r="U1051" s="735"/>
      <c r="V1051" s="735"/>
      <c r="W1051" s="735"/>
      <c r="X1051" s="735"/>
      <c r="Y1051" s="735">
        <v>790</v>
      </c>
      <c r="Z1051" s="735">
        <f t="shared" si="691"/>
        <v>3190.3</v>
      </c>
      <c r="AA1051" s="735">
        <v>1000</v>
      </c>
      <c r="AB1051" s="735"/>
      <c r="AC1051" s="735">
        <f t="shared" si="692"/>
        <v>1000</v>
      </c>
      <c r="AD1051" s="735">
        <f t="shared" si="693"/>
        <v>39283.600000000006</v>
      </c>
      <c r="AE1051" s="735">
        <f t="shared" si="694"/>
        <v>39283.600000000006</v>
      </c>
      <c r="AF1051" s="735">
        <f t="shared" si="686"/>
        <v>0</v>
      </c>
      <c r="AG1051" s="824">
        <f t="shared" si="696"/>
        <v>0</v>
      </c>
      <c r="AH1051" s="711">
        <v>1</v>
      </c>
      <c r="AI1051" s="735">
        <f t="shared" si="695"/>
        <v>471404.20000000007</v>
      </c>
    </row>
    <row r="1052" spans="1:35" x14ac:dyDescent="0.2">
      <c r="A1052" s="704"/>
      <c r="B1052" s="711">
        <v>1</v>
      </c>
      <c r="C1052" s="735">
        <v>2400.3000000000002</v>
      </c>
      <c r="D1052" s="735"/>
      <c r="E1052" s="735"/>
      <c r="F1052" s="735"/>
      <c r="G1052" s="735"/>
      <c r="H1052" s="735"/>
      <c r="I1052" s="735"/>
      <c r="J1052" s="735">
        <v>850</v>
      </c>
      <c r="K1052" s="735">
        <f t="shared" si="700"/>
        <v>3250.3</v>
      </c>
      <c r="L1052" s="735">
        <v>1000</v>
      </c>
      <c r="M1052" s="735"/>
      <c r="N1052" s="735">
        <f t="shared" si="699"/>
        <v>1000</v>
      </c>
      <c r="O1052" s="735">
        <f t="shared" si="697"/>
        <v>40003.600000000006</v>
      </c>
      <c r="P1052" s="735">
        <f t="shared" si="698"/>
        <v>40003.600000000006</v>
      </c>
      <c r="Q1052" s="711">
        <v>1</v>
      </c>
      <c r="R1052" s="735">
        <v>2400.3000000000002</v>
      </c>
      <c r="S1052" s="735"/>
      <c r="T1052" s="735"/>
      <c r="U1052" s="735"/>
      <c r="V1052" s="735"/>
      <c r="W1052" s="735"/>
      <c r="X1052" s="735"/>
      <c r="Y1052" s="735">
        <v>850</v>
      </c>
      <c r="Z1052" s="735">
        <f t="shared" si="691"/>
        <v>3250.3</v>
      </c>
      <c r="AA1052" s="735">
        <v>1000</v>
      </c>
      <c r="AB1052" s="735"/>
      <c r="AC1052" s="735">
        <f t="shared" si="692"/>
        <v>1000</v>
      </c>
      <c r="AD1052" s="735">
        <f t="shared" si="693"/>
        <v>40003.600000000006</v>
      </c>
      <c r="AE1052" s="735">
        <f t="shared" si="694"/>
        <v>40003.600000000006</v>
      </c>
      <c r="AF1052" s="735">
        <f t="shared" si="686"/>
        <v>0</v>
      </c>
      <c r="AG1052" s="824">
        <f t="shared" si="696"/>
        <v>0</v>
      </c>
      <c r="AH1052" s="711">
        <v>1</v>
      </c>
      <c r="AI1052" s="735">
        <f t="shared" si="695"/>
        <v>480044.20000000007</v>
      </c>
    </row>
    <row r="1053" spans="1:35" x14ac:dyDescent="0.2">
      <c r="A1053" s="704"/>
      <c r="B1053" s="711">
        <v>1</v>
      </c>
      <c r="C1053" s="735">
        <v>2400.3000000000002</v>
      </c>
      <c r="D1053" s="735"/>
      <c r="E1053" s="735"/>
      <c r="F1053" s="735"/>
      <c r="G1053" s="735"/>
      <c r="H1053" s="735"/>
      <c r="I1053" s="735"/>
      <c r="J1053" s="735">
        <v>790</v>
      </c>
      <c r="K1053" s="735">
        <f t="shared" si="700"/>
        <v>3190.3</v>
      </c>
      <c r="L1053" s="735">
        <v>1000</v>
      </c>
      <c r="M1053" s="735"/>
      <c r="N1053" s="735">
        <f t="shared" si="699"/>
        <v>1000</v>
      </c>
      <c r="O1053" s="735">
        <f t="shared" si="697"/>
        <v>39283.600000000006</v>
      </c>
      <c r="P1053" s="735">
        <f t="shared" si="698"/>
        <v>39283.600000000006</v>
      </c>
      <c r="Q1053" s="711">
        <v>1</v>
      </c>
      <c r="R1053" s="735">
        <v>2400.3000000000002</v>
      </c>
      <c r="S1053" s="735"/>
      <c r="T1053" s="735"/>
      <c r="U1053" s="735"/>
      <c r="V1053" s="735"/>
      <c r="W1053" s="735"/>
      <c r="X1053" s="735"/>
      <c r="Y1053" s="735">
        <v>790</v>
      </c>
      <c r="Z1053" s="735">
        <f t="shared" si="691"/>
        <v>3190.3</v>
      </c>
      <c r="AA1053" s="735">
        <v>1000</v>
      </c>
      <c r="AB1053" s="735"/>
      <c r="AC1053" s="735">
        <f t="shared" si="692"/>
        <v>1000</v>
      </c>
      <c r="AD1053" s="735">
        <f t="shared" si="693"/>
        <v>39283.600000000006</v>
      </c>
      <c r="AE1053" s="735">
        <f t="shared" si="694"/>
        <v>39283.600000000006</v>
      </c>
      <c r="AF1053" s="735">
        <f t="shared" si="686"/>
        <v>0</v>
      </c>
      <c r="AG1053" s="824">
        <f t="shared" si="696"/>
        <v>0</v>
      </c>
      <c r="AH1053" s="711">
        <v>1</v>
      </c>
      <c r="AI1053" s="735">
        <f t="shared" si="695"/>
        <v>471404.20000000007</v>
      </c>
    </row>
    <row r="1054" spans="1:35" x14ac:dyDescent="0.2">
      <c r="A1054" s="704"/>
      <c r="B1054" s="711">
        <v>1</v>
      </c>
      <c r="C1054" s="735">
        <v>2400.3000000000002</v>
      </c>
      <c r="D1054" s="735"/>
      <c r="E1054" s="735"/>
      <c r="F1054" s="735"/>
      <c r="G1054" s="735"/>
      <c r="H1054" s="735"/>
      <c r="I1054" s="735"/>
      <c r="J1054" s="735">
        <v>640</v>
      </c>
      <c r="K1054" s="735">
        <f t="shared" si="700"/>
        <v>3040.3</v>
      </c>
      <c r="L1054" s="735">
        <v>1000</v>
      </c>
      <c r="M1054" s="735"/>
      <c r="N1054" s="735">
        <f t="shared" si="699"/>
        <v>1000</v>
      </c>
      <c r="O1054" s="735">
        <f t="shared" si="697"/>
        <v>37483.600000000006</v>
      </c>
      <c r="P1054" s="735">
        <f t="shared" si="698"/>
        <v>37483.600000000006</v>
      </c>
      <c r="Q1054" s="711">
        <v>1</v>
      </c>
      <c r="R1054" s="735">
        <v>2400.3000000000002</v>
      </c>
      <c r="S1054" s="735"/>
      <c r="T1054" s="735"/>
      <c r="U1054" s="735"/>
      <c r="V1054" s="735"/>
      <c r="W1054" s="735"/>
      <c r="X1054" s="735"/>
      <c r="Y1054" s="735">
        <v>640</v>
      </c>
      <c r="Z1054" s="735">
        <f t="shared" si="691"/>
        <v>3040.3</v>
      </c>
      <c r="AA1054" s="735">
        <v>1000</v>
      </c>
      <c r="AB1054" s="735"/>
      <c r="AC1054" s="735">
        <f t="shared" si="692"/>
        <v>1000</v>
      </c>
      <c r="AD1054" s="735">
        <f t="shared" si="693"/>
        <v>37483.600000000006</v>
      </c>
      <c r="AE1054" s="735">
        <f t="shared" si="694"/>
        <v>37483.600000000006</v>
      </c>
      <c r="AF1054" s="735">
        <f t="shared" si="686"/>
        <v>0</v>
      </c>
      <c r="AG1054" s="824">
        <f t="shared" si="696"/>
        <v>0</v>
      </c>
      <c r="AH1054" s="711">
        <v>1</v>
      </c>
      <c r="AI1054" s="735">
        <f t="shared" si="695"/>
        <v>449804.20000000007</v>
      </c>
    </row>
    <row r="1055" spans="1:35" x14ac:dyDescent="0.2">
      <c r="A1055" s="704"/>
      <c r="B1055" s="711">
        <v>1</v>
      </c>
      <c r="C1055" s="735">
        <v>2400.3000000000002</v>
      </c>
      <c r="D1055" s="735"/>
      <c r="E1055" s="735"/>
      <c r="F1055" s="735"/>
      <c r="G1055" s="735"/>
      <c r="H1055" s="735"/>
      <c r="I1055" s="735"/>
      <c r="J1055" s="735">
        <v>850</v>
      </c>
      <c r="K1055" s="735">
        <f t="shared" si="700"/>
        <v>3250.3</v>
      </c>
      <c r="L1055" s="735">
        <v>1000</v>
      </c>
      <c r="M1055" s="735"/>
      <c r="N1055" s="735">
        <f t="shared" si="699"/>
        <v>1000</v>
      </c>
      <c r="O1055" s="735">
        <f t="shared" si="697"/>
        <v>40003.600000000006</v>
      </c>
      <c r="P1055" s="735">
        <f t="shared" si="698"/>
        <v>40003.600000000006</v>
      </c>
      <c r="Q1055" s="711">
        <v>1</v>
      </c>
      <c r="R1055" s="735">
        <v>2400.3000000000002</v>
      </c>
      <c r="S1055" s="735"/>
      <c r="T1055" s="735"/>
      <c r="U1055" s="735"/>
      <c r="V1055" s="735"/>
      <c r="W1055" s="735"/>
      <c r="X1055" s="735"/>
      <c r="Y1055" s="735">
        <v>850</v>
      </c>
      <c r="Z1055" s="735">
        <f t="shared" si="691"/>
        <v>3250.3</v>
      </c>
      <c r="AA1055" s="735">
        <v>1000</v>
      </c>
      <c r="AB1055" s="735"/>
      <c r="AC1055" s="735">
        <f t="shared" si="692"/>
        <v>1000</v>
      </c>
      <c r="AD1055" s="735">
        <f t="shared" si="693"/>
        <v>40003.600000000006</v>
      </c>
      <c r="AE1055" s="735">
        <f t="shared" si="694"/>
        <v>40003.600000000006</v>
      </c>
      <c r="AF1055" s="735">
        <f t="shared" si="686"/>
        <v>0</v>
      </c>
      <c r="AG1055" s="824">
        <f t="shared" si="696"/>
        <v>0</v>
      </c>
      <c r="AH1055" s="711">
        <v>1</v>
      </c>
      <c r="AI1055" s="735">
        <f t="shared" si="695"/>
        <v>480044.20000000007</v>
      </c>
    </row>
    <row r="1056" spans="1:35" x14ac:dyDescent="0.2">
      <c r="A1056" s="704"/>
      <c r="B1056" s="711">
        <v>1</v>
      </c>
      <c r="C1056" s="735">
        <v>2400.3000000000002</v>
      </c>
      <c r="D1056" s="735"/>
      <c r="E1056" s="735"/>
      <c r="F1056" s="735"/>
      <c r="G1056" s="735"/>
      <c r="H1056" s="735"/>
      <c r="I1056" s="735"/>
      <c r="J1056" s="735">
        <v>740</v>
      </c>
      <c r="K1056" s="735">
        <f t="shared" si="700"/>
        <v>3140.3</v>
      </c>
      <c r="L1056" s="735">
        <v>1000</v>
      </c>
      <c r="M1056" s="735"/>
      <c r="N1056" s="735">
        <f t="shared" si="699"/>
        <v>1000</v>
      </c>
      <c r="O1056" s="735">
        <f t="shared" si="697"/>
        <v>38683.600000000006</v>
      </c>
      <c r="P1056" s="735">
        <f t="shared" si="698"/>
        <v>38683.600000000006</v>
      </c>
      <c r="Q1056" s="711">
        <v>1</v>
      </c>
      <c r="R1056" s="735">
        <v>2400.3000000000002</v>
      </c>
      <c r="S1056" s="735"/>
      <c r="T1056" s="735"/>
      <c r="U1056" s="735"/>
      <c r="V1056" s="735"/>
      <c r="W1056" s="735"/>
      <c r="X1056" s="735"/>
      <c r="Y1056" s="735">
        <v>740</v>
      </c>
      <c r="Z1056" s="735">
        <f t="shared" si="691"/>
        <v>3140.3</v>
      </c>
      <c r="AA1056" s="735">
        <v>1000</v>
      </c>
      <c r="AB1056" s="735"/>
      <c r="AC1056" s="735">
        <f t="shared" si="692"/>
        <v>1000</v>
      </c>
      <c r="AD1056" s="735">
        <f t="shared" si="693"/>
        <v>38683.600000000006</v>
      </c>
      <c r="AE1056" s="735">
        <f t="shared" si="694"/>
        <v>38683.600000000006</v>
      </c>
      <c r="AF1056" s="735">
        <f t="shared" si="686"/>
        <v>0</v>
      </c>
      <c r="AG1056" s="824">
        <f t="shared" si="696"/>
        <v>0</v>
      </c>
      <c r="AH1056" s="711">
        <v>1</v>
      </c>
      <c r="AI1056" s="735">
        <f t="shared" si="695"/>
        <v>464204.20000000007</v>
      </c>
    </row>
    <row r="1057" spans="1:35" x14ac:dyDescent="0.2">
      <c r="A1057" s="704"/>
      <c r="B1057" s="711">
        <v>1</v>
      </c>
      <c r="C1057" s="735">
        <v>2400.3000000000002</v>
      </c>
      <c r="D1057" s="735"/>
      <c r="E1057" s="735"/>
      <c r="F1057" s="735"/>
      <c r="G1057" s="735"/>
      <c r="H1057" s="735"/>
      <c r="I1057" s="735"/>
      <c r="J1057" s="735">
        <v>400</v>
      </c>
      <c r="K1057" s="735">
        <f t="shared" si="700"/>
        <v>2800.3</v>
      </c>
      <c r="L1057" s="735">
        <v>1000</v>
      </c>
      <c r="M1057" s="735"/>
      <c r="N1057" s="735">
        <f t="shared" si="699"/>
        <v>1000</v>
      </c>
      <c r="O1057" s="735">
        <f t="shared" si="697"/>
        <v>34603.600000000006</v>
      </c>
      <c r="P1057" s="735">
        <f t="shared" si="698"/>
        <v>34603.600000000006</v>
      </c>
      <c r="Q1057" s="711">
        <v>1</v>
      </c>
      <c r="R1057" s="735">
        <v>2400.3000000000002</v>
      </c>
      <c r="S1057" s="735"/>
      <c r="T1057" s="735"/>
      <c r="U1057" s="735"/>
      <c r="V1057" s="735"/>
      <c r="W1057" s="735"/>
      <c r="X1057" s="735"/>
      <c r="Y1057" s="735">
        <v>400</v>
      </c>
      <c r="Z1057" s="735">
        <f t="shared" si="691"/>
        <v>2800.3</v>
      </c>
      <c r="AA1057" s="735">
        <v>1000</v>
      </c>
      <c r="AB1057" s="735"/>
      <c r="AC1057" s="735">
        <f t="shared" si="692"/>
        <v>1000</v>
      </c>
      <c r="AD1057" s="735">
        <f t="shared" si="693"/>
        <v>34603.600000000006</v>
      </c>
      <c r="AE1057" s="735">
        <f t="shared" si="694"/>
        <v>34603.600000000006</v>
      </c>
      <c r="AF1057" s="735">
        <f t="shared" si="686"/>
        <v>0</v>
      </c>
      <c r="AG1057" s="824">
        <f t="shared" si="696"/>
        <v>0</v>
      </c>
      <c r="AH1057" s="711">
        <v>1</v>
      </c>
      <c r="AI1057" s="735">
        <f t="shared" si="695"/>
        <v>415244.20000000007</v>
      </c>
    </row>
    <row r="1058" spans="1:35" x14ac:dyDescent="0.2">
      <c r="A1058" s="704"/>
      <c r="B1058" s="711">
        <v>1</v>
      </c>
      <c r="C1058" s="735">
        <v>2400.3000000000002</v>
      </c>
      <c r="D1058" s="735"/>
      <c r="E1058" s="735"/>
      <c r="F1058" s="735"/>
      <c r="G1058" s="735"/>
      <c r="H1058" s="735"/>
      <c r="I1058" s="735"/>
      <c r="J1058" s="735">
        <v>850</v>
      </c>
      <c r="K1058" s="735">
        <f t="shared" si="700"/>
        <v>3250.3</v>
      </c>
      <c r="L1058" s="735">
        <v>1000</v>
      </c>
      <c r="M1058" s="735"/>
      <c r="N1058" s="735">
        <f t="shared" si="699"/>
        <v>1000</v>
      </c>
      <c r="O1058" s="735">
        <f t="shared" si="697"/>
        <v>40003.600000000006</v>
      </c>
      <c r="P1058" s="735">
        <f t="shared" si="698"/>
        <v>40003.600000000006</v>
      </c>
      <c r="Q1058" s="711">
        <v>1</v>
      </c>
      <c r="R1058" s="735">
        <v>2400.3000000000002</v>
      </c>
      <c r="S1058" s="735"/>
      <c r="T1058" s="735"/>
      <c r="U1058" s="735"/>
      <c r="V1058" s="735"/>
      <c r="W1058" s="735"/>
      <c r="X1058" s="735"/>
      <c r="Y1058" s="735">
        <v>850</v>
      </c>
      <c r="Z1058" s="735">
        <f t="shared" si="691"/>
        <v>3250.3</v>
      </c>
      <c r="AA1058" s="735">
        <v>1000</v>
      </c>
      <c r="AB1058" s="735"/>
      <c r="AC1058" s="735">
        <f t="shared" si="692"/>
        <v>1000</v>
      </c>
      <c r="AD1058" s="735">
        <f t="shared" si="693"/>
        <v>40003.600000000006</v>
      </c>
      <c r="AE1058" s="735">
        <f t="shared" si="694"/>
        <v>40003.600000000006</v>
      </c>
      <c r="AF1058" s="735">
        <f t="shared" si="686"/>
        <v>0</v>
      </c>
      <c r="AG1058" s="824">
        <f t="shared" si="696"/>
        <v>0</v>
      </c>
      <c r="AH1058" s="711">
        <v>1</v>
      </c>
      <c r="AI1058" s="735">
        <f t="shared" si="695"/>
        <v>480044.20000000007</v>
      </c>
    </row>
    <row r="1059" spans="1:35" x14ac:dyDescent="0.2">
      <c r="A1059" s="704"/>
      <c r="B1059" s="711">
        <v>1</v>
      </c>
      <c r="C1059" s="735">
        <v>2400.3000000000002</v>
      </c>
      <c r="D1059" s="735"/>
      <c r="E1059" s="735"/>
      <c r="F1059" s="735"/>
      <c r="G1059" s="735"/>
      <c r="H1059" s="735"/>
      <c r="I1059" s="735"/>
      <c r="J1059" s="735">
        <v>790</v>
      </c>
      <c r="K1059" s="735">
        <f t="shared" si="700"/>
        <v>3190.3</v>
      </c>
      <c r="L1059" s="735">
        <v>1000</v>
      </c>
      <c r="M1059" s="735"/>
      <c r="N1059" s="735">
        <f t="shared" si="699"/>
        <v>1000</v>
      </c>
      <c r="O1059" s="735">
        <f t="shared" si="697"/>
        <v>39283.600000000006</v>
      </c>
      <c r="P1059" s="735">
        <f t="shared" si="698"/>
        <v>39283.600000000006</v>
      </c>
      <c r="Q1059" s="711">
        <v>1</v>
      </c>
      <c r="R1059" s="735">
        <v>2400.3000000000002</v>
      </c>
      <c r="S1059" s="735"/>
      <c r="T1059" s="735"/>
      <c r="U1059" s="735"/>
      <c r="V1059" s="735"/>
      <c r="W1059" s="735"/>
      <c r="X1059" s="735"/>
      <c r="Y1059" s="735">
        <v>790</v>
      </c>
      <c r="Z1059" s="735">
        <f t="shared" si="691"/>
        <v>3190.3</v>
      </c>
      <c r="AA1059" s="735">
        <v>1000</v>
      </c>
      <c r="AB1059" s="735"/>
      <c r="AC1059" s="735">
        <f t="shared" si="692"/>
        <v>1000</v>
      </c>
      <c r="AD1059" s="735">
        <f t="shared" si="693"/>
        <v>39283.600000000006</v>
      </c>
      <c r="AE1059" s="735">
        <f t="shared" si="694"/>
        <v>39283.600000000006</v>
      </c>
      <c r="AF1059" s="735">
        <f t="shared" si="686"/>
        <v>0</v>
      </c>
      <c r="AG1059" s="824">
        <f t="shared" si="696"/>
        <v>0</v>
      </c>
      <c r="AH1059" s="711">
        <v>1</v>
      </c>
      <c r="AI1059" s="735">
        <f t="shared" si="695"/>
        <v>471404.20000000007</v>
      </c>
    </row>
    <row r="1060" spans="1:35" x14ac:dyDescent="0.2">
      <c r="A1060" s="704"/>
      <c r="B1060" s="711">
        <v>1</v>
      </c>
      <c r="C1060" s="735">
        <v>2400.3000000000002</v>
      </c>
      <c r="D1060" s="735"/>
      <c r="E1060" s="735"/>
      <c r="F1060" s="735"/>
      <c r="G1060" s="735"/>
      <c r="H1060" s="735"/>
      <c r="I1060" s="735"/>
      <c r="J1060" s="735">
        <v>740</v>
      </c>
      <c r="K1060" s="735">
        <f t="shared" si="700"/>
        <v>3140.3</v>
      </c>
      <c r="L1060" s="735">
        <v>1000</v>
      </c>
      <c r="M1060" s="735"/>
      <c r="N1060" s="735">
        <f t="shared" si="699"/>
        <v>1000</v>
      </c>
      <c r="O1060" s="735">
        <f t="shared" si="697"/>
        <v>38683.600000000006</v>
      </c>
      <c r="P1060" s="735">
        <f t="shared" si="698"/>
        <v>38683.600000000006</v>
      </c>
      <c r="Q1060" s="711">
        <v>1</v>
      </c>
      <c r="R1060" s="735">
        <v>2400.3000000000002</v>
      </c>
      <c r="S1060" s="735"/>
      <c r="T1060" s="735"/>
      <c r="U1060" s="735"/>
      <c r="V1060" s="735"/>
      <c r="W1060" s="735"/>
      <c r="X1060" s="735"/>
      <c r="Y1060" s="735">
        <v>740</v>
      </c>
      <c r="Z1060" s="735">
        <f t="shared" si="691"/>
        <v>3140.3</v>
      </c>
      <c r="AA1060" s="735">
        <v>1000</v>
      </c>
      <c r="AB1060" s="735"/>
      <c r="AC1060" s="735">
        <f t="shared" si="692"/>
        <v>1000</v>
      </c>
      <c r="AD1060" s="735">
        <f t="shared" si="693"/>
        <v>38683.600000000006</v>
      </c>
      <c r="AE1060" s="735">
        <f t="shared" si="694"/>
        <v>38683.600000000006</v>
      </c>
      <c r="AF1060" s="735">
        <f t="shared" si="686"/>
        <v>0</v>
      </c>
      <c r="AG1060" s="824">
        <f t="shared" si="696"/>
        <v>0</v>
      </c>
      <c r="AH1060" s="711">
        <v>1</v>
      </c>
      <c r="AI1060" s="735">
        <f t="shared" si="695"/>
        <v>464204.20000000007</v>
      </c>
    </row>
    <row r="1061" spans="1:35" x14ac:dyDescent="0.2">
      <c r="A1061" s="704"/>
      <c r="B1061" s="711">
        <v>1</v>
      </c>
      <c r="C1061" s="735">
        <v>2400.3000000000002</v>
      </c>
      <c r="D1061" s="735"/>
      <c r="E1061" s="735"/>
      <c r="F1061" s="735"/>
      <c r="G1061" s="735"/>
      <c r="H1061" s="735"/>
      <c r="I1061" s="735"/>
      <c r="J1061" s="735">
        <v>790</v>
      </c>
      <c r="K1061" s="735">
        <f t="shared" si="700"/>
        <v>3190.3</v>
      </c>
      <c r="L1061" s="735">
        <v>1000</v>
      </c>
      <c r="M1061" s="735"/>
      <c r="N1061" s="735">
        <f t="shared" si="699"/>
        <v>1000</v>
      </c>
      <c r="O1061" s="735">
        <f t="shared" si="697"/>
        <v>39283.600000000006</v>
      </c>
      <c r="P1061" s="735">
        <f t="shared" si="698"/>
        <v>39283.600000000006</v>
      </c>
      <c r="Q1061" s="711">
        <v>1</v>
      </c>
      <c r="R1061" s="735">
        <v>2400.3000000000002</v>
      </c>
      <c r="S1061" s="735"/>
      <c r="T1061" s="735"/>
      <c r="U1061" s="735"/>
      <c r="V1061" s="735"/>
      <c r="W1061" s="735"/>
      <c r="X1061" s="735"/>
      <c r="Y1061" s="735">
        <v>790</v>
      </c>
      <c r="Z1061" s="735">
        <f t="shared" si="691"/>
        <v>3190.3</v>
      </c>
      <c r="AA1061" s="735">
        <v>1000</v>
      </c>
      <c r="AB1061" s="735"/>
      <c r="AC1061" s="735">
        <f t="shared" si="692"/>
        <v>1000</v>
      </c>
      <c r="AD1061" s="735">
        <f t="shared" si="693"/>
        <v>39283.600000000006</v>
      </c>
      <c r="AE1061" s="735">
        <f t="shared" si="694"/>
        <v>39283.600000000006</v>
      </c>
      <c r="AF1061" s="735">
        <f t="shared" si="686"/>
        <v>0</v>
      </c>
      <c r="AG1061" s="824">
        <f t="shared" si="696"/>
        <v>0</v>
      </c>
      <c r="AH1061" s="711">
        <v>1</v>
      </c>
      <c r="AI1061" s="735">
        <f t="shared" si="695"/>
        <v>471404.20000000007</v>
      </c>
    </row>
    <row r="1062" spans="1:35" x14ac:dyDescent="0.2">
      <c r="A1062" s="704"/>
      <c r="B1062" s="711">
        <v>1</v>
      </c>
      <c r="C1062" s="735">
        <v>2400.3000000000002</v>
      </c>
      <c r="D1062" s="735"/>
      <c r="E1062" s="735"/>
      <c r="F1062" s="735"/>
      <c r="G1062" s="735"/>
      <c r="H1062" s="735"/>
      <c r="I1062" s="735"/>
      <c r="J1062" s="735">
        <v>740</v>
      </c>
      <c r="K1062" s="735">
        <f t="shared" si="700"/>
        <v>3140.3</v>
      </c>
      <c r="L1062" s="735">
        <v>1000</v>
      </c>
      <c r="M1062" s="735"/>
      <c r="N1062" s="735">
        <f t="shared" si="699"/>
        <v>1000</v>
      </c>
      <c r="O1062" s="735">
        <f t="shared" si="697"/>
        <v>38683.600000000006</v>
      </c>
      <c r="P1062" s="735">
        <f t="shared" si="698"/>
        <v>38683.600000000006</v>
      </c>
      <c r="Q1062" s="711">
        <v>1</v>
      </c>
      <c r="R1062" s="735">
        <v>2400.3000000000002</v>
      </c>
      <c r="S1062" s="735"/>
      <c r="T1062" s="735"/>
      <c r="U1062" s="735"/>
      <c r="V1062" s="735"/>
      <c r="W1062" s="735"/>
      <c r="X1062" s="735"/>
      <c r="Y1062" s="735">
        <v>740</v>
      </c>
      <c r="Z1062" s="735">
        <f t="shared" si="691"/>
        <v>3140.3</v>
      </c>
      <c r="AA1062" s="735">
        <v>1000</v>
      </c>
      <c r="AB1062" s="735"/>
      <c r="AC1062" s="735">
        <f t="shared" si="692"/>
        <v>1000</v>
      </c>
      <c r="AD1062" s="735">
        <f t="shared" si="693"/>
        <v>38683.600000000006</v>
      </c>
      <c r="AE1062" s="735">
        <f t="shared" si="694"/>
        <v>38683.600000000006</v>
      </c>
      <c r="AF1062" s="735">
        <f t="shared" si="686"/>
        <v>0</v>
      </c>
      <c r="AG1062" s="824">
        <f t="shared" si="696"/>
        <v>0</v>
      </c>
      <c r="AH1062" s="711">
        <v>1</v>
      </c>
      <c r="AI1062" s="735">
        <f t="shared" si="695"/>
        <v>464204.20000000007</v>
      </c>
    </row>
    <row r="1063" spans="1:35" x14ac:dyDescent="0.2">
      <c r="A1063" s="704"/>
      <c r="B1063" s="711">
        <v>1</v>
      </c>
      <c r="C1063" s="735">
        <v>2400.3000000000002</v>
      </c>
      <c r="D1063" s="735"/>
      <c r="E1063" s="735"/>
      <c r="F1063" s="735"/>
      <c r="G1063" s="735"/>
      <c r="H1063" s="735"/>
      <c r="I1063" s="735"/>
      <c r="J1063" s="735">
        <v>740</v>
      </c>
      <c r="K1063" s="735">
        <f t="shared" si="700"/>
        <v>3140.3</v>
      </c>
      <c r="L1063" s="735">
        <v>1000</v>
      </c>
      <c r="M1063" s="735"/>
      <c r="N1063" s="735">
        <f t="shared" si="699"/>
        <v>1000</v>
      </c>
      <c r="O1063" s="735">
        <f t="shared" si="697"/>
        <v>38683.600000000006</v>
      </c>
      <c r="P1063" s="735">
        <f t="shared" si="698"/>
        <v>38683.600000000006</v>
      </c>
      <c r="Q1063" s="711">
        <v>1</v>
      </c>
      <c r="R1063" s="735">
        <v>2400.3000000000002</v>
      </c>
      <c r="S1063" s="735"/>
      <c r="T1063" s="735"/>
      <c r="U1063" s="735"/>
      <c r="V1063" s="735"/>
      <c r="W1063" s="735"/>
      <c r="X1063" s="735"/>
      <c r="Y1063" s="735">
        <v>740</v>
      </c>
      <c r="Z1063" s="735">
        <f t="shared" si="691"/>
        <v>3140.3</v>
      </c>
      <c r="AA1063" s="735">
        <v>1000</v>
      </c>
      <c r="AB1063" s="735"/>
      <c r="AC1063" s="735">
        <f t="shared" si="692"/>
        <v>1000</v>
      </c>
      <c r="AD1063" s="735">
        <f t="shared" si="693"/>
        <v>38683.600000000006</v>
      </c>
      <c r="AE1063" s="735">
        <f t="shared" si="694"/>
        <v>38683.600000000006</v>
      </c>
      <c r="AF1063" s="735">
        <f t="shared" si="686"/>
        <v>0</v>
      </c>
      <c r="AG1063" s="824">
        <f t="shared" si="696"/>
        <v>0</v>
      </c>
      <c r="AH1063" s="711">
        <v>1</v>
      </c>
      <c r="AI1063" s="735">
        <f t="shared" si="695"/>
        <v>464204.20000000007</v>
      </c>
    </row>
    <row r="1064" spans="1:35" x14ac:dyDescent="0.2">
      <c r="A1064" s="704"/>
      <c r="B1064" s="711">
        <v>1</v>
      </c>
      <c r="C1064" s="735">
        <v>2400.3000000000002</v>
      </c>
      <c r="D1064" s="735"/>
      <c r="E1064" s="735"/>
      <c r="F1064" s="735"/>
      <c r="G1064" s="735"/>
      <c r="H1064" s="735"/>
      <c r="I1064" s="735"/>
      <c r="J1064" s="735">
        <v>0</v>
      </c>
      <c r="K1064" s="735">
        <f t="shared" si="700"/>
        <v>2400.3000000000002</v>
      </c>
      <c r="L1064" s="735">
        <v>1000</v>
      </c>
      <c r="M1064" s="735"/>
      <c r="N1064" s="735">
        <f t="shared" si="699"/>
        <v>1000</v>
      </c>
      <c r="O1064" s="735">
        <f t="shared" si="697"/>
        <v>29803.600000000002</v>
      </c>
      <c r="P1064" s="735">
        <f t="shared" si="698"/>
        <v>29803.600000000002</v>
      </c>
      <c r="Q1064" s="711">
        <v>1</v>
      </c>
      <c r="R1064" s="735">
        <v>2400.3000000000002</v>
      </c>
      <c r="S1064" s="735"/>
      <c r="T1064" s="735"/>
      <c r="U1064" s="735"/>
      <c r="V1064" s="735"/>
      <c r="W1064" s="735"/>
      <c r="X1064" s="735"/>
      <c r="Y1064" s="735">
        <v>0</v>
      </c>
      <c r="Z1064" s="735">
        <f t="shared" si="691"/>
        <v>2400.3000000000002</v>
      </c>
      <c r="AA1064" s="735">
        <v>1000</v>
      </c>
      <c r="AB1064" s="735"/>
      <c r="AC1064" s="735">
        <f t="shared" si="692"/>
        <v>1000</v>
      </c>
      <c r="AD1064" s="735">
        <f t="shared" si="693"/>
        <v>29803.600000000002</v>
      </c>
      <c r="AE1064" s="735">
        <f t="shared" si="694"/>
        <v>29803.600000000002</v>
      </c>
      <c r="AF1064" s="735">
        <f t="shared" si="686"/>
        <v>0</v>
      </c>
      <c r="AG1064" s="824">
        <f t="shared" si="696"/>
        <v>0</v>
      </c>
      <c r="AH1064" s="711">
        <v>1</v>
      </c>
      <c r="AI1064" s="735">
        <f t="shared" si="695"/>
        <v>357644.2</v>
      </c>
    </row>
    <row r="1065" spans="1:35" x14ac:dyDescent="0.2">
      <c r="A1065" s="704"/>
      <c r="B1065" s="711">
        <v>1</v>
      </c>
      <c r="C1065" s="735">
        <v>2400.3000000000002</v>
      </c>
      <c r="D1065" s="735"/>
      <c r="E1065" s="735"/>
      <c r="F1065" s="735"/>
      <c r="G1065" s="735"/>
      <c r="H1065" s="735"/>
      <c r="I1065" s="735"/>
      <c r="J1065" s="735">
        <v>600</v>
      </c>
      <c r="K1065" s="735">
        <f t="shared" si="700"/>
        <v>3000.3</v>
      </c>
      <c r="L1065" s="735">
        <v>1000</v>
      </c>
      <c r="M1065" s="735"/>
      <c r="N1065" s="735">
        <f t="shared" si="699"/>
        <v>1000</v>
      </c>
      <c r="O1065" s="735">
        <f t="shared" si="697"/>
        <v>37003.600000000006</v>
      </c>
      <c r="P1065" s="735">
        <f t="shared" si="698"/>
        <v>37003.600000000006</v>
      </c>
      <c r="Q1065" s="711">
        <v>1</v>
      </c>
      <c r="R1065" s="735">
        <v>2400.3000000000002</v>
      </c>
      <c r="S1065" s="735"/>
      <c r="T1065" s="735"/>
      <c r="U1065" s="735"/>
      <c r="V1065" s="735"/>
      <c r="W1065" s="735"/>
      <c r="X1065" s="735"/>
      <c r="Y1065" s="735">
        <v>600</v>
      </c>
      <c r="Z1065" s="735">
        <f t="shared" si="691"/>
        <v>3000.3</v>
      </c>
      <c r="AA1065" s="735">
        <v>1000</v>
      </c>
      <c r="AB1065" s="735"/>
      <c r="AC1065" s="735">
        <f t="shared" si="692"/>
        <v>1000</v>
      </c>
      <c r="AD1065" s="735">
        <f t="shared" si="693"/>
        <v>37003.600000000006</v>
      </c>
      <c r="AE1065" s="735">
        <f t="shared" si="694"/>
        <v>37003.600000000006</v>
      </c>
      <c r="AF1065" s="735">
        <f t="shared" si="686"/>
        <v>0</v>
      </c>
      <c r="AG1065" s="824">
        <f t="shared" si="696"/>
        <v>0</v>
      </c>
      <c r="AH1065" s="711">
        <v>1</v>
      </c>
      <c r="AI1065" s="735">
        <f t="shared" si="695"/>
        <v>444044.20000000007</v>
      </c>
    </row>
    <row r="1066" spans="1:35" x14ac:dyDescent="0.2">
      <c r="A1066" s="704"/>
      <c r="B1066" s="711">
        <v>1</v>
      </c>
      <c r="C1066" s="735">
        <v>2400.3000000000002</v>
      </c>
      <c r="D1066" s="735"/>
      <c r="E1066" s="735"/>
      <c r="F1066" s="735"/>
      <c r="G1066" s="735"/>
      <c r="H1066" s="735"/>
      <c r="I1066" s="735"/>
      <c r="J1066" s="735">
        <v>600</v>
      </c>
      <c r="K1066" s="735">
        <f t="shared" si="700"/>
        <v>3000.3</v>
      </c>
      <c r="L1066" s="735">
        <v>1000</v>
      </c>
      <c r="M1066" s="735"/>
      <c r="N1066" s="735">
        <f t="shared" si="699"/>
        <v>1000</v>
      </c>
      <c r="O1066" s="735">
        <f t="shared" si="697"/>
        <v>37003.600000000006</v>
      </c>
      <c r="P1066" s="735">
        <f t="shared" si="698"/>
        <v>37003.600000000006</v>
      </c>
      <c r="Q1066" s="711">
        <v>1</v>
      </c>
      <c r="R1066" s="735">
        <v>2400.3000000000002</v>
      </c>
      <c r="S1066" s="735"/>
      <c r="T1066" s="735"/>
      <c r="U1066" s="735"/>
      <c r="V1066" s="735"/>
      <c r="W1066" s="735"/>
      <c r="X1066" s="735"/>
      <c r="Y1066" s="735">
        <v>600</v>
      </c>
      <c r="Z1066" s="735">
        <f t="shared" si="691"/>
        <v>3000.3</v>
      </c>
      <c r="AA1066" s="735">
        <v>1000</v>
      </c>
      <c r="AB1066" s="735"/>
      <c r="AC1066" s="735">
        <f t="shared" si="692"/>
        <v>1000</v>
      </c>
      <c r="AD1066" s="735">
        <f t="shared" si="693"/>
        <v>37003.600000000006</v>
      </c>
      <c r="AE1066" s="735">
        <f t="shared" si="694"/>
        <v>37003.600000000006</v>
      </c>
      <c r="AF1066" s="735">
        <f t="shared" si="686"/>
        <v>0</v>
      </c>
      <c r="AG1066" s="824">
        <f t="shared" si="696"/>
        <v>0</v>
      </c>
      <c r="AH1066" s="711">
        <v>1</v>
      </c>
      <c r="AI1066" s="735">
        <f t="shared" si="695"/>
        <v>444044.20000000007</v>
      </c>
    </row>
    <row r="1067" spans="1:35" x14ac:dyDescent="0.2">
      <c r="A1067" s="704"/>
      <c r="B1067" s="711">
        <v>1</v>
      </c>
      <c r="C1067" s="735">
        <v>2400.3000000000002</v>
      </c>
      <c r="D1067" s="735"/>
      <c r="E1067" s="735"/>
      <c r="F1067" s="735"/>
      <c r="G1067" s="735"/>
      <c r="H1067" s="735"/>
      <c r="I1067" s="735"/>
      <c r="J1067" s="735">
        <v>650</v>
      </c>
      <c r="K1067" s="735">
        <f t="shared" si="700"/>
        <v>3050.3</v>
      </c>
      <c r="L1067" s="735">
        <v>1000</v>
      </c>
      <c r="M1067" s="735"/>
      <c r="N1067" s="735">
        <f t="shared" si="699"/>
        <v>1000</v>
      </c>
      <c r="O1067" s="735">
        <f t="shared" si="697"/>
        <v>37603.600000000006</v>
      </c>
      <c r="P1067" s="735">
        <f t="shared" si="698"/>
        <v>37603.600000000006</v>
      </c>
      <c r="Q1067" s="711">
        <v>1</v>
      </c>
      <c r="R1067" s="735">
        <v>2400.3000000000002</v>
      </c>
      <c r="S1067" s="735"/>
      <c r="T1067" s="735"/>
      <c r="U1067" s="735"/>
      <c r="V1067" s="735"/>
      <c r="W1067" s="735"/>
      <c r="X1067" s="735"/>
      <c r="Y1067" s="735">
        <v>650</v>
      </c>
      <c r="Z1067" s="735">
        <f t="shared" si="691"/>
        <v>3050.3</v>
      </c>
      <c r="AA1067" s="735">
        <v>1000</v>
      </c>
      <c r="AB1067" s="735"/>
      <c r="AC1067" s="735">
        <f t="shared" si="692"/>
        <v>1000</v>
      </c>
      <c r="AD1067" s="735">
        <f t="shared" si="693"/>
        <v>37603.600000000006</v>
      </c>
      <c r="AE1067" s="735">
        <f t="shared" si="694"/>
        <v>37603.600000000006</v>
      </c>
      <c r="AF1067" s="735">
        <f t="shared" si="686"/>
        <v>0</v>
      </c>
      <c r="AG1067" s="824">
        <f t="shared" si="696"/>
        <v>0</v>
      </c>
      <c r="AH1067" s="711">
        <v>1</v>
      </c>
      <c r="AI1067" s="735">
        <f t="shared" si="695"/>
        <v>451244.20000000007</v>
      </c>
    </row>
    <row r="1068" spans="1:35" x14ac:dyDescent="0.2">
      <c r="A1068" s="704"/>
      <c r="B1068" s="711">
        <v>1</v>
      </c>
      <c r="C1068" s="735">
        <v>2400.3000000000002</v>
      </c>
      <c r="D1068" s="735"/>
      <c r="E1068" s="735"/>
      <c r="F1068" s="735"/>
      <c r="G1068" s="735"/>
      <c r="H1068" s="735"/>
      <c r="I1068" s="735"/>
      <c r="J1068" s="735">
        <v>650</v>
      </c>
      <c r="K1068" s="735">
        <f t="shared" si="700"/>
        <v>3050.3</v>
      </c>
      <c r="L1068" s="735">
        <v>1000</v>
      </c>
      <c r="M1068" s="735"/>
      <c r="N1068" s="735">
        <f t="shared" si="699"/>
        <v>1000</v>
      </c>
      <c r="O1068" s="735">
        <f t="shared" si="697"/>
        <v>37603.600000000006</v>
      </c>
      <c r="P1068" s="735">
        <f t="shared" si="698"/>
        <v>37603.600000000006</v>
      </c>
      <c r="Q1068" s="711">
        <v>1</v>
      </c>
      <c r="R1068" s="735">
        <v>2400.3000000000002</v>
      </c>
      <c r="S1068" s="735"/>
      <c r="T1068" s="735"/>
      <c r="U1068" s="735"/>
      <c r="V1068" s="735"/>
      <c r="W1068" s="735"/>
      <c r="X1068" s="735"/>
      <c r="Y1068" s="735">
        <v>650</v>
      </c>
      <c r="Z1068" s="735">
        <f t="shared" si="691"/>
        <v>3050.3</v>
      </c>
      <c r="AA1068" s="735">
        <v>1000</v>
      </c>
      <c r="AB1068" s="735"/>
      <c r="AC1068" s="735">
        <f t="shared" si="692"/>
        <v>1000</v>
      </c>
      <c r="AD1068" s="735">
        <f t="shared" si="693"/>
        <v>37603.600000000006</v>
      </c>
      <c r="AE1068" s="735">
        <f t="shared" si="694"/>
        <v>37603.600000000006</v>
      </c>
      <c r="AF1068" s="735">
        <f t="shared" si="686"/>
        <v>0</v>
      </c>
      <c r="AG1068" s="824">
        <f t="shared" si="696"/>
        <v>0</v>
      </c>
      <c r="AH1068" s="711">
        <v>1</v>
      </c>
      <c r="AI1068" s="735">
        <f t="shared" si="695"/>
        <v>451244.20000000007</v>
      </c>
    </row>
    <row r="1069" spans="1:35" x14ac:dyDescent="0.2">
      <c r="A1069" s="704"/>
      <c r="B1069" s="711">
        <v>1</v>
      </c>
      <c r="C1069" s="735">
        <v>2400.3000000000002</v>
      </c>
      <c r="D1069" s="735"/>
      <c r="E1069" s="735"/>
      <c r="F1069" s="735"/>
      <c r="G1069" s="735"/>
      <c r="H1069" s="735"/>
      <c r="I1069" s="735"/>
      <c r="J1069" s="735">
        <v>0</v>
      </c>
      <c r="K1069" s="735">
        <f t="shared" si="700"/>
        <v>2400.3000000000002</v>
      </c>
      <c r="L1069" s="735">
        <v>1000</v>
      </c>
      <c r="M1069" s="735"/>
      <c r="N1069" s="735">
        <f t="shared" si="699"/>
        <v>1000</v>
      </c>
      <c r="O1069" s="735">
        <f t="shared" si="697"/>
        <v>29803.600000000002</v>
      </c>
      <c r="P1069" s="735">
        <f t="shared" si="698"/>
        <v>29803.600000000002</v>
      </c>
      <c r="Q1069" s="711">
        <v>1</v>
      </c>
      <c r="R1069" s="735">
        <v>2400.3000000000002</v>
      </c>
      <c r="S1069" s="735"/>
      <c r="T1069" s="735"/>
      <c r="U1069" s="735"/>
      <c r="V1069" s="735"/>
      <c r="W1069" s="735"/>
      <c r="X1069" s="735"/>
      <c r="Y1069" s="735">
        <v>0</v>
      </c>
      <c r="Z1069" s="735">
        <f t="shared" si="691"/>
        <v>2400.3000000000002</v>
      </c>
      <c r="AA1069" s="735">
        <v>1000</v>
      </c>
      <c r="AB1069" s="735"/>
      <c r="AC1069" s="735">
        <f t="shared" si="692"/>
        <v>1000</v>
      </c>
      <c r="AD1069" s="735">
        <f t="shared" si="693"/>
        <v>29803.600000000002</v>
      </c>
      <c r="AE1069" s="735">
        <f t="shared" si="694"/>
        <v>29803.600000000002</v>
      </c>
      <c r="AF1069" s="735">
        <f t="shared" si="686"/>
        <v>0</v>
      </c>
      <c r="AG1069" s="824">
        <f t="shared" si="696"/>
        <v>0</v>
      </c>
      <c r="AH1069" s="711">
        <v>1</v>
      </c>
      <c r="AI1069" s="735">
        <f t="shared" si="695"/>
        <v>357644.2</v>
      </c>
    </row>
    <row r="1070" spans="1:35" x14ac:dyDescent="0.2">
      <c r="A1070" s="704"/>
      <c r="B1070" s="711">
        <v>1</v>
      </c>
      <c r="C1070" s="735">
        <v>2400.3000000000002</v>
      </c>
      <c r="D1070" s="735"/>
      <c r="E1070" s="735"/>
      <c r="F1070" s="735"/>
      <c r="G1070" s="735"/>
      <c r="H1070" s="735"/>
      <c r="I1070" s="735"/>
      <c r="J1070" s="735">
        <v>600</v>
      </c>
      <c r="K1070" s="735">
        <f t="shared" si="700"/>
        <v>3000.3</v>
      </c>
      <c r="L1070" s="735">
        <v>1000</v>
      </c>
      <c r="M1070" s="735"/>
      <c r="N1070" s="735">
        <f t="shared" si="699"/>
        <v>1000</v>
      </c>
      <c r="O1070" s="735">
        <f t="shared" si="697"/>
        <v>37003.600000000006</v>
      </c>
      <c r="P1070" s="735">
        <f t="shared" si="698"/>
        <v>37003.600000000006</v>
      </c>
      <c r="Q1070" s="711">
        <v>1</v>
      </c>
      <c r="R1070" s="735">
        <v>2400.3000000000002</v>
      </c>
      <c r="S1070" s="735"/>
      <c r="T1070" s="735"/>
      <c r="U1070" s="735"/>
      <c r="V1070" s="735"/>
      <c r="W1070" s="735"/>
      <c r="X1070" s="735"/>
      <c r="Y1070" s="735">
        <v>600</v>
      </c>
      <c r="Z1070" s="735">
        <f t="shared" si="691"/>
        <v>3000.3</v>
      </c>
      <c r="AA1070" s="735">
        <v>1000</v>
      </c>
      <c r="AB1070" s="735"/>
      <c r="AC1070" s="735">
        <f t="shared" si="692"/>
        <v>1000</v>
      </c>
      <c r="AD1070" s="735">
        <f t="shared" si="693"/>
        <v>37003.600000000006</v>
      </c>
      <c r="AE1070" s="735">
        <f t="shared" si="694"/>
        <v>37003.600000000006</v>
      </c>
      <c r="AF1070" s="735">
        <f t="shared" si="686"/>
        <v>0</v>
      </c>
      <c r="AG1070" s="824">
        <f t="shared" si="696"/>
        <v>0</v>
      </c>
      <c r="AH1070" s="711">
        <v>1</v>
      </c>
      <c r="AI1070" s="735">
        <f t="shared" si="695"/>
        <v>444044.20000000007</v>
      </c>
    </row>
    <row r="1071" spans="1:35" x14ac:dyDescent="0.2">
      <c r="A1071" s="704"/>
      <c r="B1071" s="711">
        <v>1</v>
      </c>
      <c r="C1071" s="735">
        <v>2400.3000000000002</v>
      </c>
      <c r="D1071" s="735"/>
      <c r="E1071" s="735"/>
      <c r="F1071" s="735"/>
      <c r="G1071" s="735"/>
      <c r="H1071" s="735"/>
      <c r="I1071" s="735"/>
      <c r="J1071" s="735">
        <v>650</v>
      </c>
      <c r="K1071" s="735">
        <f t="shared" si="700"/>
        <v>3050.3</v>
      </c>
      <c r="L1071" s="735">
        <v>1000</v>
      </c>
      <c r="M1071" s="735"/>
      <c r="N1071" s="735">
        <f t="shared" si="699"/>
        <v>1000</v>
      </c>
      <c r="O1071" s="735">
        <f t="shared" si="697"/>
        <v>37603.600000000006</v>
      </c>
      <c r="P1071" s="735">
        <f t="shared" si="698"/>
        <v>37603.600000000006</v>
      </c>
      <c r="Q1071" s="711">
        <v>1</v>
      </c>
      <c r="R1071" s="735">
        <v>2400.3000000000002</v>
      </c>
      <c r="S1071" s="735"/>
      <c r="T1071" s="735"/>
      <c r="U1071" s="735"/>
      <c r="V1071" s="735"/>
      <c r="W1071" s="735"/>
      <c r="X1071" s="735"/>
      <c r="Y1071" s="735">
        <v>650</v>
      </c>
      <c r="Z1071" s="735">
        <f t="shared" si="691"/>
        <v>3050.3</v>
      </c>
      <c r="AA1071" s="735">
        <v>1000</v>
      </c>
      <c r="AB1071" s="735"/>
      <c r="AC1071" s="735">
        <f t="shared" si="692"/>
        <v>1000</v>
      </c>
      <c r="AD1071" s="735">
        <f t="shared" si="693"/>
        <v>37603.600000000006</v>
      </c>
      <c r="AE1071" s="735">
        <f t="shared" si="694"/>
        <v>37603.600000000006</v>
      </c>
      <c r="AF1071" s="735">
        <f t="shared" si="686"/>
        <v>0</v>
      </c>
      <c r="AG1071" s="824">
        <f t="shared" si="696"/>
        <v>0</v>
      </c>
      <c r="AH1071" s="711">
        <v>1</v>
      </c>
      <c r="AI1071" s="735">
        <f t="shared" si="695"/>
        <v>451244.20000000007</v>
      </c>
    </row>
    <row r="1072" spans="1:35" x14ac:dyDescent="0.2">
      <c r="A1072" s="704"/>
      <c r="B1072" s="711">
        <v>1</v>
      </c>
      <c r="C1072" s="735">
        <v>2400.3000000000002</v>
      </c>
      <c r="D1072" s="735"/>
      <c r="E1072" s="735"/>
      <c r="F1072" s="735"/>
      <c r="G1072" s="735"/>
      <c r="H1072" s="735"/>
      <c r="I1072" s="735"/>
      <c r="J1072" s="735">
        <v>790</v>
      </c>
      <c r="K1072" s="735">
        <f t="shared" si="700"/>
        <v>3190.3</v>
      </c>
      <c r="L1072" s="735">
        <v>1000</v>
      </c>
      <c r="M1072" s="735"/>
      <c r="N1072" s="735">
        <f t="shared" si="699"/>
        <v>1000</v>
      </c>
      <c r="O1072" s="735">
        <f t="shared" si="697"/>
        <v>39283.600000000006</v>
      </c>
      <c r="P1072" s="735">
        <f t="shared" si="698"/>
        <v>39283.600000000006</v>
      </c>
      <c r="Q1072" s="711">
        <v>1</v>
      </c>
      <c r="R1072" s="735">
        <v>2400.3000000000002</v>
      </c>
      <c r="S1072" s="735"/>
      <c r="T1072" s="735"/>
      <c r="U1072" s="735"/>
      <c r="V1072" s="735"/>
      <c r="W1072" s="735"/>
      <c r="X1072" s="735"/>
      <c r="Y1072" s="735">
        <v>790</v>
      </c>
      <c r="Z1072" s="735">
        <f t="shared" si="691"/>
        <v>3190.3</v>
      </c>
      <c r="AA1072" s="735">
        <v>1000</v>
      </c>
      <c r="AB1072" s="735"/>
      <c r="AC1072" s="735">
        <f t="shared" si="692"/>
        <v>1000</v>
      </c>
      <c r="AD1072" s="735">
        <f t="shared" si="693"/>
        <v>39283.600000000006</v>
      </c>
      <c r="AE1072" s="735">
        <f t="shared" si="694"/>
        <v>39283.600000000006</v>
      </c>
      <c r="AF1072" s="735">
        <f t="shared" si="686"/>
        <v>0</v>
      </c>
      <c r="AG1072" s="824">
        <f t="shared" si="696"/>
        <v>0</v>
      </c>
      <c r="AH1072" s="711">
        <v>1</v>
      </c>
      <c r="AI1072" s="735">
        <f t="shared" si="695"/>
        <v>471404.20000000007</v>
      </c>
    </row>
    <row r="1073" spans="1:35" x14ac:dyDescent="0.2">
      <c r="A1073" s="704"/>
      <c r="B1073" s="711">
        <v>1</v>
      </c>
      <c r="C1073" s="735">
        <v>2400.3000000000002</v>
      </c>
      <c r="D1073" s="735"/>
      <c r="E1073" s="735"/>
      <c r="F1073" s="735"/>
      <c r="G1073" s="735"/>
      <c r="H1073" s="735"/>
      <c r="I1073" s="735"/>
      <c r="J1073" s="735">
        <v>0</v>
      </c>
      <c r="K1073" s="735">
        <f t="shared" si="700"/>
        <v>2400.3000000000002</v>
      </c>
      <c r="L1073" s="735">
        <v>1000</v>
      </c>
      <c r="M1073" s="735"/>
      <c r="N1073" s="735">
        <f t="shared" si="699"/>
        <v>1000</v>
      </c>
      <c r="O1073" s="735">
        <f t="shared" si="697"/>
        <v>29803.600000000002</v>
      </c>
      <c r="P1073" s="735">
        <f t="shared" si="698"/>
        <v>29803.600000000002</v>
      </c>
      <c r="Q1073" s="711">
        <v>1</v>
      </c>
      <c r="R1073" s="735">
        <v>2400.3000000000002</v>
      </c>
      <c r="S1073" s="735"/>
      <c r="T1073" s="735"/>
      <c r="U1073" s="735"/>
      <c r="V1073" s="735"/>
      <c r="W1073" s="735"/>
      <c r="X1073" s="735"/>
      <c r="Y1073" s="735">
        <v>0</v>
      </c>
      <c r="Z1073" s="735">
        <f t="shared" si="691"/>
        <v>2400.3000000000002</v>
      </c>
      <c r="AA1073" s="735">
        <v>1000</v>
      </c>
      <c r="AB1073" s="735"/>
      <c r="AC1073" s="735">
        <f t="shared" si="692"/>
        <v>1000</v>
      </c>
      <c r="AD1073" s="735">
        <f t="shared" si="693"/>
        <v>29803.600000000002</v>
      </c>
      <c r="AE1073" s="735">
        <f t="shared" si="694"/>
        <v>29803.600000000002</v>
      </c>
      <c r="AF1073" s="735">
        <f t="shared" si="686"/>
        <v>0</v>
      </c>
      <c r="AG1073" s="824">
        <f t="shared" si="696"/>
        <v>0</v>
      </c>
      <c r="AH1073" s="711">
        <v>1</v>
      </c>
      <c r="AI1073" s="735">
        <f t="shared" si="695"/>
        <v>357644.2</v>
      </c>
    </row>
    <row r="1074" spans="1:35" x14ac:dyDescent="0.2">
      <c r="A1074" s="704"/>
      <c r="B1074" s="711">
        <v>1</v>
      </c>
      <c r="C1074" s="735">
        <v>2400.3000000000002</v>
      </c>
      <c r="D1074" s="735"/>
      <c r="E1074" s="735"/>
      <c r="F1074" s="735"/>
      <c r="G1074" s="735"/>
      <c r="H1074" s="735"/>
      <c r="I1074" s="735"/>
      <c r="J1074" s="735">
        <v>0</v>
      </c>
      <c r="K1074" s="735">
        <f t="shared" si="700"/>
        <v>2400.3000000000002</v>
      </c>
      <c r="L1074" s="735">
        <v>1000</v>
      </c>
      <c r="M1074" s="735"/>
      <c r="N1074" s="735">
        <f t="shared" si="699"/>
        <v>1000</v>
      </c>
      <c r="O1074" s="735">
        <f t="shared" si="697"/>
        <v>29803.600000000002</v>
      </c>
      <c r="P1074" s="735">
        <f t="shared" si="698"/>
        <v>29803.600000000002</v>
      </c>
      <c r="Q1074" s="711">
        <v>1</v>
      </c>
      <c r="R1074" s="735">
        <v>2400.3000000000002</v>
      </c>
      <c r="S1074" s="735"/>
      <c r="T1074" s="735"/>
      <c r="U1074" s="735"/>
      <c r="V1074" s="735"/>
      <c r="W1074" s="735"/>
      <c r="X1074" s="735"/>
      <c r="Y1074" s="735">
        <v>0</v>
      </c>
      <c r="Z1074" s="735">
        <f t="shared" si="691"/>
        <v>2400.3000000000002</v>
      </c>
      <c r="AA1074" s="735">
        <v>1000</v>
      </c>
      <c r="AB1074" s="735"/>
      <c r="AC1074" s="735">
        <f t="shared" si="692"/>
        <v>1000</v>
      </c>
      <c r="AD1074" s="735">
        <f t="shared" si="693"/>
        <v>29803.600000000002</v>
      </c>
      <c r="AE1074" s="735">
        <f t="shared" si="694"/>
        <v>29803.600000000002</v>
      </c>
      <c r="AF1074" s="735">
        <f t="shared" si="686"/>
        <v>0</v>
      </c>
      <c r="AG1074" s="824">
        <f t="shared" si="696"/>
        <v>0</v>
      </c>
      <c r="AH1074" s="711">
        <v>1</v>
      </c>
      <c r="AI1074" s="735">
        <f t="shared" si="695"/>
        <v>357644.2</v>
      </c>
    </row>
    <row r="1075" spans="1:35" x14ac:dyDescent="0.2">
      <c r="A1075" s="704"/>
      <c r="B1075" s="711">
        <v>1</v>
      </c>
      <c r="C1075" s="735">
        <v>2400.3000000000002</v>
      </c>
      <c r="D1075" s="735"/>
      <c r="E1075" s="735"/>
      <c r="F1075" s="735"/>
      <c r="G1075" s="735"/>
      <c r="H1075" s="735"/>
      <c r="I1075" s="735"/>
      <c r="J1075" s="735">
        <v>790</v>
      </c>
      <c r="K1075" s="735">
        <f t="shared" si="700"/>
        <v>3190.3</v>
      </c>
      <c r="L1075" s="735">
        <v>1000</v>
      </c>
      <c r="M1075" s="735"/>
      <c r="N1075" s="735">
        <f t="shared" si="699"/>
        <v>1000</v>
      </c>
      <c r="O1075" s="735">
        <f t="shared" si="697"/>
        <v>39283.600000000006</v>
      </c>
      <c r="P1075" s="735">
        <f t="shared" si="698"/>
        <v>39283.600000000006</v>
      </c>
      <c r="Q1075" s="711">
        <v>1</v>
      </c>
      <c r="R1075" s="735">
        <v>2400.3000000000002</v>
      </c>
      <c r="S1075" s="735"/>
      <c r="T1075" s="735"/>
      <c r="U1075" s="735"/>
      <c r="V1075" s="735"/>
      <c r="W1075" s="735"/>
      <c r="X1075" s="735"/>
      <c r="Y1075" s="735">
        <v>790</v>
      </c>
      <c r="Z1075" s="735">
        <f t="shared" si="691"/>
        <v>3190.3</v>
      </c>
      <c r="AA1075" s="735">
        <v>1000</v>
      </c>
      <c r="AB1075" s="735"/>
      <c r="AC1075" s="735">
        <f t="shared" si="692"/>
        <v>1000</v>
      </c>
      <c r="AD1075" s="735">
        <f t="shared" si="693"/>
        <v>39283.600000000006</v>
      </c>
      <c r="AE1075" s="735">
        <f t="shared" si="694"/>
        <v>39283.600000000006</v>
      </c>
      <c r="AF1075" s="735">
        <f t="shared" si="686"/>
        <v>0</v>
      </c>
      <c r="AG1075" s="824">
        <f t="shared" si="696"/>
        <v>0</v>
      </c>
      <c r="AH1075" s="711">
        <v>1</v>
      </c>
      <c r="AI1075" s="735">
        <f t="shared" si="695"/>
        <v>471404.20000000007</v>
      </c>
    </row>
    <row r="1076" spans="1:35" x14ac:dyDescent="0.2">
      <c r="A1076" s="704"/>
      <c r="B1076" s="711">
        <v>1</v>
      </c>
      <c r="C1076" s="735">
        <v>2400.3000000000002</v>
      </c>
      <c r="D1076" s="735"/>
      <c r="E1076" s="735"/>
      <c r="F1076" s="735"/>
      <c r="G1076" s="735"/>
      <c r="H1076" s="735"/>
      <c r="I1076" s="735"/>
      <c r="J1076" s="735">
        <v>740</v>
      </c>
      <c r="K1076" s="735">
        <f t="shared" si="700"/>
        <v>3140.3</v>
      </c>
      <c r="L1076" s="735">
        <v>1000</v>
      </c>
      <c r="M1076" s="735"/>
      <c r="N1076" s="735">
        <f t="shared" si="699"/>
        <v>1000</v>
      </c>
      <c r="O1076" s="735">
        <f t="shared" si="697"/>
        <v>38683.600000000006</v>
      </c>
      <c r="P1076" s="735">
        <f t="shared" si="698"/>
        <v>38683.600000000006</v>
      </c>
      <c r="Q1076" s="711">
        <v>1</v>
      </c>
      <c r="R1076" s="735">
        <v>2400.3000000000002</v>
      </c>
      <c r="S1076" s="735"/>
      <c r="T1076" s="735"/>
      <c r="U1076" s="735"/>
      <c r="V1076" s="735"/>
      <c r="W1076" s="735"/>
      <c r="X1076" s="735"/>
      <c r="Y1076" s="735">
        <v>740</v>
      </c>
      <c r="Z1076" s="735">
        <f t="shared" si="691"/>
        <v>3140.3</v>
      </c>
      <c r="AA1076" s="735">
        <v>1000</v>
      </c>
      <c r="AB1076" s="735"/>
      <c r="AC1076" s="735">
        <f t="shared" si="692"/>
        <v>1000</v>
      </c>
      <c r="AD1076" s="735">
        <f t="shared" si="693"/>
        <v>38683.600000000006</v>
      </c>
      <c r="AE1076" s="735">
        <f t="shared" si="694"/>
        <v>38683.600000000006</v>
      </c>
      <c r="AF1076" s="735">
        <f t="shared" si="686"/>
        <v>0</v>
      </c>
      <c r="AG1076" s="824">
        <f t="shared" si="696"/>
        <v>0</v>
      </c>
      <c r="AH1076" s="711">
        <v>1</v>
      </c>
      <c r="AI1076" s="735">
        <f t="shared" si="695"/>
        <v>464204.20000000007</v>
      </c>
    </row>
    <row r="1077" spans="1:35" x14ac:dyDescent="0.2">
      <c r="A1077" s="704"/>
      <c r="B1077" s="711">
        <v>1</v>
      </c>
      <c r="C1077" s="735">
        <v>2400.3000000000002</v>
      </c>
      <c r="D1077" s="735"/>
      <c r="E1077" s="735"/>
      <c r="F1077" s="735"/>
      <c r="G1077" s="735"/>
      <c r="H1077" s="735"/>
      <c r="I1077" s="735"/>
      <c r="J1077" s="735">
        <v>170</v>
      </c>
      <c r="K1077" s="735">
        <f t="shared" si="700"/>
        <v>2570.3000000000002</v>
      </c>
      <c r="L1077" s="735">
        <v>1000</v>
      </c>
      <c r="M1077" s="735"/>
      <c r="N1077" s="735">
        <f t="shared" si="699"/>
        <v>1000</v>
      </c>
      <c r="O1077" s="735">
        <f t="shared" si="697"/>
        <v>31843.600000000002</v>
      </c>
      <c r="P1077" s="735">
        <f t="shared" si="698"/>
        <v>31843.600000000002</v>
      </c>
      <c r="Q1077" s="711">
        <v>1</v>
      </c>
      <c r="R1077" s="735">
        <v>2400.3000000000002</v>
      </c>
      <c r="S1077" s="735"/>
      <c r="T1077" s="735"/>
      <c r="U1077" s="735"/>
      <c r="V1077" s="735"/>
      <c r="W1077" s="735"/>
      <c r="X1077" s="735"/>
      <c r="Y1077" s="735">
        <v>170</v>
      </c>
      <c r="Z1077" s="735">
        <f t="shared" si="691"/>
        <v>2570.3000000000002</v>
      </c>
      <c r="AA1077" s="735">
        <v>1000</v>
      </c>
      <c r="AB1077" s="735"/>
      <c r="AC1077" s="735">
        <f t="shared" si="692"/>
        <v>1000</v>
      </c>
      <c r="AD1077" s="735">
        <f t="shared" si="693"/>
        <v>31843.600000000002</v>
      </c>
      <c r="AE1077" s="735">
        <f t="shared" si="694"/>
        <v>31843.600000000002</v>
      </c>
      <c r="AF1077" s="735">
        <f t="shared" si="686"/>
        <v>0</v>
      </c>
      <c r="AG1077" s="824">
        <f t="shared" si="696"/>
        <v>0</v>
      </c>
      <c r="AH1077" s="711">
        <v>1</v>
      </c>
      <c r="AI1077" s="735">
        <f t="shared" si="695"/>
        <v>382124.2</v>
      </c>
    </row>
    <row r="1078" spans="1:35" x14ac:dyDescent="0.2">
      <c r="A1078" s="704"/>
      <c r="B1078" s="711">
        <v>1</v>
      </c>
      <c r="C1078" s="735">
        <v>2400.3000000000002</v>
      </c>
      <c r="D1078" s="735"/>
      <c r="E1078" s="735"/>
      <c r="F1078" s="735"/>
      <c r="G1078" s="735"/>
      <c r="H1078" s="735"/>
      <c r="I1078" s="735"/>
      <c r="J1078" s="735">
        <v>0</v>
      </c>
      <c r="K1078" s="735">
        <f t="shared" si="700"/>
        <v>2400.3000000000002</v>
      </c>
      <c r="L1078" s="735">
        <v>1000</v>
      </c>
      <c r="M1078" s="735"/>
      <c r="N1078" s="735">
        <f t="shared" si="699"/>
        <v>1000</v>
      </c>
      <c r="O1078" s="735">
        <f t="shared" si="697"/>
        <v>29803.600000000002</v>
      </c>
      <c r="P1078" s="735">
        <f t="shared" si="698"/>
        <v>29803.600000000002</v>
      </c>
      <c r="Q1078" s="711">
        <v>1</v>
      </c>
      <c r="R1078" s="735">
        <v>2400.3000000000002</v>
      </c>
      <c r="S1078" s="735"/>
      <c r="T1078" s="735"/>
      <c r="U1078" s="735"/>
      <c r="V1078" s="735"/>
      <c r="W1078" s="735"/>
      <c r="X1078" s="735"/>
      <c r="Y1078" s="735">
        <v>0</v>
      </c>
      <c r="Z1078" s="735">
        <f t="shared" si="691"/>
        <v>2400.3000000000002</v>
      </c>
      <c r="AA1078" s="735">
        <v>1000</v>
      </c>
      <c r="AB1078" s="735"/>
      <c r="AC1078" s="735">
        <f t="shared" si="692"/>
        <v>1000</v>
      </c>
      <c r="AD1078" s="735">
        <f t="shared" si="693"/>
        <v>29803.600000000002</v>
      </c>
      <c r="AE1078" s="735">
        <f t="shared" si="694"/>
        <v>29803.600000000002</v>
      </c>
      <c r="AF1078" s="735">
        <f t="shared" si="686"/>
        <v>0</v>
      </c>
      <c r="AG1078" s="824">
        <f t="shared" si="696"/>
        <v>0</v>
      </c>
      <c r="AH1078" s="711">
        <v>1</v>
      </c>
      <c r="AI1078" s="735">
        <f t="shared" si="695"/>
        <v>357644.2</v>
      </c>
    </row>
    <row r="1079" spans="1:35" x14ac:dyDescent="0.2">
      <c r="A1079" s="704"/>
      <c r="B1079" s="711">
        <v>1</v>
      </c>
      <c r="C1079" s="735">
        <v>2400.3000000000002</v>
      </c>
      <c r="D1079" s="735"/>
      <c r="E1079" s="735"/>
      <c r="F1079" s="735"/>
      <c r="G1079" s="735"/>
      <c r="H1079" s="735"/>
      <c r="I1079" s="735"/>
      <c r="J1079" s="735">
        <v>600</v>
      </c>
      <c r="K1079" s="735">
        <f t="shared" si="700"/>
        <v>3000.3</v>
      </c>
      <c r="L1079" s="735">
        <v>1000</v>
      </c>
      <c r="M1079" s="735"/>
      <c r="N1079" s="735">
        <f t="shared" si="699"/>
        <v>1000</v>
      </c>
      <c r="O1079" s="735">
        <f t="shared" si="697"/>
        <v>37003.600000000006</v>
      </c>
      <c r="P1079" s="735">
        <f t="shared" si="698"/>
        <v>37003.600000000006</v>
      </c>
      <c r="Q1079" s="711">
        <v>1</v>
      </c>
      <c r="R1079" s="735">
        <v>2400.3000000000002</v>
      </c>
      <c r="S1079" s="735"/>
      <c r="T1079" s="735"/>
      <c r="U1079" s="735"/>
      <c r="V1079" s="735"/>
      <c r="W1079" s="735"/>
      <c r="X1079" s="735"/>
      <c r="Y1079" s="735">
        <v>600</v>
      </c>
      <c r="Z1079" s="735">
        <f t="shared" si="691"/>
        <v>3000.3</v>
      </c>
      <c r="AA1079" s="735">
        <v>1000</v>
      </c>
      <c r="AB1079" s="735"/>
      <c r="AC1079" s="735">
        <f t="shared" si="692"/>
        <v>1000</v>
      </c>
      <c r="AD1079" s="735">
        <f t="shared" si="693"/>
        <v>37003.600000000006</v>
      </c>
      <c r="AE1079" s="735">
        <f t="shared" si="694"/>
        <v>37003.600000000006</v>
      </c>
      <c r="AF1079" s="735">
        <f t="shared" si="686"/>
        <v>0</v>
      </c>
      <c r="AG1079" s="824">
        <f t="shared" si="696"/>
        <v>0</v>
      </c>
      <c r="AH1079" s="711">
        <v>1</v>
      </c>
      <c r="AI1079" s="735">
        <f t="shared" si="695"/>
        <v>444044.20000000007</v>
      </c>
    </row>
    <row r="1080" spans="1:35" x14ac:dyDescent="0.2">
      <c r="A1080" s="704"/>
      <c r="B1080" s="711">
        <v>1</v>
      </c>
      <c r="C1080" s="735">
        <v>2400.3000000000002</v>
      </c>
      <c r="D1080" s="735"/>
      <c r="E1080" s="735"/>
      <c r="F1080" s="735"/>
      <c r="G1080" s="735"/>
      <c r="H1080" s="735"/>
      <c r="I1080" s="735"/>
      <c r="J1080" s="735">
        <v>0</v>
      </c>
      <c r="K1080" s="735">
        <f t="shared" si="700"/>
        <v>2400.3000000000002</v>
      </c>
      <c r="L1080" s="735">
        <v>1000</v>
      </c>
      <c r="M1080" s="735"/>
      <c r="N1080" s="735">
        <f t="shared" si="699"/>
        <v>1000</v>
      </c>
      <c r="O1080" s="735">
        <f t="shared" si="697"/>
        <v>29803.600000000002</v>
      </c>
      <c r="P1080" s="735">
        <f t="shared" si="698"/>
        <v>29803.600000000002</v>
      </c>
      <c r="Q1080" s="711">
        <v>1</v>
      </c>
      <c r="R1080" s="735">
        <v>2400.3000000000002</v>
      </c>
      <c r="S1080" s="735"/>
      <c r="T1080" s="735"/>
      <c r="U1080" s="735"/>
      <c r="V1080" s="735"/>
      <c r="W1080" s="735"/>
      <c r="X1080" s="735"/>
      <c r="Y1080" s="735">
        <v>0</v>
      </c>
      <c r="Z1080" s="735">
        <f t="shared" si="691"/>
        <v>2400.3000000000002</v>
      </c>
      <c r="AA1080" s="735">
        <v>1000</v>
      </c>
      <c r="AB1080" s="735"/>
      <c r="AC1080" s="735">
        <f t="shared" si="692"/>
        <v>1000</v>
      </c>
      <c r="AD1080" s="735">
        <f t="shared" si="693"/>
        <v>29803.600000000002</v>
      </c>
      <c r="AE1080" s="735">
        <f t="shared" si="694"/>
        <v>29803.600000000002</v>
      </c>
      <c r="AF1080" s="735">
        <f t="shared" si="686"/>
        <v>0</v>
      </c>
      <c r="AG1080" s="824">
        <f t="shared" si="696"/>
        <v>0</v>
      </c>
      <c r="AH1080" s="711">
        <v>1</v>
      </c>
      <c r="AI1080" s="735">
        <f t="shared" si="695"/>
        <v>357644.2</v>
      </c>
    </row>
    <row r="1081" spans="1:35" x14ac:dyDescent="0.2">
      <c r="A1081" s="704"/>
      <c r="B1081" s="711">
        <v>1</v>
      </c>
      <c r="C1081" s="735">
        <v>2400.3000000000002</v>
      </c>
      <c r="D1081" s="735"/>
      <c r="E1081" s="735"/>
      <c r="F1081" s="735"/>
      <c r="G1081" s="735"/>
      <c r="H1081" s="735"/>
      <c r="I1081" s="735"/>
      <c r="J1081" s="735">
        <v>0</v>
      </c>
      <c r="K1081" s="735">
        <f t="shared" si="700"/>
        <v>2400.3000000000002</v>
      </c>
      <c r="L1081" s="735">
        <v>1000</v>
      </c>
      <c r="M1081" s="735"/>
      <c r="N1081" s="735">
        <f t="shared" si="699"/>
        <v>1000</v>
      </c>
      <c r="O1081" s="735">
        <f t="shared" si="697"/>
        <v>29803.600000000002</v>
      </c>
      <c r="P1081" s="735">
        <f t="shared" si="698"/>
        <v>29803.600000000002</v>
      </c>
      <c r="Q1081" s="711">
        <v>1</v>
      </c>
      <c r="R1081" s="735">
        <v>2400.3000000000002</v>
      </c>
      <c r="S1081" s="735"/>
      <c r="T1081" s="735"/>
      <c r="U1081" s="735"/>
      <c r="V1081" s="735"/>
      <c r="W1081" s="735"/>
      <c r="X1081" s="735"/>
      <c r="Y1081" s="735">
        <v>0</v>
      </c>
      <c r="Z1081" s="735">
        <f t="shared" si="691"/>
        <v>2400.3000000000002</v>
      </c>
      <c r="AA1081" s="735">
        <v>1000</v>
      </c>
      <c r="AB1081" s="735"/>
      <c r="AC1081" s="735">
        <f t="shared" si="692"/>
        <v>1000</v>
      </c>
      <c r="AD1081" s="735">
        <f t="shared" si="693"/>
        <v>29803.600000000002</v>
      </c>
      <c r="AE1081" s="735">
        <f t="shared" si="694"/>
        <v>29803.600000000002</v>
      </c>
      <c r="AF1081" s="735">
        <f t="shared" si="686"/>
        <v>0</v>
      </c>
      <c r="AG1081" s="824">
        <f t="shared" si="696"/>
        <v>0</v>
      </c>
      <c r="AH1081" s="711">
        <v>1</v>
      </c>
      <c r="AI1081" s="735">
        <f t="shared" si="695"/>
        <v>357644.2</v>
      </c>
    </row>
    <row r="1082" spans="1:35" x14ac:dyDescent="0.2">
      <c r="A1082" s="704"/>
      <c r="B1082" s="711">
        <v>1</v>
      </c>
      <c r="C1082" s="735">
        <v>2400.3000000000002</v>
      </c>
      <c r="D1082" s="735"/>
      <c r="E1082" s="735"/>
      <c r="F1082" s="735"/>
      <c r="G1082" s="735"/>
      <c r="H1082" s="735"/>
      <c r="I1082" s="735"/>
      <c r="J1082" s="735">
        <v>0</v>
      </c>
      <c r="K1082" s="735">
        <f t="shared" si="700"/>
        <v>2400.3000000000002</v>
      </c>
      <c r="L1082" s="735">
        <v>1000</v>
      </c>
      <c r="M1082" s="735"/>
      <c r="N1082" s="735">
        <f t="shared" si="699"/>
        <v>1000</v>
      </c>
      <c r="O1082" s="735">
        <f t="shared" si="697"/>
        <v>29803.600000000002</v>
      </c>
      <c r="P1082" s="735">
        <f t="shared" si="698"/>
        <v>29803.600000000002</v>
      </c>
      <c r="Q1082" s="711">
        <v>1</v>
      </c>
      <c r="R1082" s="735">
        <v>2400.3000000000002</v>
      </c>
      <c r="S1082" s="735"/>
      <c r="T1082" s="735"/>
      <c r="U1082" s="735"/>
      <c r="V1082" s="735"/>
      <c r="W1082" s="735"/>
      <c r="X1082" s="735"/>
      <c r="Y1082" s="735">
        <v>0</v>
      </c>
      <c r="Z1082" s="735">
        <f t="shared" si="691"/>
        <v>2400.3000000000002</v>
      </c>
      <c r="AA1082" s="735">
        <v>1000</v>
      </c>
      <c r="AB1082" s="735"/>
      <c r="AC1082" s="735">
        <f t="shared" si="692"/>
        <v>1000</v>
      </c>
      <c r="AD1082" s="735">
        <f t="shared" si="693"/>
        <v>29803.600000000002</v>
      </c>
      <c r="AE1082" s="735">
        <f t="shared" si="694"/>
        <v>29803.600000000002</v>
      </c>
      <c r="AF1082" s="735">
        <f t="shared" si="686"/>
        <v>0</v>
      </c>
      <c r="AG1082" s="824">
        <f t="shared" si="696"/>
        <v>0</v>
      </c>
      <c r="AH1082" s="711">
        <v>1</v>
      </c>
      <c r="AI1082" s="735">
        <f t="shared" si="695"/>
        <v>357644.2</v>
      </c>
    </row>
    <row r="1083" spans="1:35" x14ac:dyDescent="0.2">
      <c r="A1083" s="704"/>
      <c r="B1083" s="711">
        <v>1</v>
      </c>
      <c r="C1083" s="735">
        <v>2400.3000000000002</v>
      </c>
      <c r="D1083" s="735"/>
      <c r="E1083" s="735"/>
      <c r="F1083" s="735"/>
      <c r="G1083" s="735"/>
      <c r="H1083" s="735"/>
      <c r="I1083" s="735"/>
      <c r="J1083" s="735">
        <v>220</v>
      </c>
      <c r="K1083" s="735">
        <f t="shared" si="700"/>
        <v>2620.3000000000002</v>
      </c>
      <c r="L1083" s="735">
        <v>1000</v>
      </c>
      <c r="M1083" s="735"/>
      <c r="N1083" s="735">
        <f t="shared" si="699"/>
        <v>1000</v>
      </c>
      <c r="O1083" s="735">
        <f t="shared" si="697"/>
        <v>32443.600000000002</v>
      </c>
      <c r="P1083" s="735">
        <f t="shared" si="698"/>
        <v>32443.600000000002</v>
      </c>
      <c r="Q1083" s="711">
        <v>1</v>
      </c>
      <c r="R1083" s="735">
        <v>2400.3000000000002</v>
      </c>
      <c r="S1083" s="735"/>
      <c r="T1083" s="735"/>
      <c r="U1083" s="735"/>
      <c r="V1083" s="735"/>
      <c r="W1083" s="735"/>
      <c r="X1083" s="735"/>
      <c r="Y1083" s="735">
        <v>220</v>
      </c>
      <c r="Z1083" s="735">
        <f t="shared" si="691"/>
        <v>2620.3000000000002</v>
      </c>
      <c r="AA1083" s="735">
        <v>1000</v>
      </c>
      <c r="AB1083" s="735"/>
      <c r="AC1083" s="735">
        <f t="shared" si="692"/>
        <v>1000</v>
      </c>
      <c r="AD1083" s="735">
        <f t="shared" si="693"/>
        <v>32443.600000000002</v>
      </c>
      <c r="AE1083" s="735">
        <f t="shared" si="694"/>
        <v>32443.600000000002</v>
      </c>
      <c r="AF1083" s="735">
        <f t="shared" si="686"/>
        <v>0</v>
      </c>
      <c r="AG1083" s="824">
        <f t="shared" si="696"/>
        <v>0</v>
      </c>
      <c r="AH1083" s="711">
        <v>1</v>
      </c>
      <c r="AI1083" s="735">
        <f t="shared" si="695"/>
        <v>389324.2</v>
      </c>
    </row>
    <row r="1084" spans="1:35" x14ac:dyDescent="0.2">
      <c r="A1084" s="704"/>
      <c r="B1084" s="711">
        <v>1</v>
      </c>
      <c r="C1084" s="735">
        <v>2400.3000000000002</v>
      </c>
      <c r="D1084" s="735"/>
      <c r="E1084" s="735"/>
      <c r="F1084" s="735"/>
      <c r="G1084" s="735"/>
      <c r="H1084" s="735"/>
      <c r="I1084" s="735"/>
      <c r="J1084" s="735">
        <v>0</v>
      </c>
      <c r="K1084" s="735">
        <f t="shared" si="700"/>
        <v>2400.3000000000002</v>
      </c>
      <c r="L1084" s="735">
        <v>1000</v>
      </c>
      <c r="M1084" s="735"/>
      <c r="N1084" s="735">
        <f t="shared" si="699"/>
        <v>1000</v>
      </c>
      <c r="O1084" s="735">
        <f t="shared" si="697"/>
        <v>29803.600000000002</v>
      </c>
      <c r="P1084" s="735">
        <f t="shared" si="698"/>
        <v>29803.600000000002</v>
      </c>
      <c r="Q1084" s="711">
        <v>1</v>
      </c>
      <c r="R1084" s="735">
        <v>2400.3000000000002</v>
      </c>
      <c r="S1084" s="735"/>
      <c r="T1084" s="735"/>
      <c r="U1084" s="735"/>
      <c r="V1084" s="735"/>
      <c r="W1084" s="735"/>
      <c r="X1084" s="735"/>
      <c r="Y1084" s="735">
        <v>0</v>
      </c>
      <c r="Z1084" s="735">
        <f t="shared" si="691"/>
        <v>2400.3000000000002</v>
      </c>
      <c r="AA1084" s="735">
        <v>1000</v>
      </c>
      <c r="AB1084" s="735"/>
      <c r="AC1084" s="735">
        <f t="shared" si="692"/>
        <v>1000</v>
      </c>
      <c r="AD1084" s="735">
        <f t="shared" si="693"/>
        <v>29803.600000000002</v>
      </c>
      <c r="AE1084" s="735">
        <f t="shared" si="694"/>
        <v>29803.600000000002</v>
      </c>
      <c r="AF1084" s="735">
        <f t="shared" si="686"/>
        <v>0</v>
      </c>
      <c r="AG1084" s="824">
        <f t="shared" si="696"/>
        <v>0</v>
      </c>
      <c r="AH1084" s="711">
        <v>1</v>
      </c>
      <c r="AI1084" s="735">
        <f t="shared" si="695"/>
        <v>357644.2</v>
      </c>
    </row>
    <row r="1085" spans="1:35" x14ac:dyDescent="0.2">
      <c r="A1085" s="704"/>
      <c r="B1085" s="711">
        <v>1</v>
      </c>
      <c r="C1085" s="735">
        <v>2400.3000000000002</v>
      </c>
      <c r="D1085" s="735"/>
      <c r="E1085" s="735"/>
      <c r="F1085" s="735"/>
      <c r="G1085" s="735"/>
      <c r="H1085" s="735"/>
      <c r="I1085" s="735"/>
      <c r="J1085" s="735">
        <v>0</v>
      </c>
      <c r="K1085" s="735">
        <f t="shared" si="700"/>
        <v>2400.3000000000002</v>
      </c>
      <c r="L1085" s="735">
        <v>1000</v>
      </c>
      <c r="M1085" s="735"/>
      <c r="N1085" s="735">
        <f t="shared" si="699"/>
        <v>1000</v>
      </c>
      <c r="O1085" s="735">
        <f t="shared" si="697"/>
        <v>29803.600000000002</v>
      </c>
      <c r="P1085" s="735">
        <f t="shared" si="698"/>
        <v>29803.600000000002</v>
      </c>
      <c r="Q1085" s="711">
        <v>1</v>
      </c>
      <c r="R1085" s="735">
        <v>2400.3000000000002</v>
      </c>
      <c r="S1085" s="735"/>
      <c r="T1085" s="735"/>
      <c r="U1085" s="735"/>
      <c r="V1085" s="735"/>
      <c r="W1085" s="735"/>
      <c r="X1085" s="735"/>
      <c r="Y1085" s="735">
        <v>0</v>
      </c>
      <c r="Z1085" s="735">
        <f t="shared" si="691"/>
        <v>2400.3000000000002</v>
      </c>
      <c r="AA1085" s="735">
        <v>1000</v>
      </c>
      <c r="AB1085" s="735"/>
      <c r="AC1085" s="735">
        <f t="shared" si="692"/>
        <v>1000</v>
      </c>
      <c r="AD1085" s="735">
        <f t="shared" si="693"/>
        <v>29803.600000000002</v>
      </c>
      <c r="AE1085" s="735">
        <f t="shared" si="694"/>
        <v>29803.600000000002</v>
      </c>
      <c r="AF1085" s="735">
        <f t="shared" si="686"/>
        <v>0</v>
      </c>
      <c r="AG1085" s="824">
        <f t="shared" si="696"/>
        <v>0</v>
      </c>
      <c r="AH1085" s="711">
        <v>1</v>
      </c>
      <c r="AI1085" s="735">
        <f t="shared" si="695"/>
        <v>357644.2</v>
      </c>
    </row>
    <row r="1086" spans="1:35" x14ac:dyDescent="0.2">
      <c r="A1086" s="704"/>
      <c r="B1086" s="711">
        <v>1</v>
      </c>
      <c r="C1086" s="735">
        <v>2400.3000000000002</v>
      </c>
      <c r="D1086" s="735"/>
      <c r="E1086" s="735"/>
      <c r="F1086" s="735"/>
      <c r="G1086" s="735"/>
      <c r="H1086" s="735"/>
      <c r="I1086" s="735"/>
      <c r="J1086" s="735">
        <v>0</v>
      </c>
      <c r="K1086" s="735">
        <f t="shared" si="700"/>
        <v>2400.3000000000002</v>
      </c>
      <c r="L1086" s="735">
        <v>1000</v>
      </c>
      <c r="M1086" s="735"/>
      <c r="N1086" s="735">
        <f t="shared" si="699"/>
        <v>1000</v>
      </c>
      <c r="O1086" s="735">
        <f t="shared" si="697"/>
        <v>29803.600000000002</v>
      </c>
      <c r="P1086" s="735">
        <f t="shared" si="698"/>
        <v>29803.600000000002</v>
      </c>
      <c r="Q1086" s="711">
        <v>1</v>
      </c>
      <c r="R1086" s="735">
        <v>2400.3000000000002</v>
      </c>
      <c r="S1086" s="735"/>
      <c r="T1086" s="735"/>
      <c r="U1086" s="735"/>
      <c r="V1086" s="735"/>
      <c r="W1086" s="735"/>
      <c r="X1086" s="735"/>
      <c r="Y1086" s="735">
        <v>0</v>
      </c>
      <c r="Z1086" s="735">
        <f t="shared" si="691"/>
        <v>2400.3000000000002</v>
      </c>
      <c r="AA1086" s="735">
        <v>1000</v>
      </c>
      <c r="AB1086" s="735"/>
      <c r="AC1086" s="735">
        <f t="shared" si="692"/>
        <v>1000</v>
      </c>
      <c r="AD1086" s="735">
        <f t="shared" si="693"/>
        <v>29803.600000000002</v>
      </c>
      <c r="AE1086" s="735">
        <f t="shared" si="694"/>
        <v>29803.600000000002</v>
      </c>
      <c r="AF1086" s="735">
        <f t="shared" si="686"/>
        <v>0</v>
      </c>
      <c r="AG1086" s="824">
        <f t="shared" si="696"/>
        <v>0</v>
      </c>
      <c r="AH1086" s="711">
        <v>1</v>
      </c>
      <c r="AI1086" s="735">
        <f t="shared" si="695"/>
        <v>357644.2</v>
      </c>
    </row>
    <row r="1087" spans="1:35" x14ac:dyDescent="0.2">
      <c r="A1087" s="704"/>
      <c r="B1087" s="711">
        <v>1</v>
      </c>
      <c r="C1087" s="735">
        <v>2400.3000000000002</v>
      </c>
      <c r="D1087" s="735"/>
      <c r="E1087" s="735"/>
      <c r="F1087" s="735"/>
      <c r="G1087" s="735"/>
      <c r="H1087" s="735"/>
      <c r="I1087" s="735"/>
      <c r="J1087" s="735">
        <v>0</v>
      </c>
      <c r="K1087" s="735">
        <f t="shared" si="700"/>
        <v>2400.3000000000002</v>
      </c>
      <c r="L1087" s="735">
        <v>1000</v>
      </c>
      <c r="M1087" s="735"/>
      <c r="N1087" s="735">
        <f t="shared" si="699"/>
        <v>1000</v>
      </c>
      <c r="O1087" s="735">
        <f t="shared" si="697"/>
        <v>29803.600000000002</v>
      </c>
      <c r="P1087" s="735">
        <f t="shared" si="698"/>
        <v>29803.600000000002</v>
      </c>
      <c r="Q1087" s="711">
        <v>1</v>
      </c>
      <c r="R1087" s="735">
        <v>2400.3000000000002</v>
      </c>
      <c r="S1087" s="735"/>
      <c r="T1087" s="735"/>
      <c r="U1087" s="735"/>
      <c r="V1087" s="735"/>
      <c r="W1087" s="735"/>
      <c r="X1087" s="735"/>
      <c r="Y1087" s="735">
        <v>0</v>
      </c>
      <c r="Z1087" s="735">
        <f t="shared" si="691"/>
        <v>2400.3000000000002</v>
      </c>
      <c r="AA1087" s="735">
        <v>1000</v>
      </c>
      <c r="AB1087" s="735"/>
      <c r="AC1087" s="735">
        <f t="shared" si="692"/>
        <v>1000</v>
      </c>
      <c r="AD1087" s="735">
        <f t="shared" si="693"/>
        <v>29803.600000000002</v>
      </c>
      <c r="AE1087" s="735">
        <f t="shared" si="694"/>
        <v>29803.600000000002</v>
      </c>
      <c r="AF1087" s="735">
        <f t="shared" si="686"/>
        <v>0</v>
      </c>
      <c r="AG1087" s="824">
        <f t="shared" si="696"/>
        <v>0</v>
      </c>
      <c r="AH1087" s="711">
        <v>1</v>
      </c>
      <c r="AI1087" s="735">
        <f t="shared" si="695"/>
        <v>357644.2</v>
      </c>
    </row>
    <row r="1088" spans="1:35" x14ac:dyDescent="0.2">
      <c r="A1088" s="704"/>
      <c r="B1088" s="711">
        <v>1</v>
      </c>
      <c r="C1088" s="735">
        <v>2400.3000000000002</v>
      </c>
      <c r="D1088" s="735"/>
      <c r="E1088" s="735"/>
      <c r="F1088" s="735"/>
      <c r="G1088" s="735"/>
      <c r="H1088" s="735"/>
      <c r="I1088" s="735"/>
      <c r="J1088" s="735">
        <v>850</v>
      </c>
      <c r="K1088" s="735">
        <f t="shared" si="700"/>
        <v>3250.3</v>
      </c>
      <c r="L1088" s="735">
        <v>1000</v>
      </c>
      <c r="M1088" s="735"/>
      <c r="N1088" s="735">
        <f t="shared" si="699"/>
        <v>1000</v>
      </c>
      <c r="O1088" s="735">
        <f t="shared" si="697"/>
        <v>40003.600000000006</v>
      </c>
      <c r="P1088" s="735">
        <f t="shared" si="698"/>
        <v>40003.600000000006</v>
      </c>
      <c r="Q1088" s="711">
        <v>1</v>
      </c>
      <c r="R1088" s="735">
        <v>2400.3000000000002</v>
      </c>
      <c r="S1088" s="735"/>
      <c r="T1088" s="735"/>
      <c r="U1088" s="735"/>
      <c r="V1088" s="735"/>
      <c r="W1088" s="735"/>
      <c r="X1088" s="735"/>
      <c r="Y1088" s="735">
        <v>850</v>
      </c>
      <c r="Z1088" s="735">
        <f t="shared" si="691"/>
        <v>3250.3</v>
      </c>
      <c r="AA1088" s="735">
        <v>1000</v>
      </c>
      <c r="AB1088" s="735"/>
      <c r="AC1088" s="735">
        <f t="shared" si="692"/>
        <v>1000</v>
      </c>
      <c r="AD1088" s="735">
        <f t="shared" si="693"/>
        <v>40003.600000000006</v>
      </c>
      <c r="AE1088" s="735">
        <f t="shared" si="694"/>
        <v>40003.600000000006</v>
      </c>
      <c r="AF1088" s="735">
        <f t="shared" ref="AF1088:AF1151" si="701">AD1088-O1088</f>
        <v>0</v>
      </c>
      <c r="AG1088" s="824">
        <f t="shared" si="696"/>
        <v>0</v>
      </c>
      <c r="AH1088" s="711">
        <v>1</v>
      </c>
      <c r="AI1088" s="735">
        <f t="shared" si="695"/>
        <v>480044.20000000007</v>
      </c>
    </row>
    <row r="1089" spans="1:35" x14ac:dyDescent="0.2">
      <c r="A1089" s="704"/>
      <c r="B1089" s="711">
        <v>1</v>
      </c>
      <c r="C1089" s="735">
        <v>2400.3000000000002</v>
      </c>
      <c r="D1089" s="735"/>
      <c r="E1089" s="735"/>
      <c r="F1089" s="735"/>
      <c r="G1089" s="735"/>
      <c r="H1089" s="735"/>
      <c r="I1089" s="735"/>
      <c r="J1089" s="735">
        <v>200</v>
      </c>
      <c r="K1089" s="735">
        <f t="shared" si="700"/>
        <v>2600.3000000000002</v>
      </c>
      <c r="L1089" s="735">
        <v>1000</v>
      </c>
      <c r="M1089" s="735"/>
      <c r="N1089" s="735">
        <f t="shared" si="699"/>
        <v>1000</v>
      </c>
      <c r="O1089" s="735">
        <f t="shared" si="697"/>
        <v>32203.600000000002</v>
      </c>
      <c r="P1089" s="735">
        <f t="shared" si="698"/>
        <v>32203.600000000002</v>
      </c>
      <c r="Q1089" s="711">
        <v>1</v>
      </c>
      <c r="R1089" s="735">
        <v>2400.3000000000002</v>
      </c>
      <c r="S1089" s="735"/>
      <c r="T1089" s="735"/>
      <c r="U1089" s="735"/>
      <c r="V1089" s="735"/>
      <c r="W1089" s="735"/>
      <c r="X1089" s="735"/>
      <c r="Y1089" s="735">
        <v>200</v>
      </c>
      <c r="Z1089" s="735">
        <f t="shared" si="691"/>
        <v>2600.3000000000002</v>
      </c>
      <c r="AA1089" s="735">
        <v>1000</v>
      </c>
      <c r="AB1089" s="735"/>
      <c r="AC1089" s="735">
        <f t="shared" si="692"/>
        <v>1000</v>
      </c>
      <c r="AD1089" s="735">
        <f t="shared" si="693"/>
        <v>32203.600000000002</v>
      </c>
      <c r="AE1089" s="735">
        <f t="shared" si="694"/>
        <v>32203.600000000002</v>
      </c>
      <c r="AF1089" s="735">
        <f t="shared" si="701"/>
        <v>0</v>
      </c>
      <c r="AG1089" s="824">
        <f t="shared" si="696"/>
        <v>0</v>
      </c>
      <c r="AH1089" s="711">
        <v>1</v>
      </c>
      <c r="AI1089" s="735">
        <f t="shared" si="695"/>
        <v>386444.2</v>
      </c>
    </row>
    <row r="1090" spans="1:35" x14ac:dyDescent="0.2">
      <c r="A1090" s="704"/>
      <c r="B1090" s="711">
        <v>1</v>
      </c>
      <c r="C1090" s="735">
        <v>2400.3000000000002</v>
      </c>
      <c r="D1090" s="735"/>
      <c r="E1090" s="735"/>
      <c r="F1090" s="735"/>
      <c r="G1090" s="735"/>
      <c r="H1090" s="735"/>
      <c r="I1090" s="735"/>
      <c r="J1090" s="735">
        <v>600</v>
      </c>
      <c r="K1090" s="735">
        <f t="shared" si="700"/>
        <v>3000.3</v>
      </c>
      <c r="L1090" s="735">
        <v>1000</v>
      </c>
      <c r="M1090" s="735"/>
      <c r="N1090" s="735">
        <f t="shared" si="699"/>
        <v>1000</v>
      </c>
      <c r="O1090" s="735">
        <f t="shared" si="697"/>
        <v>37003.600000000006</v>
      </c>
      <c r="P1090" s="735">
        <f t="shared" si="698"/>
        <v>37003.600000000006</v>
      </c>
      <c r="Q1090" s="711">
        <v>1</v>
      </c>
      <c r="R1090" s="735">
        <v>2400.3000000000002</v>
      </c>
      <c r="S1090" s="735"/>
      <c r="T1090" s="735"/>
      <c r="U1090" s="735"/>
      <c r="V1090" s="735"/>
      <c r="W1090" s="735"/>
      <c r="X1090" s="735"/>
      <c r="Y1090" s="735">
        <v>600</v>
      </c>
      <c r="Z1090" s="735">
        <f t="shared" si="691"/>
        <v>3000.3</v>
      </c>
      <c r="AA1090" s="735">
        <v>1000</v>
      </c>
      <c r="AB1090" s="735"/>
      <c r="AC1090" s="735">
        <f t="shared" si="692"/>
        <v>1000</v>
      </c>
      <c r="AD1090" s="735">
        <f t="shared" si="693"/>
        <v>37003.600000000006</v>
      </c>
      <c r="AE1090" s="735">
        <f t="shared" si="694"/>
        <v>37003.600000000006</v>
      </c>
      <c r="AF1090" s="735">
        <f t="shared" si="701"/>
        <v>0</v>
      </c>
      <c r="AG1090" s="824">
        <f t="shared" si="696"/>
        <v>0</v>
      </c>
      <c r="AH1090" s="711">
        <v>1</v>
      </c>
      <c r="AI1090" s="735">
        <f t="shared" si="695"/>
        <v>444044.20000000007</v>
      </c>
    </row>
    <row r="1091" spans="1:35" x14ac:dyDescent="0.2">
      <c r="A1091" s="704"/>
      <c r="B1091" s="711">
        <v>1</v>
      </c>
      <c r="C1091" s="735">
        <v>2400.3000000000002</v>
      </c>
      <c r="D1091" s="735"/>
      <c r="E1091" s="735"/>
      <c r="F1091" s="735"/>
      <c r="G1091" s="735"/>
      <c r="H1091" s="735"/>
      <c r="I1091" s="735"/>
      <c r="J1091" s="735">
        <v>740</v>
      </c>
      <c r="K1091" s="735">
        <f t="shared" si="700"/>
        <v>3140.3</v>
      </c>
      <c r="L1091" s="735">
        <v>1000</v>
      </c>
      <c r="M1091" s="735"/>
      <c r="N1091" s="735">
        <f t="shared" si="699"/>
        <v>1000</v>
      </c>
      <c r="O1091" s="735">
        <f t="shared" si="697"/>
        <v>38683.600000000006</v>
      </c>
      <c r="P1091" s="735">
        <f t="shared" si="698"/>
        <v>38683.600000000006</v>
      </c>
      <c r="Q1091" s="711">
        <v>1</v>
      </c>
      <c r="R1091" s="735">
        <v>2400.3000000000002</v>
      </c>
      <c r="S1091" s="735"/>
      <c r="T1091" s="735"/>
      <c r="U1091" s="735"/>
      <c r="V1091" s="735"/>
      <c r="W1091" s="735"/>
      <c r="X1091" s="735"/>
      <c r="Y1091" s="735">
        <v>740</v>
      </c>
      <c r="Z1091" s="735">
        <f t="shared" ref="Z1091:Z1144" si="702">SUM(R1091:Y1091)</f>
        <v>3140.3</v>
      </c>
      <c r="AA1091" s="735">
        <v>1000</v>
      </c>
      <c r="AB1091" s="735"/>
      <c r="AC1091" s="735">
        <f t="shared" ref="AC1091:AC1144" si="703">SUM(AA1091:AB1091)</f>
        <v>1000</v>
      </c>
      <c r="AD1091" s="735">
        <f t="shared" ref="AD1091:AD1144" si="704">(Z1091*12)+AC1091</f>
        <v>38683.600000000006</v>
      </c>
      <c r="AE1091" s="735">
        <f t="shared" ref="AE1091:AE1144" si="705">Q1091*AD1091</f>
        <v>38683.600000000006</v>
      </c>
      <c r="AF1091" s="735">
        <f t="shared" si="701"/>
        <v>0</v>
      </c>
      <c r="AG1091" s="824">
        <f t="shared" si="696"/>
        <v>0</v>
      </c>
      <c r="AH1091" s="711">
        <v>1</v>
      </c>
      <c r="AI1091" s="735">
        <f t="shared" ref="AI1091:AI1144" si="706">(AE1091*12)+AH1091</f>
        <v>464204.20000000007</v>
      </c>
    </row>
    <row r="1092" spans="1:35" x14ac:dyDescent="0.2">
      <c r="A1092" s="704"/>
      <c r="B1092" s="711">
        <v>1</v>
      </c>
      <c r="C1092" s="735">
        <v>2400.3000000000002</v>
      </c>
      <c r="D1092" s="735"/>
      <c r="E1092" s="735"/>
      <c r="F1092" s="735"/>
      <c r="G1092" s="735"/>
      <c r="H1092" s="735"/>
      <c r="I1092" s="735"/>
      <c r="J1092" s="735">
        <v>790</v>
      </c>
      <c r="K1092" s="735">
        <f t="shared" si="700"/>
        <v>3190.3</v>
      </c>
      <c r="L1092" s="735">
        <v>1000</v>
      </c>
      <c r="M1092" s="735"/>
      <c r="N1092" s="735">
        <f t="shared" si="699"/>
        <v>1000</v>
      </c>
      <c r="O1092" s="735">
        <f t="shared" si="697"/>
        <v>39283.600000000006</v>
      </c>
      <c r="P1092" s="735">
        <f t="shared" si="698"/>
        <v>39283.600000000006</v>
      </c>
      <c r="Q1092" s="711">
        <v>1</v>
      </c>
      <c r="R1092" s="735">
        <v>2400.3000000000002</v>
      </c>
      <c r="S1092" s="735"/>
      <c r="T1092" s="735"/>
      <c r="U1092" s="735"/>
      <c r="V1092" s="735"/>
      <c r="W1092" s="735"/>
      <c r="X1092" s="735"/>
      <c r="Y1092" s="735">
        <v>790</v>
      </c>
      <c r="Z1092" s="735">
        <f t="shared" si="702"/>
        <v>3190.3</v>
      </c>
      <c r="AA1092" s="735">
        <v>1000</v>
      </c>
      <c r="AB1092" s="735"/>
      <c r="AC1092" s="735">
        <f t="shared" si="703"/>
        <v>1000</v>
      </c>
      <c r="AD1092" s="735">
        <f t="shared" si="704"/>
        <v>39283.600000000006</v>
      </c>
      <c r="AE1092" s="735">
        <f t="shared" si="705"/>
        <v>39283.600000000006</v>
      </c>
      <c r="AF1092" s="735">
        <f t="shared" si="701"/>
        <v>0</v>
      </c>
      <c r="AG1092" s="824">
        <f t="shared" si="696"/>
        <v>0</v>
      </c>
      <c r="AH1092" s="711">
        <v>1</v>
      </c>
      <c r="AI1092" s="735">
        <f t="shared" si="706"/>
        <v>471404.20000000007</v>
      </c>
    </row>
    <row r="1093" spans="1:35" x14ac:dyDescent="0.2">
      <c r="A1093" s="704"/>
      <c r="B1093" s="711">
        <v>1</v>
      </c>
      <c r="C1093" s="735">
        <v>2400.3000000000002</v>
      </c>
      <c r="D1093" s="735"/>
      <c r="E1093" s="735"/>
      <c r="F1093" s="735"/>
      <c r="G1093" s="735"/>
      <c r="H1093" s="735"/>
      <c r="I1093" s="735"/>
      <c r="J1093" s="735">
        <v>740</v>
      </c>
      <c r="K1093" s="735">
        <f t="shared" si="700"/>
        <v>3140.3</v>
      </c>
      <c r="L1093" s="735">
        <v>1000</v>
      </c>
      <c r="M1093" s="735"/>
      <c r="N1093" s="735">
        <f t="shared" si="699"/>
        <v>1000</v>
      </c>
      <c r="O1093" s="735">
        <f t="shared" si="697"/>
        <v>38683.600000000006</v>
      </c>
      <c r="P1093" s="735">
        <f t="shared" si="698"/>
        <v>38683.600000000006</v>
      </c>
      <c r="Q1093" s="711">
        <v>1</v>
      </c>
      <c r="R1093" s="735">
        <v>2400.3000000000002</v>
      </c>
      <c r="S1093" s="735"/>
      <c r="T1093" s="735"/>
      <c r="U1093" s="735"/>
      <c r="V1093" s="735"/>
      <c r="W1093" s="735"/>
      <c r="X1093" s="735"/>
      <c r="Y1093" s="735">
        <v>740</v>
      </c>
      <c r="Z1093" s="735">
        <f t="shared" si="702"/>
        <v>3140.3</v>
      </c>
      <c r="AA1093" s="735">
        <v>1000</v>
      </c>
      <c r="AB1093" s="735"/>
      <c r="AC1093" s="735">
        <f t="shared" si="703"/>
        <v>1000</v>
      </c>
      <c r="AD1093" s="735">
        <f t="shared" si="704"/>
        <v>38683.600000000006</v>
      </c>
      <c r="AE1093" s="735">
        <f t="shared" si="705"/>
        <v>38683.600000000006</v>
      </c>
      <c r="AF1093" s="735">
        <f t="shared" si="701"/>
        <v>0</v>
      </c>
      <c r="AG1093" s="824">
        <f t="shared" si="696"/>
        <v>0</v>
      </c>
      <c r="AH1093" s="711">
        <v>1</v>
      </c>
      <c r="AI1093" s="735">
        <f t="shared" si="706"/>
        <v>464204.20000000007</v>
      </c>
    </row>
    <row r="1094" spans="1:35" x14ac:dyDescent="0.2">
      <c r="A1094" s="704"/>
      <c r="B1094" s="711">
        <v>1</v>
      </c>
      <c r="C1094" s="735">
        <v>2400.3000000000002</v>
      </c>
      <c r="D1094" s="735"/>
      <c r="E1094" s="735"/>
      <c r="F1094" s="735"/>
      <c r="G1094" s="735"/>
      <c r="H1094" s="735"/>
      <c r="I1094" s="735"/>
      <c r="J1094" s="735">
        <v>740</v>
      </c>
      <c r="K1094" s="735">
        <f t="shared" si="700"/>
        <v>3140.3</v>
      </c>
      <c r="L1094" s="735">
        <v>1000</v>
      </c>
      <c r="M1094" s="735"/>
      <c r="N1094" s="735">
        <f t="shared" si="699"/>
        <v>1000</v>
      </c>
      <c r="O1094" s="735">
        <f t="shared" si="697"/>
        <v>38683.600000000006</v>
      </c>
      <c r="P1094" s="735">
        <f t="shared" si="698"/>
        <v>38683.600000000006</v>
      </c>
      <c r="Q1094" s="711">
        <v>1</v>
      </c>
      <c r="R1094" s="735">
        <v>2400.3000000000002</v>
      </c>
      <c r="S1094" s="735"/>
      <c r="T1094" s="735"/>
      <c r="U1094" s="735"/>
      <c r="V1094" s="735"/>
      <c r="W1094" s="735"/>
      <c r="X1094" s="735"/>
      <c r="Y1094" s="735">
        <v>740</v>
      </c>
      <c r="Z1094" s="735">
        <f t="shared" si="702"/>
        <v>3140.3</v>
      </c>
      <c r="AA1094" s="735">
        <v>1000</v>
      </c>
      <c r="AB1094" s="735"/>
      <c r="AC1094" s="735">
        <f t="shared" si="703"/>
        <v>1000</v>
      </c>
      <c r="AD1094" s="735">
        <f t="shared" si="704"/>
        <v>38683.600000000006</v>
      </c>
      <c r="AE1094" s="735">
        <f t="shared" si="705"/>
        <v>38683.600000000006</v>
      </c>
      <c r="AF1094" s="735">
        <f t="shared" si="701"/>
        <v>0</v>
      </c>
      <c r="AG1094" s="824">
        <f t="shared" si="696"/>
        <v>0</v>
      </c>
      <c r="AH1094" s="711">
        <v>1</v>
      </c>
      <c r="AI1094" s="735">
        <f t="shared" si="706"/>
        <v>464204.20000000007</v>
      </c>
    </row>
    <row r="1095" spans="1:35" x14ac:dyDescent="0.2">
      <c r="A1095" s="704"/>
      <c r="B1095" s="711">
        <v>1</v>
      </c>
      <c r="C1095" s="735">
        <v>2400.3000000000002</v>
      </c>
      <c r="D1095" s="735"/>
      <c r="E1095" s="735"/>
      <c r="F1095" s="735"/>
      <c r="G1095" s="735"/>
      <c r="H1095" s="735"/>
      <c r="I1095" s="735"/>
      <c r="J1095" s="735">
        <v>850</v>
      </c>
      <c r="K1095" s="735">
        <f t="shared" si="700"/>
        <v>3250.3</v>
      </c>
      <c r="L1095" s="735">
        <v>1000</v>
      </c>
      <c r="M1095" s="735"/>
      <c r="N1095" s="735">
        <f t="shared" si="699"/>
        <v>1000</v>
      </c>
      <c r="O1095" s="735">
        <f t="shared" si="697"/>
        <v>40003.600000000006</v>
      </c>
      <c r="P1095" s="735">
        <f t="shared" si="698"/>
        <v>40003.600000000006</v>
      </c>
      <c r="Q1095" s="711">
        <v>1</v>
      </c>
      <c r="R1095" s="735">
        <v>2400.3000000000002</v>
      </c>
      <c r="S1095" s="735"/>
      <c r="T1095" s="735"/>
      <c r="U1095" s="735"/>
      <c r="V1095" s="735"/>
      <c r="W1095" s="735"/>
      <c r="X1095" s="735"/>
      <c r="Y1095" s="735">
        <v>850</v>
      </c>
      <c r="Z1095" s="735">
        <f t="shared" si="702"/>
        <v>3250.3</v>
      </c>
      <c r="AA1095" s="735">
        <v>1000</v>
      </c>
      <c r="AB1095" s="735"/>
      <c r="AC1095" s="735">
        <f t="shared" si="703"/>
        <v>1000</v>
      </c>
      <c r="AD1095" s="735">
        <f t="shared" si="704"/>
        <v>40003.600000000006</v>
      </c>
      <c r="AE1095" s="735">
        <f t="shared" si="705"/>
        <v>40003.600000000006</v>
      </c>
      <c r="AF1095" s="735">
        <f t="shared" si="701"/>
        <v>0</v>
      </c>
      <c r="AG1095" s="824">
        <f t="shared" si="696"/>
        <v>0</v>
      </c>
      <c r="AH1095" s="711">
        <v>1</v>
      </c>
      <c r="AI1095" s="735">
        <f t="shared" si="706"/>
        <v>480044.20000000007</v>
      </c>
    </row>
    <row r="1096" spans="1:35" x14ac:dyDescent="0.2">
      <c r="A1096" s="704"/>
      <c r="B1096" s="711">
        <v>1</v>
      </c>
      <c r="C1096" s="735">
        <v>2400.3000000000002</v>
      </c>
      <c r="D1096" s="735"/>
      <c r="E1096" s="735"/>
      <c r="F1096" s="735"/>
      <c r="G1096" s="735"/>
      <c r="H1096" s="735"/>
      <c r="I1096" s="735"/>
      <c r="J1096" s="735">
        <v>650</v>
      </c>
      <c r="K1096" s="735">
        <f t="shared" si="700"/>
        <v>3050.3</v>
      </c>
      <c r="L1096" s="735">
        <v>1000</v>
      </c>
      <c r="M1096" s="735"/>
      <c r="N1096" s="735">
        <f t="shared" si="699"/>
        <v>1000</v>
      </c>
      <c r="O1096" s="735">
        <f t="shared" si="697"/>
        <v>37603.600000000006</v>
      </c>
      <c r="P1096" s="735">
        <f t="shared" si="698"/>
        <v>37603.600000000006</v>
      </c>
      <c r="Q1096" s="711">
        <v>1</v>
      </c>
      <c r="R1096" s="735">
        <v>2400.3000000000002</v>
      </c>
      <c r="S1096" s="735"/>
      <c r="T1096" s="735"/>
      <c r="U1096" s="735"/>
      <c r="V1096" s="735"/>
      <c r="W1096" s="735"/>
      <c r="X1096" s="735"/>
      <c r="Y1096" s="735">
        <v>650</v>
      </c>
      <c r="Z1096" s="735">
        <f t="shared" si="702"/>
        <v>3050.3</v>
      </c>
      <c r="AA1096" s="735">
        <v>1000</v>
      </c>
      <c r="AB1096" s="735"/>
      <c r="AC1096" s="735">
        <f t="shared" si="703"/>
        <v>1000</v>
      </c>
      <c r="AD1096" s="735">
        <f t="shared" si="704"/>
        <v>37603.600000000006</v>
      </c>
      <c r="AE1096" s="735">
        <f t="shared" si="705"/>
        <v>37603.600000000006</v>
      </c>
      <c r="AF1096" s="735">
        <f t="shared" si="701"/>
        <v>0</v>
      </c>
      <c r="AG1096" s="824">
        <f t="shared" si="696"/>
        <v>0</v>
      </c>
      <c r="AH1096" s="711">
        <v>1</v>
      </c>
      <c r="AI1096" s="735">
        <f t="shared" si="706"/>
        <v>451244.20000000007</v>
      </c>
    </row>
    <row r="1097" spans="1:35" x14ac:dyDescent="0.2">
      <c r="A1097" s="704"/>
      <c r="B1097" s="711">
        <v>1</v>
      </c>
      <c r="C1097" s="735">
        <v>2400.3000000000002</v>
      </c>
      <c r="D1097" s="735"/>
      <c r="E1097" s="735"/>
      <c r="F1097" s="735"/>
      <c r="G1097" s="735"/>
      <c r="H1097" s="735"/>
      <c r="I1097" s="735"/>
      <c r="J1097" s="735">
        <v>100</v>
      </c>
      <c r="K1097" s="735">
        <f t="shared" si="700"/>
        <v>2500.3000000000002</v>
      </c>
      <c r="L1097" s="735">
        <v>1000</v>
      </c>
      <c r="M1097" s="735"/>
      <c r="N1097" s="735">
        <f t="shared" si="699"/>
        <v>1000</v>
      </c>
      <c r="O1097" s="735">
        <f t="shared" si="697"/>
        <v>31003.600000000002</v>
      </c>
      <c r="P1097" s="735">
        <f t="shared" si="698"/>
        <v>31003.600000000002</v>
      </c>
      <c r="Q1097" s="711">
        <v>1</v>
      </c>
      <c r="R1097" s="735">
        <v>2400.3000000000002</v>
      </c>
      <c r="S1097" s="735"/>
      <c r="T1097" s="735"/>
      <c r="U1097" s="735"/>
      <c r="V1097" s="735"/>
      <c r="W1097" s="735"/>
      <c r="X1097" s="735"/>
      <c r="Y1097" s="735">
        <v>100</v>
      </c>
      <c r="Z1097" s="735">
        <f t="shared" si="702"/>
        <v>2500.3000000000002</v>
      </c>
      <c r="AA1097" s="735">
        <v>1000</v>
      </c>
      <c r="AB1097" s="735"/>
      <c r="AC1097" s="735">
        <f t="shared" si="703"/>
        <v>1000</v>
      </c>
      <c r="AD1097" s="735">
        <f t="shared" si="704"/>
        <v>31003.600000000002</v>
      </c>
      <c r="AE1097" s="735">
        <f t="shared" si="705"/>
        <v>31003.600000000002</v>
      </c>
      <c r="AF1097" s="735">
        <f t="shared" si="701"/>
        <v>0</v>
      </c>
      <c r="AG1097" s="824">
        <f t="shared" si="696"/>
        <v>0</v>
      </c>
      <c r="AH1097" s="711">
        <v>1</v>
      </c>
      <c r="AI1097" s="735">
        <f t="shared" si="706"/>
        <v>372044.2</v>
      </c>
    </row>
    <row r="1098" spans="1:35" x14ac:dyDescent="0.2">
      <c r="A1098" s="704"/>
      <c r="B1098" s="711">
        <v>1</v>
      </c>
      <c r="C1098" s="735">
        <v>2400.3000000000002</v>
      </c>
      <c r="D1098" s="735"/>
      <c r="E1098" s="735"/>
      <c r="F1098" s="735"/>
      <c r="G1098" s="735"/>
      <c r="H1098" s="735"/>
      <c r="I1098" s="735"/>
      <c r="J1098" s="735">
        <v>650</v>
      </c>
      <c r="K1098" s="735">
        <f t="shared" si="700"/>
        <v>3050.3</v>
      </c>
      <c r="L1098" s="735">
        <v>1000</v>
      </c>
      <c r="M1098" s="735"/>
      <c r="N1098" s="735">
        <f t="shared" si="699"/>
        <v>1000</v>
      </c>
      <c r="O1098" s="735">
        <f t="shared" si="697"/>
        <v>37603.600000000006</v>
      </c>
      <c r="P1098" s="735">
        <f t="shared" si="698"/>
        <v>37603.600000000006</v>
      </c>
      <c r="Q1098" s="711">
        <v>1</v>
      </c>
      <c r="R1098" s="735">
        <v>2400.3000000000002</v>
      </c>
      <c r="S1098" s="735"/>
      <c r="T1098" s="735"/>
      <c r="U1098" s="735"/>
      <c r="V1098" s="735"/>
      <c r="W1098" s="735"/>
      <c r="X1098" s="735"/>
      <c r="Y1098" s="735">
        <v>650</v>
      </c>
      <c r="Z1098" s="735">
        <f t="shared" si="702"/>
        <v>3050.3</v>
      </c>
      <c r="AA1098" s="735">
        <v>1000</v>
      </c>
      <c r="AB1098" s="735"/>
      <c r="AC1098" s="735">
        <f t="shared" si="703"/>
        <v>1000</v>
      </c>
      <c r="AD1098" s="735">
        <f t="shared" si="704"/>
        <v>37603.600000000006</v>
      </c>
      <c r="AE1098" s="735">
        <f t="shared" si="705"/>
        <v>37603.600000000006</v>
      </c>
      <c r="AF1098" s="735">
        <f t="shared" si="701"/>
        <v>0</v>
      </c>
      <c r="AG1098" s="824">
        <f t="shared" si="696"/>
        <v>0</v>
      </c>
      <c r="AH1098" s="711">
        <v>1</v>
      </c>
      <c r="AI1098" s="735">
        <f t="shared" si="706"/>
        <v>451244.20000000007</v>
      </c>
    </row>
    <row r="1099" spans="1:35" x14ac:dyDescent="0.2">
      <c r="A1099" s="704"/>
      <c r="B1099" s="711">
        <v>1</v>
      </c>
      <c r="C1099" s="735">
        <v>2400.3000000000002</v>
      </c>
      <c r="D1099" s="735"/>
      <c r="E1099" s="735"/>
      <c r="F1099" s="735"/>
      <c r="G1099" s="735"/>
      <c r="H1099" s="735"/>
      <c r="I1099" s="735"/>
      <c r="J1099" s="735">
        <v>790</v>
      </c>
      <c r="K1099" s="735">
        <f t="shared" si="700"/>
        <v>3190.3</v>
      </c>
      <c r="L1099" s="735">
        <v>1000</v>
      </c>
      <c r="M1099" s="735"/>
      <c r="N1099" s="735">
        <f t="shared" si="699"/>
        <v>1000</v>
      </c>
      <c r="O1099" s="735">
        <f t="shared" si="697"/>
        <v>39283.600000000006</v>
      </c>
      <c r="P1099" s="735">
        <f t="shared" si="698"/>
        <v>39283.600000000006</v>
      </c>
      <c r="Q1099" s="711">
        <v>1</v>
      </c>
      <c r="R1099" s="735">
        <v>2400.3000000000002</v>
      </c>
      <c r="S1099" s="735"/>
      <c r="T1099" s="735"/>
      <c r="U1099" s="735"/>
      <c r="V1099" s="735"/>
      <c r="W1099" s="735"/>
      <c r="X1099" s="735"/>
      <c r="Y1099" s="735">
        <v>790</v>
      </c>
      <c r="Z1099" s="735">
        <f t="shared" si="702"/>
        <v>3190.3</v>
      </c>
      <c r="AA1099" s="735">
        <v>1000</v>
      </c>
      <c r="AB1099" s="735"/>
      <c r="AC1099" s="735">
        <f t="shared" si="703"/>
        <v>1000</v>
      </c>
      <c r="AD1099" s="735">
        <f t="shared" si="704"/>
        <v>39283.600000000006</v>
      </c>
      <c r="AE1099" s="735">
        <f t="shared" si="705"/>
        <v>39283.600000000006</v>
      </c>
      <c r="AF1099" s="735">
        <f t="shared" si="701"/>
        <v>0</v>
      </c>
      <c r="AG1099" s="824">
        <f t="shared" si="696"/>
        <v>0</v>
      </c>
      <c r="AH1099" s="711">
        <v>1</v>
      </c>
      <c r="AI1099" s="735">
        <f t="shared" si="706"/>
        <v>471404.20000000007</v>
      </c>
    </row>
    <row r="1100" spans="1:35" x14ac:dyDescent="0.2">
      <c r="A1100" s="704"/>
      <c r="B1100" s="711">
        <v>1</v>
      </c>
      <c r="C1100" s="735">
        <v>2400.3000000000002</v>
      </c>
      <c r="D1100" s="735"/>
      <c r="E1100" s="735"/>
      <c r="F1100" s="735"/>
      <c r="G1100" s="735"/>
      <c r="H1100" s="735"/>
      <c r="I1100" s="735"/>
      <c r="J1100" s="735">
        <v>740</v>
      </c>
      <c r="K1100" s="735">
        <f t="shared" si="700"/>
        <v>3140.3</v>
      </c>
      <c r="L1100" s="735">
        <v>1000</v>
      </c>
      <c r="M1100" s="735"/>
      <c r="N1100" s="735">
        <f t="shared" si="699"/>
        <v>1000</v>
      </c>
      <c r="O1100" s="735">
        <f t="shared" si="697"/>
        <v>38683.600000000006</v>
      </c>
      <c r="P1100" s="735">
        <f t="shared" si="698"/>
        <v>38683.600000000006</v>
      </c>
      <c r="Q1100" s="711">
        <v>1</v>
      </c>
      <c r="R1100" s="735">
        <v>2400.3000000000002</v>
      </c>
      <c r="S1100" s="735"/>
      <c r="T1100" s="735"/>
      <c r="U1100" s="735"/>
      <c r="V1100" s="735"/>
      <c r="W1100" s="735"/>
      <c r="X1100" s="735"/>
      <c r="Y1100" s="735">
        <v>740</v>
      </c>
      <c r="Z1100" s="735">
        <f t="shared" si="702"/>
        <v>3140.3</v>
      </c>
      <c r="AA1100" s="735">
        <v>1000</v>
      </c>
      <c r="AB1100" s="735"/>
      <c r="AC1100" s="735">
        <f t="shared" si="703"/>
        <v>1000</v>
      </c>
      <c r="AD1100" s="735">
        <f t="shared" si="704"/>
        <v>38683.600000000006</v>
      </c>
      <c r="AE1100" s="735">
        <f t="shared" si="705"/>
        <v>38683.600000000006</v>
      </c>
      <c r="AF1100" s="735">
        <f t="shared" si="701"/>
        <v>0</v>
      </c>
      <c r="AG1100" s="824">
        <f t="shared" ref="AG1100:AG1144" si="707">P1100-AE1100</f>
        <v>0</v>
      </c>
      <c r="AH1100" s="711">
        <v>1</v>
      </c>
      <c r="AI1100" s="735">
        <f t="shared" si="706"/>
        <v>464204.20000000007</v>
      </c>
    </row>
    <row r="1101" spans="1:35" x14ac:dyDescent="0.2">
      <c r="A1101" s="704"/>
      <c r="B1101" s="711">
        <v>1</v>
      </c>
      <c r="C1101" s="735">
        <v>2400.3000000000002</v>
      </c>
      <c r="D1101" s="735"/>
      <c r="E1101" s="735"/>
      <c r="F1101" s="735"/>
      <c r="G1101" s="735"/>
      <c r="H1101" s="735"/>
      <c r="I1101" s="735"/>
      <c r="J1101" s="735">
        <v>0</v>
      </c>
      <c r="K1101" s="735">
        <f t="shared" si="700"/>
        <v>2400.3000000000002</v>
      </c>
      <c r="L1101" s="735">
        <v>1000</v>
      </c>
      <c r="M1101" s="735"/>
      <c r="N1101" s="735">
        <f t="shared" si="699"/>
        <v>1000</v>
      </c>
      <c r="O1101" s="735">
        <f t="shared" si="697"/>
        <v>29803.600000000002</v>
      </c>
      <c r="P1101" s="735">
        <f t="shared" si="698"/>
        <v>29803.600000000002</v>
      </c>
      <c r="Q1101" s="711">
        <v>1</v>
      </c>
      <c r="R1101" s="735">
        <v>2400.3000000000002</v>
      </c>
      <c r="S1101" s="735"/>
      <c r="T1101" s="735"/>
      <c r="U1101" s="735"/>
      <c r="V1101" s="735"/>
      <c r="W1101" s="735"/>
      <c r="X1101" s="735"/>
      <c r="Y1101" s="735">
        <v>0</v>
      </c>
      <c r="Z1101" s="735">
        <f t="shared" si="702"/>
        <v>2400.3000000000002</v>
      </c>
      <c r="AA1101" s="735">
        <v>1000</v>
      </c>
      <c r="AB1101" s="735"/>
      <c r="AC1101" s="735">
        <f t="shared" si="703"/>
        <v>1000</v>
      </c>
      <c r="AD1101" s="735">
        <f t="shared" si="704"/>
        <v>29803.600000000002</v>
      </c>
      <c r="AE1101" s="735">
        <f t="shared" si="705"/>
        <v>29803.600000000002</v>
      </c>
      <c r="AF1101" s="735">
        <f t="shared" si="701"/>
        <v>0</v>
      </c>
      <c r="AG1101" s="824">
        <f t="shared" si="707"/>
        <v>0</v>
      </c>
      <c r="AH1101" s="711">
        <v>1</v>
      </c>
      <c r="AI1101" s="735">
        <f t="shared" si="706"/>
        <v>357644.2</v>
      </c>
    </row>
    <row r="1102" spans="1:35" x14ac:dyDescent="0.2">
      <c r="A1102" s="704"/>
      <c r="B1102" s="711">
        <v>1</v>
      </c>
      <c r="C1102" s="735">
        <v>2400.3000000000002</v>
      </c>
      <c r="D1102" s="735"/>
      <c r="E1102" s="735"/>
      <c r="F1102" s="735"/>
      <c r="G1102" s="735"/>
      <c r="H1102" s="735"/>
      <c r="I1102" s="735"/>
      <c r="J1102" s="735">
        <v>340</v>
      </c>
      <c r="K1102" s="735">
        <f t="shared" si="700"/>
        <v>2740.3</v>
      </c>
      <c r="L1102" s="735">
        <v>1000</v>
      </c>
      <c r="M1102" s="735"/>
      <c r="N1102" s="735">
        <f t="shared" si="699"/>
        <v>1000</v>
      </c>
      <c r="O1102" s="735">
        <f t="shared" si="697"/>
        <v>33883.600000000006</v>
      </c>
      <c r="P1102" s="735">
        <f t="shared" si="698"/>
        <v>33883.600000000006</v>
      </c>
      <c r="Q1102" s="711">
        <v>1</v>
      </c>
      <c r="R1102" s="735">
        <v>2400.3000000000002</v>
      </c>
      <c r="S1102" s="735"/>
      <c r="T1102" s="735"/>
      <c r="U1102" s="735"/>
      <c r="V1102" s="735"/>
      <c r="W1102" s="735"/>
      <c r="X1102" s="735"/>
      <c r="Y1102" s="735">
        <v>340</v>
      </c>
      <c r="Z1102" s="735">
        <f t="shared" si="702"/>
        <v>2740.3</v>
      </c>
      <c r="AA1102" s="735">
        <v>1000</v>
      </c>
      <c r="AB1102" s="735"/>
      <c r="AC1102" s="735">
        <f t="shared" si="703"/>
        <v>1000</v>
      </c>
      <c r="AD1102" s="735">
        <f t="shared" si="704"/>
        <v>33883.600000000006</v>
      </c>
      <c r="AE1102" s="735">
        <f t="shared" si="705"/>
        <v>33883.600000000006</v>
      </c>
      <c r="AF1102" s="735">
        <f t="shared" si="701"/>
        <v>0</v>
      </c>
      <c r="AG1102" s="824">
        <f t="shared" si="707"/>
        <v>0</v>
      </c>
      <c r="AH1102" s="711">
        <v>1</v>
      </c>
      <c r="AI1102" s="735">
        <f t="shared" si="706"/>
        <v>406604.20000000007</v>
      </c>
    </row>
    <row r="1103" spans="1:35" x14ac:dyDescent="0.2">
      <c r="A1103" s="704"/>
      <c r="B1103" s="711">
        <v>1</v>
      </c>
      <c r="C1103" s="735">
        <v>2400.3000000000002</v>
      </c>
      <c r="D1103" s="735"/>
      <c r="E1103" s="735"/>
      <c r="F1103" s="735"/>
      <c r="G1103" s="735"/>
      <c r="H1103" s="735"/>
      <c r="I1103" s="735"/>
      <c r="J1103" s="735">
        <v>790</v>
      </c>
      <c r="K1103" s="735">
        <f t="shared" si="700"/>
        <v>3190.3</v>
      </c>
      <c r="L1103" s="735">
        <v>1000</v>
      </c>
      <c r="M1103" s="735"/>
      <c r="N1103" s="735">
        <f t="shared" si="699"/>
        <v>1000</v>
      </c>
      <c r="O1103" s="735">
        <f t="shared" si="697"/>
        <v>39283.600000000006</v>
      </c>
      <c r="P1103" s="735">
        <f t="shared" si="698"/>
        <v>39283.600000000006</v>
      </c>
      <c r="Q1103" s="711">
        <v>1</v>
      </c>
      <c r="R1103" s="735">
        <v>2400.3000000000002</v>
      </c>
      <c r="S1103" s="735"/>
      <c r="T1103" s="735"/>
      <c r="U1103" s="735"/>
      <c r="V1103" s="735"/>
      <c r="W1103" s="735"/>
      <c r="X1103" s="735"/>
      <c r="Y1103" s="735">
        <v>790</v>
      </c>
      <c r="Z1103" s="735">
        <f t="shared" si="702"/>
        <v>3190.3</v>
      </c>
      <c r="AA1103" s="735">
        <v>1000</v>
      </c>
      <c r="AB1103" s="735"/>
      <c r="AC1103" s="735">
        <f t="shared" si="703"/>
        <v>1000</v>
      </c>
      <c r="AD1103" s="735">
        <f t="shared" si="704"/>
        <v>39283.600000000006</v>
      </c>
      <c r="AE1103" s="735">
        <f t="shared" si="705"/>
        <v>39283.600000000006</v>
      </c>
      <c r="AF1103" s="735">
        <f t="shared" si="701"/>
        <v>0</v>
      </c>
      <c r="AG1103" s="824">
        <f t="shared" si="707"/>
        <v>0</v>
      </c>
      <c r="AH1103" s="711">
        <v>1</v>
      </c>
      <c r="AI1103" s="735">
        <f t="shared" si="706"/>
        <v>471404.20000000007</v>
      </c>
    </row>
    <row r="1104" spans="1:35" x14ac:dyDescent="0.2">
      <c r="A1104" s="704"/>
      <c r="B1104" s="711">
        <v>1</v>
      </c>
      <c r="C1104" s="735">
        <v>2400.3000000000002</v>
      </c>
      <c r="D1104" s="735"/>
      <c r="E1104" s="735"/>
      <c r="F1104" s="735"/>
      <c r="G1104" s="735"/>
      <c r="H1104" s="735"/>
      <c r="I1104" s="735"/>
      <c r="J1104" s="735">
        <v>790</v>
      </c>
      <c r="K1104" s="735">
        <f t="shared" si="700"/>
        <v>3190.3</v>
      </c>
      <c r="L1104" s="735">
        <v>1000</v>
      </c>
      <c r="M1104" s="735"/>
      <c r="N1104" s="735">
        <f t="shared" si="699"/>
        <v>1000</v>
      </c>
      <c r="O1104" s="735">
        <f t="shared" si="697"/>
        <v>39283.600000000006</v>
      </c>
      <c r="P1104" s="735">
        <f t="shared" si="698"/>
        <v>39283.600000000006</v>
      </c>
      <c r="Q1104" s="711">
        <v>1</v>
      </c>
      <c r="R1104" s="735">
        <v>2400.3000000000002</v>
      </c>
      <c r="S1104" s="735"/>
      <c r="T1104" s="735"/>
      <c r="U1104" s="735"/>
      <c r="V1104" s="735"/>
      <c r="W1104" s="735"/>
      <c r="X1104" s="735"/>
      <c r="Y1104" s="735">
        <v>790</v>
      </c>
      <c r="Z1104" s="735">
        <f t="shared" si="702"/>
        <v>3190.3</v>
      </c>
      <c r="AA1104" s="735">
        <v>1000</v>
      </c>
      <c r="AB1104" s="735"/>
      <c r="AC1104" s="735">
        <f t="shared" si="703"/>
        <v>1000</v>
      </c>
      <c r="AD1104" s="735">
        <f t="shared" si="704"/>
        <v>39283.600000000006</v>
      </c>
      <c r="AE1104" s="735">
        <f t="shared" si="705"/>
        <v>39283.600000000006</v>
      </c>
      <c r="AF1104" s="735">
        <f t="shared" si="701"/>
        <v>0</v>
      </c>
      <c r="AG1104" s="824">
        <f t="shared" si="707"/>
        <v>0</v>
      </c>
      <c r="AH1104" s="711">
        <v>1</v>
      </c>
      <c r="AI1104" s="735">
        <f t="shared" si="706"/>
        <v>471404.20000000007</v>
      </c>
    </row>
    <row r="1105" spans="1:35" x14ac:dyDescent="0.2">
      <c r="A1105" s="704"/>
      <c r="B1105" s="711">
        <v>1</v>
      </c>
      <c r="C1105" s="735">
        <v>2400.3000000000002</v>
      </c>
      <c r="D1105" s="735"/>
      <c r="E1105" s="735"/>
      <c r="F1105" s="735"/>
      <c r="G1105" s="735"/>
      <c r="H1105" s="735"/>
      <c r="I1105" s="735"/>
      <c r="J1105" s="735">
        <v>850</v>
      </c>
      <c r="K1105" s="735">
        <f t="shared" si="700"/>
        <v>3250.3</v>
      </c>
      <c r="L1105" s="735">
        <v>1000</v>
      </c>
      <c r="M1105" s="735"/>
      <c r="N1105" s="735">
        <f t="shared" si="699"/>
        <v>1000</v>
      </c>
      <c r="O1105" s="735">
        <f t="shared" si="697"/>
        <v>40003.600000000006</v>
      </c>
      <c r="P1105" s="735">
        <f t="shared" si="698"/>
        <v>40003.600000000006</v>
      </c>
      <c r="Q1105" s="711">
        <v>1</v>
      </c>
      <c r="R1105" s="735">
        <v>2400.3000000000002</v>
      </c>
      <c r="S1105" s="735"/>
      <c r="T1105" s="735"/>
      <c r="U1105" s="735"/>
      <c r="V1105" s="735"/>
      <c r="W1105" s="735"/>
      <c r="X1105" s="735"/>
      <c r="Y1105" s="735">
        <v>850</v>
      </c>
      <c r="Z1105" s="735">
        <f t="shared" si="702"/>
        <v>3250.3</v>
      </c>
      <c r="AA1105" s="735">
        <v>1000</v>
      </c>
      <c r="AB1105" s="735"/>
      <c r="AC1105" s="735">
        <f t="shared" si="703"/>
        <v>1000</v>
      </c>
      <c r="AD1105" s="735">
        <f t="shared" si="704"/>
        <v>40003.600000000006</v>
      </c>
      <c r="AE1105" s="735">
        <f t="shared" si="705"/>
        <v>40003.600000000006</v>
      </c>
      <c r="AF1105" s="735">
        <f t="shared" si="701"/>
        <v>0</v>
      </c>
      <c r="AG1105" s="824">
        <f t="shared" si="707"/>
        <v>0</v>
      </c>
      <c r="AH1105" s="711">
        <v>1</v>
      </c>
      <c r="AI1105" s="735">
        <f t="shared" si="706"/>
        <v>480044.20000000007</v>
      </c>
    </row>
    <row r="1106" spans="1:35" x14ac:dyDescent="0.2">
      <c r="A1106" s="704"/>
      <c r="B1106" s="711">
        <v>1</v>
      </c>
      <c r="C1106" s="735">
        <v>2400.3000000000002</v>
      </c>
      <c r="D1106" s="735"/>
      <c r="E1106" s="735"/>
      <c r="F1106" s="735"/>
      <c r="G1106" s="735"/>
      <c r="H1106" s="735"/>
      <c r="I1106" s="735"/>
      <c r="J1106" s="735">
        <v>70</v>
      </c>
      <c r="K1106" s="735">
        <f t="shared" si="700"/>
        <v>2470.3000000000002</v>
      </c>
      <c r="L1106" s="735">
        <v>1000</v>
      </c>
      <c r="M1106" s="735"/>
      <c r="N1106" s="735">
        <f t="shared" si="699"/>
        <v>1000</v>
      </c>
      <c r="O1106" s="735">
        <f t="shared" si="697"/>
        <v>30643.600000000002</v>
      </c>
      <c r="P1106" s="735">
        <f t="shared" si="698"/>
        <v>30643.600000000002</v>
      </c>
      <c r="Q1106" s="711">
        <v>1</v>
      </c>
      <c r="R1106" s="735">
        <v>2400.3000000000002</v>
      </c>
      <c r="S1106" s="735"/>
      <c r="T1106" s="735"/>
      <c r="U1106" s="735"/>
      <c r="V1106" s="735"/>
      <c r="W1106" s="735"/>
      <c r="X1106" s="735"/>
      <c r="Y1106" s="735">
        <v>70</v>
      </c>
      <c r="Z1106" s="735">
        <f t="shared" si="702"/>
        <v>2470.3000000000002</v>
      </c>
      <c r="AA1106" s="735">
        <v>1000</v>
      </c>
      <c r="AB1106" s="735"/>
      <c r="AC1106" s="735">
        <f t="shared" si="703"/>
        <v>1000</v>
      </c>
      <c r="AD1106" s="735">
        <f t="shared" si="704"/>
        <v>30643.600000000002</v>
      </c>
      <c r="AE1106" s="735">
        <f t="shared" si="705"/>
        <v>30643.600000000002</v>
      </c>
      <c r="AF1106" s="735">
        <f t="shared" si="701"/>
        <v>0</v>
      </c>
      <c r="AG1106" s="824">
        <f t="shared" si="707"/>
        <v>0</v>
      </c>
      <c r="AH1106" s="711">
        <v>1</v>
      </c>
      <c r="AI1106" s="735">
        <f t="shared" si="706"/>
        <v>367724.2</v>
      </c>
    </row>
    <row r="1107" spans="1:35" x14ac:dyDescent="0.2">
      <c r="A1107" s="704"/>
      <c r="B1107" s="711">
        <v>1</v>
      </c>
      <c r="C1107" s="735">
        <v>2400.3000000000002</v>
      </c>
      <c r="D1107" s="735"/>
      <c r="E1107" s="735"/>
      <c r="F1107" s="735"/>
      <c r="G1107" s="735"/>
      <c r="H1107" s="735"/>
      <c r="I1107" s="735"/>
      <c r="J1107" s="735">
        <v>790</v>
      </c>
      <c r="K1107" s="735">
        <f t="shared" si="700"/>
        <v>3190.3</v>
      </c>
      <c r="L1107" s="735">
        <v>1000</v>
      </c>
      <c r="M1107" s="735"/>
      <c r="N1107" s="735">
        <f t="shared" si="699"/>
        <v>1000</v>
      </c>
      <c r="O1107" s="735">
        <f t="shared" ref="O1107:O1144" si="708">(K1107*12)+N1107</f>
        <v>39283.600000000006</v>
      </c>
      <c r="P1107" s="735">
        <f t="shared" ref="P1107:P1144" si="709">B1107*O1107</f>
        <v>39283.600000000006</v>
      </c>
      <c r="Q1107" s="711">
        <v>1</v>
      </c>
      <c r="R1107" s="735">
        <v>2400.3000000000002</v>
      </c>
      <c r="S1107" s="735"/>
      <c r="T1107" s="735"/>
      <c r="U1107" s="735"/>
      <c r="V1107" s="735"/>
      <c r="W1107" s="735"/>
      <c r="X1107" s="735"/>
      <c r="Y1107" s="735">
        <v>790</v>
      </c>
      <c r="Z1107" s="735">
        <f t="shared" si="702"/>
        <v>3190.3</v>
      </c>
      <c r="AA1107" s="735">
        <v>1000</v>
      </c>
      <c r="AB1107" s="735"/>
      <c r="AC1107" s="735">
        <f t="shared" si="703"/>
        <v>1000</v>
      </c>
      <c r="AD1107" s="735">
        <f t="shared" si="704"/>
        <v>39283.600000000006</v>
      </c>
      <c r="AE1107" s="735">
        <f t="shared" si="705"/>
        <v>39283.600000000006</v>
      </c>
      <c r="AF1107" s="735">
        <f t="shared" si="701"/>
        <v>0</v>
      </c>
      <c r="AG1107" s="824">
        <f t="shared" si="707"/>
        <v>0</v>
      </c>
      <c r="AH1107" s="711">
        <v>1</v>
      </c>
      <c r="AI1107" s="735">
        <f t="shared" si="706"/>
        <v>471404.20000000007</v>
      </c>
    </row>
    <row r="1108" spans="1:35" x14ac:dyDescent="0.2">
      <c r="A1108" s="704"/>
      <c r="B1108" s="711">
        <v>1</v>
      </c>
      <c r="C1108" s="735">
        <v>2400.3000000000002</v>
      </c>
      <c r="D1108" s="735"/>
      <c r="E1108" s="735"/>
      <c r="F1108" s="735"/>
      <c r="G1108" s="735"/>
      <c r="H1108" s="735"/>
      <c r="I1108" s="735"/>
      <c r="J1108" s="735">
        <v>600</v>
      </c>
      <c r="K1108" s="735">
        <f t="shared" si="700"/>
        <v>3000.3</v>
      </c>
      <c r="L1108" s="735">
        <v>1000</v>
      </c>
      <c r="M1108" s="735"/>
      <c r="N1108" s="735">
        <f t="shared" si="699"/>
        <v>1000</v>
      </c>
      <c r="O1108" s="735">
        <f t="shared" si="708"/>
        <v>37003.600000000006</v>
      </c>
      <c r="P1108" s="735">
        <f t="shared" si="709"/>
        <v>37003.600000000006</v>
      </c>
      <c r="Q1108" s="711">
        <v>1</v>
      </c>
      <c r="R1108" s="735">
        <v>2400.3000000000002</v>
      </c>
      <c r="S1108" s="735"/>
      <c r="T1108" s="735"/>
      <c r="U1108" s="735"/>
      <c r="V1108" s="735"/>
      <c r="W1108" s="735"/>
      <c r="X1108" s="735"/>
      <c r="Y1108" s="735">
        <v>600</v>
      </c>
      <c r="Z1108" s="735">
        <f t="shared" si="702"/>
        <v>3000.3</v>
      </c>
      <c r="AA1108" s="735">
        <v>1000</v>
      </c>
      <c r="AB1108" s="735"/>
      <c r="AC1108" s="735">
        <f t="shared" si="703"/>
        <v>1000</v>
      </c>
      <c r="AD1108" s="735">
        <f t="shared" si="704"/>
        <v>37003.600000000006</v>
      </c>
      <c r="AE1108" s="735">
        <f t="shared" si="705"/>
        <v>37003.600000000006</v>
      </c>
      <c r="AF1108" s="735">
        <f t="shared" si="701"/>
        <v>0</v>
      </c>
      <c r="AG1108" s="824">
        <f t="shared" si="707"/>
        <v>0</v>
      </c>
      <c r="AH1108" s="711">
        <v>1</v>
      </c>
      <c r="AI1108" s="735">
        <f t="shared" si="706"/>
        <v>444044.20000000007</v>
      </c>
    </row>
    <row r="1109" spans="1:35" x14ac:dyDescent="0.2">
      <c r="A1109" s="704"/>
      <c r="B1109" s="711">
        <v>1</v>
      </c>
      <c r="C1109" s="735">
        <v>2400.3000000000002</v>
      </c>
      <c r="D1109" s="735"/>
      <c r="E1109" s="735"/>
      <c r="F1109" s="735"/>
      <c r="G1109" s="735"/>
      <c r="H1109" s="735"/>
      <c r="I1109" s="735"/>
      <c r="J1109" s="735">
        <v>500</v>
      </c>
      <c r="K1109" s="735">
        <f t="shared" si="700"/>
        <v>2900.3</v>
      </c>
      <c r="L1109" s="735">
        <v>1000</v>
      </c>
      <c r="M1109" s="735"/>
      <c r="N1109" s="735">
        <f t="shared" si="699"/>
        <v>1000</v>
      </c>
      <c r="O1109" s="735">
        <f t="shared" si="708"/>
        <v>35803.600000000006</v>
      </c>
      <c r="P1109" s="735">
        <f t="shared" si="709"/>
        <v>35803.600000000006</v>
      </c>
      <c r="Q1109" s="711">
        <v>1</v>
      </c>
      <c r="R1109" s="735">
        <v>2400.3000000000002</v>
      </c>
      <c r="S1109" s="735"/>
      <c r="T1109" s="735"/>
      <c r="U1109" s="735"/>
      <c r="V1109" s="735"/>
      <c r="W1109" s="735"/>
      <c r="X1109" s="735"/>
      <c r="Y1109" s="735">
        <v>500</v>
      </c>
      <c r="Z1109" s="735">
        <f t="shared" si="702"/>
        <v>2900.3</v>
      </c>
      <c r="AA1109" s="735">
        <v>1000</v>
      </c>
      <c r="AB1109" s="735"/>
      <c r="AC1109" s="735">
        <f t="shared" si="703"/>
        <v>1000</v>
      </c>
      <c r="AD1109" s="735">
        <f t="shared" si="704"/>
        <v>35803.600000000006</v>
      </c>
      <c r="AE1109" s="735">
        <f t="shared" si="705"/>
        <v>35803.600000000006</v>
      </c>
      <c r="AF1109" s="735">
        <f t="shared" si="701"/>
        <v>0</v>
      </c>
      <c r="AG1109" s="824">
        <f t="shared" si="707"/>
        <v>0</v>
      </c>
      <c r="AH1109" s="711">
        <v>1</v>
      </c>
      <c r="AI1109" s="735">
        <f t="shared" si="706"/>
        <v>429644.20000000007</v>
      </c>
    </row>
    <row r="1110" spans="1:35" x14ac:dyDescent="0.2">
      <c r="A1110" s="704"/>
      <c r="B1110" s="711">
        <v>1</v>
      </c>
      <c r="C1110" s="735">
        <v>2400.3000000000002</v>
      </c>
      <c r="D1110" s="735"/>
      <c r="E1110" s="735"/>
      <c r="F1110" s="735"/>
      <c r="G1110" s="735"/>
      <c r="H1110" s="735"/>
      <c r="I1110" s="735"/>
      <c r="J1110" s="735">
        <v>790</v>
      </c>
      <c r="K1110" s="735">
        <f t="shared" si="700"/>
        <v>3190.3</v>
      </c>
      <c r="L1110" s="735">
        <v>1000</v>
      </c>
      <c r="M1110" s="735"/>
      <c r="N1110" s="735">
        <f t="shared" si="699"/>
        <v>1000</v>
      </c>
      <c r="O1110" s="735">
        <f t="shared" si="708"/>
        <v>39283.600000000006</v>
      </c>
      <c r="P1110" s="735">
        <f t="shared" si="709"/>
        <v>39283.600000000006</v>
      </c>
      <c r="Q1110" s="711">
        <v>1</v>
      </c>
      <c r="R1110" s="735">
        <v>2400.3000000000002</v>
      </c>
      <c r="S1110" s="735"/>
      <c r="T1110" s="735"/>
      <c r="U1110" s="735"/>
      <c r="V1110" s="735"/>
      <c r="W1110" s="735"/>
      <c r="X1110" s="735"/>
      <c r="Y1110" s="735">
        <v>790</v>
      </c>
      <c r="Z1110" s="735">
        <f t="shared" si="702"/>
        <v>3190.3</v>
      </c>
      <c r="AA1110" s="735">
        <v>1000</v>
      </c>
      <c r="AB1110" s="735"/>
      <c r="AC1110" s="735">
        <f t="shared" si="703"/>
        <v>1000</v>
      </c>
      <c r="AD1110" s="735">
        <f t="shared" si="704"/>
        <v>39283.600000000006</v>
      </c>
      <c r="AE1110" s="735">
        <f t="shared" si="705"/>
        <v>39283.600000000006</v>
      </c>
      <c r="AF1110" s="735">
        <f t="shared" si="701"/>
        <v>0</v>
      </c>
      <c r="AG1110" s="824">
        <f t="shared" si="707"/>
        <v>0</v>
      </c>
      <c r="AH1110" s="711">
        <v>1</v>
      </c>
      <c r="AI1110" s="735">
        <f t="shared" si="706"/>
        <v>471404.20000000007</v>
      </c>
    </row>
    <row r="1111" spans="1:35" x14ac:dyDescent="0.2">
      <c r="A1111" s="704"/>
      <c r="B1111" s="711">
        <v>1</v>
      </c>
      <c r="C1111" s="735">
        <v>2400.3000000000002</v>
      </c>
      <c r="D1111" s="735"/>
      <c r="E1111" s="735"/>
      <c r="F1111" s="735"/>
      <c r="G1111" s="735"/>
      <c r="H1111" s="735"/>
      <c r="I1111" s="735"/>
      <c r="J1111" s="735">
        <v>340</v>
      </c>
      <c r="K1111" s="735">
        <f t="shared" si="700"/>
        <v>2740.3</v>
      </c>
      <c r="L1111" s="735">
        <v>1000</v>
      </c>
      <c r="M1111" s="735"/>
      <c r="N1111" s="735">
        <f t="shared" si="699"/>
        <v>1000</v>
      </c>
      <c r="O1111" s="735">
        <f t="shared" si="708"/>
        <v>33883.600000000006</v>
      </c>
      <c r="P1111" s="735">
        <f t="shared" si="709"/>
        <v>33883.600000000006</v>
      </c>
      <c r="Q1111" s="711">
        <v>1</v>
      </c>
      <c r="R1111" s="735">
        <v>2400.3000000000002</v>
      </c>
      <c r="S1111" s="735"/>
      <c r="T1111" s="735"/>
      <c r="U1111" s="735"/>
      <c r="V1111" s="735"/>
      <c r="W1111" s="735"/>
      <c r="X1111" s="735"/>
      <c r="Y1111" s="735">
        <v>340</v>
      </c>
      <c r="Z1111" s="735">
        <f t="shared" si="702"/>
        <v>2740.3</v>
      </c>
      <c r="AA1111" s="735">
        <v>1000</v>
      </c>
      <c r="AB1111" s="735"/>
      <c r="AC1111" s="735">
        <f t="shared" si="703"/>
        <v>1000</v>
      </c>
      <c r="AD1111" s="735">
        <f t="shared" si="704"/>
        <v>33883.600000000006</v>
      </c>
      <c r="AE1111" s="735">
        <f t="shared" si="705"/>
        <v>33883.600000000006</v>
      </c>
      <c r="AF1111" s="735">
        <f t="shared" si="701"/>
        <v>0</v>
      </c>
      <c r="AG1111" s="824">
        <f t="shared" si="707"/>
        <v>0</v>
      </c>
      <c r="AH1111" s="711">
        <v>1</v>
      </c>
      <c r="AI1111" s="735">
        <f t="shared" si="706"/>
        <v>406604.20000000007</v>
      </c>
    </row>
    <row r="1112" spans="1:35" x14ac:dyDescent="0.2">
      <c r="A1112" s="704"/>
      <c r="B1112" s="711">
        <v>1</v>
      </c>
      <c r="C1112" s="735">
        <v>2400.3000000000002</v>
      </c>
      <c r="D1112" s="735"/>
      <c r="E1112" s="735"/>
      <c r="F1112" s="735"/>
      <c r="G1112" s="735"/>
      <c r="H1112" s="735"/>
      <c r="I1112" s="735"/>
      <c r="J1112" s="735">
        <v>790</v>
      </c>
      <c r="K1112" s="735">
        <f t="shared" si="700"/>
        <v>3190.3</v>
      </c>
      <c r="L1112" s="735">
        <v>1000</v>
      </c>
      <c r="M1112" s="735"/>
      <c r="N1112" s="735">
        <f t="shared" si="699"/>
        <v>1000</v>
      </c>
      <c r="O1112" s="735">
        <f t="shared" si="708"/>
        <v>39283.600000000006</v>
      </c>
      <c r="P1112" s="735">
        <f t="shared" si="709"/>
        <v>39283.600000000006</v>
      </c>
      <c r="Q1112" s="711">
        <v>1</v>
      </c>
      <c r="R1112" s="735">
        <v>2400.3000000000002</v>
      </c>
      <c r="S1112" s="735"/>
      <c r="T1112" s="735"/>
      <c r="U1112" s="735"/>
      <c r="V1112" s="735"/>
      <c r="W1112" s="735"/>
      <c r="X1112" s="735"/>
      <c r="Y1112" s="735">
        <v>790</v>
      </c>
      <c r="Z1112" s="735">
        <f t="shared" si="702"/>
        <v>3190.3</v>
      </c>
      <c r="AA1112" s="735">
        <v>1000</v>
      </c>
      <c r="AB1112" s="735"/>
      <c r="AC1112" s="735">
        <f t="shared" si="703"/>
        <v>1000</v>
      </c>
      <c r="AD1112" s="735">
        <f t="shared" si="704"/>
        <v>39283.600000000006</v>
      </c>
      <c r="AE1112" s="735">
        <f t="shared" si="705"/>
        <v>39283.600000000006</v>
      </c>
      <c r="AF1112" s="735">
        <f t="shared" si="701"/>
        <v>0</v>
      </c>
      <c r="AG1112" s="824">
        <f t="shared" si="707"/>
        <v>0</v>
      </c>
      <c r="AH1112" s="711">
        <v>1</v>
      </c>
      <c r="AI1112" s="735">
        <f t="shared" si="706"/>
        <v>471404.20000000007</v>
      </c>
    </row>
    <row r="1113" spans="1:35" x14ac:dyDescent="0.2">
      <c r="A1113" s="704"/>
      <c r="B1113" s="711">
        <v>1</v>
      </c>
      <c r="C1113" s="735">
        <v>2400.3000000000002</v>
      </c>
      <c r="D1113" s="735"/>
      <c r="E1113" s="735"/>
      <c r="F1113" s="735"/>
      <c r="G1113" s="735"/>
      <c r="H1113" s="735"/>
      <c r="I1113" s="735"/>
      <c r="J1113" s="735">
        <v>390</v>
      </c>
      <c r="K1113" s="735">
        <f t="shared" si="700"/>
        <v>2790.3</v>
      </c>
      <c r="L1113" s="735">
        <v>1000</v>
      </c>
      <c r="M1113" s="735"/>
      <c r="N1113" s="735">
        <f t="shared" si="699"/>
        <v>1000</v>
      </c>
      <c r="O1113" s="735">
        <f t="shared" si="708"/>
        <v>34483.600000000006</v>
      </c>
      <c r="P1113" s="735">
        <f t="shared" si="709"/>
        <v>34483.600000000006</v>
      </c>
      <c r="Q1113" s="711">
        <v>1</v>
      </c>
      <c r="R1113" s="735">
        <v>2400.3000000000002</v>
      </c>
      <c r="S1113" s="735"/>
      <c r="T1113" s="735"/>
      <c r="U1113" s="735"/>
      <c r="V1113" s="735"/>
      <c r="W1113" s="735"/>
      <c r="X1113" s="735"/>
      <c r="Y1113" s="735">
        <v>390</v>
      </c>
      <c r="Z1113" s="735">
        <f t="shared" si="702"/>
        <v>2790.3</v>
      </c>
      <c r="AA1113" s="735">
        <v>1000</v>
      </c>
      <c r="AB1113" s="735"/>
      <c r="AC1113" s="735">
        <f t="shared" si="703"/>
        <v>1000</v>
      </c>
      <c r="AD1113" s="735">
        <f t="shared" si="704"/>
        <v>34483.600000000006</v>
      </c>
      <c r="AE1113" s="735">
        <f t="shared" si="705"/>
        <v>34483.600000000006</v>
      </c>
      <c r="AF1113" s="735">
        <f t="shared" si="701"/>
        <v>0</v>
      </c>
      <c r="AG1113" s="824">
        <f t="shared" si="707"/>
        <v>0</v>
      </c>
      <c r="AH1113" s="711">
        <v>1</v>
      </c>
      <c r="AI1113" s="735">
        <f t="shared" si="706"/>
        <v>413804.20000000007</v>
      </c>
    </row>
    <row r="1114" spans="1:35" x14ac:dyDescent="0.2">
      <c r="A1114" s="704"/>
      <c r="B1114" s="711">
        <v>1</v>
      </c>
      <c r="C1114" s="735">
        <v>2400.3000000000002</v>
      </c>
      <c r="D1114" s="735"/>
      <c r="E1114" s="735"/>
      <c r="F1114" s="735"/>
      <c r="G1114" s="735"/>
      <c r="H1114" s="735"/>
      <c r="I1114" s="735"/>
      <c r="J1114" s="735">
        <v>50</v>
      </c>
      <c r="K1114" s="735">
        <f t="shared" si="700"/>
        <v>2450.3000000000002</v>
      </c>
      <c r="L1114" s="735">
        <v>1000</v>
      </c>
      <c r="M1114" s="735"/>
      <c r="N1114" s="735">
        <f t="shared" ref="N1114:N1144" si="710">SUM(L1114:M1114)</f>
        <v>1000</v>
      </c>
      <c r="O1114" s="735">
        <f t="shared" si="708"/>
        <v>30403.600000000002</v>
      </c>
      <c r="P1114" s="735">
        <f t="shared" si="709"/>
        <v>30403.600000000002</v>
      </c>
      <c r="Q1114" s="711">
        <v>1</v>
      </c>
      <c r="R1114" s="735">
        <v>2400.3000000000002</v>
      </c>
      <c r="S1114" s="735"/>
      <c r="T1114" s="735"/>
      <c r="U1114" s="735"/>
      <c r="V1114" s="735"/>
      <c r="W1114" s="735"/>
      <c r="X1114" s="735"/>
      <c r="Y1114" s="735">
        <v>50</v>
      </c>
      <c r="Z1114" s="735">
        <f t="shared" si="702"/>
        <v>2450.3000000000002</v>
      </c>
      <c r="AA1114" s="735">
        <v>1000</v>
      </c>
      <c r="AB1114" s="735"/>
      <c r="AC1114" s="735">
        <f t="shared" si="703"/>
        <v>1000</v>
      </c>
      <c r="AD1114" s="735">
        <f t="shared" si="704"/>
        <v>30403.600000000002</v>
      </c>
      <c r="AE1114" s="735">
        <f t="shared" si="705"/>
        <v>30403.600000000002</v>
      </c>
      <c r="AF1114" s="735">
        <f t="shared" si="701"/>
        <v>0</v>
      </c>
      <c r="AG1114" s="824">
        <f t="shared" si="707"/>
        <v>0</v>
      </c>
      <c r="AH1114" s="711">
        <v>1</v>
      </c>
      <c r="AI1114" s="735">
        <f t="shared" si="706"/>
        <v>364844.2</v>
      </c>
    </row>
    <row r="1115" spans="1:35" x14ac:dyDescent="0.2">
      <c r="A1115" s="704"/>
      <c r="B1115" s="711">
        <v>1</v>
      </c>
      <c r="C1115" s="735">
        <v>2400.3000000000002</v>
      </c>
      <c r="D1115" s="735"/>
      <c r="E1115" s="735"/>
      <c r="F1115" s="735"/>
      <c r="G1115" s="735"/>
      <c r="H1115" s="735"/>
      <c r="I1115" s="735"/>
      <c r="J1115" s="735">
        <v>0</v>
      </c>
      <c r="K1115" s="735">
        <f t="shared" ref="K1115:K1144" si="711">SUM(C1115:J1115)</f>
        <v>2400.3000000000002</v>
      </c>
      <c r="L1115" s="735">
        <v>1000</v>
      </c>
      <c r="M1115" s="735"/>
      <c r="N1115" s="735">
        <f t="shared" si="710"/>
        <v>1000</v>
      </c>
      <c r="O1115" s="735">
        <f t="shared" si="708"/>
        <v>29803.600000000002</v>
      </c>
      <c r="P1115" s="735">
        <f t="shared" si="709"/>
        <v>29803.600000000002</v>
      </c>
      <c r="Q1115" s="711">
        <v>1</v>
      </c>
      <c r="R1115" s="735">
        <v>2400.3000000000002</v>
      </c>
      <c r="S1115" s="735"/>
      <c r="T1115" s="735"/>
      <c r="U1115" s="735"/>
      <c r="V1115" s="735"/>
      <c r="W1115" s="735"/>
      <c r="X1115" s="735"/>
      <c r="Y1115" s="735">
        <v>0</v>
      </c>
      <c r="Z1115" s="735">
        <f t="shared" si="702"/>
        <v>2400.3000000000002</v>
      </c>
      <c r="AA1115" s="735">
        <v>1000</v>
      </c>
      <c r="AB1115" s="735"/>
      <c r="AC1115" s="735">
        <f t="shared" si="703"/>
        <v>1000</v>
      </c>
      <c r="AD1115" s="735">
        <f t="shared" si="704"/>
        <v>29803.600000000002</v>
      </c>
      <c r="AE1115" s="735">
        <f t="shared" si="705"/>
        <v>29803.600000000002</v>
      </c>
      <c r="AF1115" s="735">
        <f t="shared" si="701"/>
        <v>0</v>
      </c>
      <c r="AG1115" s="824">
        <f t="shared" si="707"/>
        <v>0</v>
      </c>
      <c r="AH1115" s="711">
        <v>1</v>
      </c>
      <c r="AI1115" s="735">
        <f t="shared" si="706"/>
        <v>357644.2</v>
      </c>
    </row>
    <row r="1116" spans="1:35" x14ac:dyDescent="0.2">
      <c r="A1116" s="704"/>
      <c r="B1116" s="711">
        <v>1</v>
      </c>
      <c r="C1116" s="735">
        <v>2400.3000000000002</v>
      </c>
      <c r="D1116" s="735"/>
      <c r="E1116" s="735"/>
      <c r="F1116" s="735"/>
      <c r="G1116" s="735"/>
      <c r="H1116" s="735"/>
      <c r="I1116" s="735"/>
      <c r="J1116" s="735">
        <v>790</v>
      </c>
      <c r="K1116" s="735">
        <f t="shared" si="711"/>
        <v>3190.3</v>
      </c>
      <c r="L1116" s="735">
        <v>1000</v>
      </c>
      <c r="M1116" s="735"/>
      <c r="N1116" s="735">
        <f t="shared" si="710"/>
        <v>1000</v>
      </c>
      <c r="O1116" s="735">
        <f t="shared" si="708"/>
        <v>39283.600000000006</v>
      </c>
      <c r="P1116" s="735">
        <f t="shared" si="709"/>
        <v>39283.600000000006</v>
      </c>
      <c r="Q1116" s="711">
        <v>1</v>
      </c>
      <c r="R1116" s="735">
        <v>2400.3000000000002</v>
      </c>
      <c r="S1116" s="735"/>
      <c r="T1116" s="735"/>
      <c r="U1116" s="735"/>
      <c r="V1116" s="735"/>
      <c r="W1116" s="735"/>
      <c r="X1116" s="735"/>
      <c r="Y1116" s="735">
        <v>790</v>
      </c>
      <c r="Z1116" s="735">
        <f t="shared" si="702"/>
        <v>3190.3</v>
      </c>
      <c r="AA1116" s="735">
        <v>1000</v>
      </c>
      <c r="AB1116" s="735"/>
      <c r="AC1116" s="735">
        <f t="shared" si="703"/>
        <v>1000</v>
      </c>
      <c r="AD1116" s="735">
        <f t="shared" si="704"/>
        <v>39283.600000000006</v>
      </c>
      <c r="AE1116" s="735">
        <f t="shared" si="705"/>
        <v>39283.600000000006</v>
      </c>
      <c r="AF1116" s="735">
        <f t="shared" si="701"/>
        <v>0</v>
      </c>
      <c r="AG1116" s="824">
        <f t="shared" si="707"/>
        <v>0</v>
      </c>
      <c r="AH1116" s="711">
        <v>1</v>
      </c>
      <c r="AI1116" s="735">
        <f t="shared" si="706"/>
        <v>471404.20000000007</v>
      </c>
    </row>
    <row r="1117" spans="1:35" x14ac:dyDescent="0.2">
      <c r="A1117" s="704"/>
      <c r="B1117" s="711">
        <v>1</v>
      </c>
      <c r="C1117" s="735">
        <v>2400.3000000000002</v>
      </c>
      <c r="D1117" s="735"/>
      <c r="E1117" s="735"/>
      <c r="F1117" s="735"/>
      <c r="G1117" s="735"/>
      <c r="H1117" s="735"/>
      <c r="I1117" s="735"/>
      <c r="J1117" s="735">
        <v>500</v>
      </c>
      <c r="K1117" s="735">
        <f t="shared" si="711"/>
        <v>2900.3</v>
      </c>
      <c r="L1117" s="735">
        <v>1000</v>
      </c>
      <c r="M1117" s="735"/>
      <c r="N1117" s="735">
        <f t="shared" si="710"/>
        <v>1000</v>
      </c>
      <c r="O1117" s="735">
        <f t="shared" si="708"/>
        <v>35803.600000000006</v>
      </c>
      <c r="P1117" s="735">
        <f t="shared" si="709"/>
        <v>35803.600000000006</v>
      </c>
      <c r="Q1117" s="711">
        <v>1</v>
      </c>
      <c r="R1117" s="735">
        <v>2400.3000000000002</v>
      </c>
      <c r="S1117" s="735"/>
      <c r="T1117" s="735"/>
      <c r="U1117" s="735"/>
      <c r="V1117" s="735"/>
      <c r="W1117" s="735"/>
      <c r="X1117" s="735"/>
      <c r="Y1117" s="735">
        <v>500</v>
      </c>
      <c r="Z1117" s="735">
        <f t="shared" si="702"/>
        <v>2900.3</v>
      </c>
      <c r="AA1117" s="735">
        <v>1000</v>
      </c>
      <c r="AB1117" s="735"/>
      <c r="AC1117" s="735">
        <f t="shared" si="703"/>
        <v>1000</v>
      </c>
      <c r="AD1117" s="735">
        <f t="shared" si="704"/>
        <v>35803.600000000006</v>
      </c>
      <c r="AE1117" s="735">
        <f t="shared" si="705"/>
        <v>35803.600000000006</v>
      </c>
      <c r="AF1117" s="735">
        <f t="shared" si="701"/>
        <v>0</v>
      </c>
      <c r="AG1117" s="824">
        <f t="shared" si="707"/>
        <v>0</v>
      </c>
      <c r="AH1117" s="711">
        <v>1</v>
      </c>
      <c r="AI1117" s="735">
        <f t="shared" si="706"/>
        <v>429644.20000000007</v>
      </c>
    </row>
    <row r="1118" spans="1:35" x14ac:dyDescent="0.2">
      <c r="A1118" s="704"/>
      <c r="B1118" s="711">
        <v>1</v>
      </c>
      <c r="C1118" s="735">
        <v>2400.3000000000002</v>
      </c>
      <c r="D1118" s="735"/>
      <c r="E1118" s="735"/>
      <c r="F1118" s="735"/>
      <c r="G1118" s="735"/>
      <c r="H1118" s="735"/>
      <c r="I1118" s="735"/>
      <c r="J1118" s="735">
        <v>300</v>
      </c>
      <c r="K1118" s="735">
        <f t="shared" si="711"/>
        <v>2700.3</v>
      </c>
      <c r="L1118" s="735">
        <v>1000</v>
      </c>
      <c r="M1118" s="735"/>
      <c r="N1118" s="735">
        <f t="shared" si="710"/>
        <v>1000</v>
      </c>
      <c r="O1118" s="735">
        <f t="shared" si="708"/>
        <v>33403.600000000006</v>
      </c>
      <c r="P1118" s="735">
        <f t="shared" si="709"/>
        <v>33403.600000000006</v>
      </c>
      <c r="Q1118" s="711">
        <v>1</v>
      </c>
      <c r="R1118" s="735">
        <v>2400.3000000000002</v>
      </c>
      <c r="S1118" s="735"/>
      <c r="T1118" s="735"/>
      <c r="U1118" s="735"/>
      <c r="V1118" s="735"/>
      <c r="W1118" s="735"/>
      <c r="X1118" s="735"/>
      <c r="Y1118" s="735">
        <v>300</v>
      </c>
      <c r="Z1118" s="735">
        <f t="shared" si="702"/>
        <v>2700.3</v>
      </c>
      <c r="AA1118" s="735">
        <v>1000</v>
      </c>
      <c r="AB1118" s="735"/>
      <c r="AC1118" s="735">
        <f t="shared" si="703"/>
        <v>1000</v>
      </c>
      <c r="AD1118" s="735">
        <f t="shared" si="704"/>
        <v>33403.600000000006</v>
      </c>
      <c r="AE1118" s="735">
        <f t="shared" si="705"/>
        <v>33403.600000000006</v>
      </c>
      <c r="AF1118" s="735">
        <f t="shared" si="701"/>
        <v>0</v>
      </c>
      <c r="AG1118" s="824">
        <f t="shared" si="707"/>
        <v>0</v>
      </c>
      <c r="AH1118" s="711">
        <v>1</v>
      </c>
      <c r="AI1118" s="735">
        <f t="shared" si="706"/>
        <v>400844.20000000007</v>
      </c>
    </row>
    <row r="1119" spans="1:35" x14ac:dyDescent="0.2">
      <c r="A1119" s="704"/>
      <c r="B1119" s="711">
        <v>1</v>
      </c>
      <c r="C1119" s="735">
        <v>2400.3000000000002</v>
      </c>
      <c r="D1119" s="735"/>
      <c r="E1119" s="735"/>
      <c r="F1119" s="735"/>
      <c r="G1119" s="735"/>
      <c r="H1119" s="735"/>
      <c r="I1119" s="735"/>
      <c r="J1119" s="735">
        <v>0</v>
      </c>
      <c r="K1119" s="735">
        <f t="shared" si="711"/>
        <v>2400.3000000000002</v>
      </c>
      <c r="L1119" s="735">
        <v>1000</v>
      </c>
      <c r="M1119" s="735"/>
      <c r="N1119" s="735">
        <f t="shared" si="710"/>
        <v>1000</v>
      </c>
      <c r="O1119" s="735">
        <f t="shared" si="708"/>
        <v>29803.600000000002</v>
      </c>
      <c r="P1119" s="735">
        <f t="shared" si="709"/>
        <v>29803.600000000002</v>
      </c>
      <c r="Q1119" s="711">
        <v>1</v>
      </c>
      <c r="R1119" s="735">
        <v>2400.3000000000002</v>
      </c>
      <c r="S1119" s="735"/>
      <c r="T1119" s="735"/>
      <c r="U1119" s="735"/>
      <c r="V1119" s="735"/>
      <c r="W1119" s="735"/>
      <c r="X1119" s="735"/>
      <c r="Y1119" s="735">
        <v>0</v>
      </c>
      <c r="Z1119" s="735">
        <f t="shared" si="702"/>
        <v>2400.3000000000002</v>
      </c>
      <c r="AA1119" s="735">
        <v>1000</v>
      </c>
      <c r="AB1119" s="735"/>
      <c r="AC1119" s="735">
        <f t="shared" si="703"/>
        <v>1000</v>
      </c>
      <c r="AD1119" s="735">
        <f t="shared" si="704"/>
        <v>29803.600000000002</v>
      </c>
      <c r="AE1119" s="735">
        <f t="shared" si="705"/>
        <v>29803.600000000002</v>
      </c>
      <c r="AF1119" s="735">
        <f t="shared" si="701"/>
        <v>0</v>
      </c>
      <c r="AG1119" s="824">
        <f t="shared" si="707"/>
        <v>0</v>
      </c>
      <c r="AH1119" s="711">
        <v>1</v>
      </c>
      <c r="AI1119" s="735">
        <f t="shared" si="706"/>
        <v>357644.2</v>
      </c>
    </row>
    <row r="1120" spans="1:35" x14ac:dyDescent="0.2">
      <c r="A1120" s="704"/>
      <c r="B1120" s="711">
        <v>1</v>
      </c>
      <c r="C1120" s="735">
        <v>2400.3000000000002</v>
      </c>
      <c r="D1120" s="735"/>
      <c r="E1120" s="735"/>
      <c r="F1120" s="735"/>
      <c r="G1120" s="735"/>
      <c r="H1120" s="735"/>
      <c r="I1120" s="735"/>
      <c r="J1120" s="735">
        <v>790</v>
      </c>
      <c r="K1120" s="735">
        <f t="shared" si="711"/>
        <v>3190.3</v>
      </c>
      <c r="L1120" s="735">
        <v>1000</v>
      </c>
      <c r="M1120" s="735"/>
      <c r="N1120" s="735">
        <f t="shared" si="710"/>
        <v>1000</v>
      </c>
      <c r="O1120" s="735">
        <f t="shared" si="708"/>
        <v>39283.600000000006</v>
      </c>
      <c r="P1120" s="735">
        <f t="shared" si="709"/>
        <v>39283.600000000006</v>
      </c>
      <c r="Q1120" s="711">
        <v>1</v>
      </c>
      <c r="R1120" s="735">
        <v>2400.3000000000002</v>
      </c>
      <c r="S1120" s="735"/>
      <c r="T1120" s="735"/>
      <c r="U1120" s="735"/>
      <c r="V1120" s="735"/>
      <c r="W1120" s="735"/>
      <c r="X1120" s="735"/>
      <c r="Y1120" s="735">
        <v>790</v>
      </c>
      <c r="Z1120" s="735">
        <f t="shared" si="702"/>
        <v>3190.3</v>
      </c>
      <c r="AA1120" s="735">
        <v>1000</v>
      </c>
      <c r="AB1120" s="735"/>
      <c r="AC1120" s="735">
        <f t="shared" si="703"/>
        <v>1000</v>
      </c>
      <c r="AD1120" s="735">
        <f t="shared" si="704"/>
        <v>39283.600000000006</v>
      </c>
      <c r="AE1120" s="735">
        <f t="shared" si="705"/>
        <v>39283.600000000006</v>
      </c>
      <c r="AF1120" s="735">
        <f t="shared" si="701"/>
        <v>0</v>
      </c>
      <c r="AG1120" s="824">
        <f t="shared" si="707"/>
        <v>0</v>
      </c>
      <c r="AH1120" s="711">
        <v>1</v>
      </c>
      <c r="AI1120" s="735">
        <f t="shared" si="706"/>
        <v>471404.20000000007</v>
      </c>
    </row>
    <row r="1121" spans="1:35" x14ac:dyDescent="0.2">
      <c r="A1121" s="704"/>
      <c r="B1121" s="711">
        <v>1</v>
      </c>
      <c r="C1121" s="735">
        <v>2400.3000000000002</v>
      </c>
      <c r="D1121" s="735"/>
      <c r="E1121" s="735"/>
      <c r="F1121" s="735"/>
      <c r="G1121" s="735"/>
      <c r="H1121" s="735"/>
      <c r="I1121" s="735"/>
      <c r="J1121" s="735">
        <v>790</v>
      </c>
      <c r="K1121" s="735">
        <f t="shared" si="711"/>
        <v>3190.3</v>
      </c>
      <c r="L1121" s="735">
        <v>1000</v>
      </c>
      <c r="M1121" s="735"/>
      <c r="N1121" s="735">
        <f t="shared" si="710"/>
        <v>1000</v>
      </c>
      <c r="O1121" s="735">
        <f t="shared" si="708"/>
        <v>39283.600000000006</v>
      </c>
      <c r="P1121" s="735">
        <f t="shared" si="709"/>
        <v>39283.600000000006</v>
      </c>
      <c r="Q1121" s="711">
        <v>1</v>
      </c>
      <c r="R1121" s="735">
        <v>2400.3000000000002</v>
      </c>
      <c r="S1121" s="735"/>
      <c r="T1121" s="735"/>
      <c r="U1121" s="735"/>
      <c r="V1121" s="735"/>
      <c r="W1121" s="735"/>
      <c r="X1121" s="735"/>
      <c r="Y1121" s="735">
        <v>790</v>
      </c>
      <c r="Z1121" s="735">
        <f t="shared" si="702"/>
        <v>3190.3</v>
      </c>
      <c r="AA1121" s="735">
        <v>1000</v>
      </c>
      <c r="AB1121" s="735"/>
      <c r="AC1121" s="735">
        <f t="shared" si="703"/>
        <v>1000</v>
      </c>
      <c r="AD1121" s="735">
        <f t="shared" si="704"/>
        <v>39283.600000000006</v>
      </c>
      <c r="AE1121" s="735">
        <f t="shared" si="705"/>
        <v>39283.600000000006</v>
      </c>
      <c r="AF1121" s="735">
        <f t="shared" si="701"/>
        <v>0</v>
      </c>
      <c r="AG1121" s="824">
        <f t="shared" si="707"/>
        <v>0</v>
      </c>
      <c r="AH1121" s="711">
        <v>1</v>
      </c>
      <c r="AI1121" s="735">
        <f t="shared" si="706"/>
        <v>471404.20000000007</v>
      </c>
    </row>
    <row r="1122" spans="1:35" x14ac:dyDescent="0.2">
      <c r="A1122" s="704"/>
      <c r="B1122" s="711">
        <v>1</v>
      </c>
      <c r="C1122" s="735">
        <v>2400.3000000000002</v>
      </c>
      <c r="D1122" s="735"/>
      <c r="E1122" s="735"/>
      <c r="F1122" s="735"/>
      <c r="G1122" s="735"/>
      <c r="H1122" s="735"/>
      <c r="I1122" s="735"/>
      <c r="J1122" s="735">
        <v>390</v>
      </c>
      <c r="K1122" s="735">
        <f t="shared" si="711"/>
        <v>2790.3</v>
      </c>
      <c r="L1122" s="735">
        <v>1000</v>
      </c>
      <c r="M1122" s="735"/>
      <c r="N1122" s="735">
        <f t="shared" si="710"/>
        <v>1000</v>
      </c>
      <c r="O1122" s="735">
        <f t="shared" si="708"/>
        <v>34483.600000000006</v>
      </c>
      <c r="P1122" s="735">
        <f t="shared" si="709"/>
        <v>34483.600000000006</v>
      </c>
      <c r="Q1122" s="711">
        <v>1</v>
      </c>
      <c r="R1122" s="735">
        <v>2400.3000000000002</v>
      </c>
      <c r="S1122" s="735"/>
      <c r="T1122" s="735"/>
      <c r="U1122" s="735"/>
      <c r="V1122" s="735"/>
      <c r="W1122" s="735"/>
      <c r="X1122" s="735"/>
      <c r="Y1122" s="735">
        <v>390</v>
      </c>
      <c r="Z1122" s="735">
        <f t="shared" si="702"/>
        <v>2790.3</v>
      </c>
      <c r="AA1122" s="735">
        <v>1000</v>
      </c>
      <c r="AB1122" s="735"/>
      <c r="AC1122" s="735">
        <f t="shared" si="703"/>
        <v>1000</v>
      </c>
      <c r="AD1122" s="735">
        <f t="shared" si="704"/>
        <v>34483.600000000006</v>
      </c>
      <c r="AE1122" s="735">
        <f t="shared" si="705"/>
        <v>34483.600000000006</v>
      </c>
      <c r="AF1122" s="735">
        <f t="shared" si="701"/>
        <v>0</v>
      </c>
      <c r="AG1122" s="824">
        <f t="shared" si="707"/>
        <v>0</v>
      </c>
      <c r="AH1122" s="711">
        <v>1</v>
      </c>
      <c r="AI1122" s="735">
        <f t="shared" si="706"/>
        <v>413804.20000000007</v>
      </c>
    </row>
    <row r="1123" spans="1:35" x14ac:dyDescent="0.2">
      <c r="A1123" s="704"/>
      <c r="B1123" s="711">
        <v>1</v>
      </c>
      <c r="C1123" s="735">
        <v>2400.3000000000002</v>
      </c>
      <c r="D1123" s="735"/>
      <c r="E1123" s="735"/>
      <c r="F1123" s="735"/>
      <c r="G1123" s="735"/>
      <c r="H1123" s="735"/>
      <c r="I1123" s="735"/>
      <c r="J1123" s="735">
        <v>700</v>
      </c>
      <c r="K1123" s="735">
        <f t="shared" si="711"/>
        <v>3100.3</v>
      </c>
      <c r="L1123" s="735">
        <v>1000</v>
      </c>
      <c r="M1123" s="735"/>
      <c r="N1123" s="735">
        <f t="shared" si="710"/>
        <v>1000</v>
      </c>
      <c r="O1123" s="735">
        <f t="shared" si="708"/>
        <v>38203.600000000006</v>
      </c>
      <c r="P1123" s="735">
        <f t="shared" si="709"/>
        <v>38203.600000000006</v>
      </c>
      <c r="Q1123" s="711">
        <v>1</v>
      </c>
      <c r="R1123" s="735">
        <v>2400.3000000000002</v>
      </c>
      <c r="S1123" s="735"/>
      <c r="T1123" s="735"/>
      <c r="U1123" s="735"/>
      <c r="V1123" s="735"/>
      <c r="W1123" s="735"/>
      <c r="X1123" s="735"/>
      <c r="Y1123" s="735">
        <v>700</v>
      </c>
      <c r="Z1123" s="735">
        <f t="shared" si="702"/>
        <v>3100.3</v>
      </c>
      <c r="AA1123" s="735">
        <v>1000</v>
      </c>
      <c r="AB1123" s="735"/>
      <c r="AC1123" s="735">
        <f t="shared" si="703"/>
        <v>1000</v>
      </c>
      <c r="AD1123" s="735">
        <f t="shared" si="704"/>
        <v>38203.600000000006</v>
      </c>
      <c r="AE1123" s="735">
        <f t="shared" si="705"/>
        <v>38203.600000000006</v>
      </c>
      <c r="AF1123" s="735">
        <f t="shared" si="701"/>
        <v>0</v>
      </c>
      <c r="AG1123" s="824">
        <f t="shared" si="707"/>
        <v>0</v>
      </c>
      <c r="AH1123" s="711">
        <v>1</v>
      </c>
      <c r="AI1123" s="735">
        <f t="shared" si="706"/>
        <v>458444.20000000007</v>
      </c>
    </row>
    <row r="1124" spans="1:35" x14ac:dyDescent="0.2">
      <c r="A1124" s="704"/>
      <c r="B1124" s="711">
        <v>1</v>
      </c>
      <c r="C1124" s="735">
        <v>2400.3000000000002</v>
      </c>
      <c r="D1124" s="735"/>
      <c r="E1124" s="735"/>
      <c r="F1124" s="735"/>
      <c r="G1124" s="735"/>
      <c r="H1124" s="735"/>
      <c r="I1124" s="735"/>
      <c r="J1124" s="735">
        <v>740</v>
      </c>
      <c r="K1124" s="735">
        <f t="shared" si="711"/>
        <v>3140.3</v>
      </c>
      <c r="L1124" s="735">
        <v>1000</v>
      </c>
      <c r="M1124" s="735"/>
      <c r="N1124" s="735">
        <f t="shared" si="710"/>
        <v>1000</v>
      </c>
      <c r="O1124" s="735">
        <f t="shared" si="708"/>
        <v>38683.600000000006</v>
      </c>
      <c r="P1124" s="735">
        <f t="shared" si="709"/>
        <v>38683.600000000006</v>
      </c>
      <c r="Q1124" s="711">
        <v>1</v>
      </c>
      <c r="R1124" s="735">
        <v>2400.3000000000002</v>
      </c>
      <c r="S1124" s="735"/>
      <c r="T1124" s="735"/>
      <c r="U1124" s="735"/>
      <c r="V1124" s="735"/>
      <c r="W1124" s="735"/>
      <c r="X1124" s="735"/>
      <c r="Y1124" s="735">
        <v>740</v>
      </c>
      <c r="Z1124" s="735">
        <f t="shared" si="702"/>
        <v>3140.3</v>
      </c>
      <c r="AA1124" s="735">
        <v>1000</v>
      </c>
      <c r="AB1124" s="735"/>
      <c r="AC1124" s="735">
        <f t="shared" si="703"/>
        <v>1000</v>
      </c>
      <c r="AD1124" s="735">
        <f t="shared" si="704"/>
        <v>38683.600000000006</v>
      </c>
      <c r="AE1124" s="735">
        <f t="shared" si="705"/>
        <v>38683.600000000006</v>
      </c>
      <c r="AF1124" s="735">
        <f t="shared" si="701"/>
        <v>0</v>
      </c>
      <c r="AG1124" s="824">
        <f t="shared" si="707"/>
        <v>0</v>
      </c>
      <c r="AH1124" s="711">
        <v>1</v>
      </c>
      <c r="AI1124" s="735">
        <f t="shared" si="706"/>
        <v>464204.20000000007</v>
      </c>
    </row>
    <row r="1125" spans="1:35" x14ac:dyDescent="0.2">
      <c r="A1125" s="704"/>
      <c r="B1125" s="711">
        <v>1</v>
      </c>
      <c r="C1125" s="735">
        <v>2400.3000000000002</v>
      </c>
      <c r="D1125" s="735"/>
      <c r="E1125" s="735"/>
      <c r="F1125" s="735"/>
      <c r="G1125" s="735"/>
      <c r="H1125" s="735"/>
      <c r="I1125" s="735"/>
      <c r="J1125" s="735">
        <v>640</v>
      </c>
      <c r="K1125" s="735">
        <f t="shared" si="711"/>
        <v>3040.3</v>
      </c>
      <c r="L1125" s="735">
        <v>1000</v>
      </c>
      <c r="M1125" s="735"/>
      <c r="N1125" s="735">
        <f t="shared" si="710"/>
        <v>1000</v>
      </c>
      <c r="O1125" s="735">
        <f t="shared" si="708"/>
        <v>37483.600000000006</v>
      </c>
      <c r="P1125" s="735">
        <f t="shared" si="709"/>
        <v>37483.600000000006</v>
      </c>
      <c r="Q1125" s="711">
        <v>1</v>
      </c>
      <c r="R1125" s="735">
        <v>2400.3000000000002</v>
      </c>
      <c r="S1125" s="735"/>
      <c r="T1125" s="735"/>
      <c r="U1125" s="735"/>
      <c r="V1125" s="735"/>
      <c r="W1125" s="735"/>
      <c r="X1125" s="735"/>
      <c r="Y1125" s="735">
        <v>640</v>
      </c>
      <c r="Z1125" s="735">
        <f t="shared" si="702"/>
        <v>3040.3</v>
      </c>
      <c r="AA1125" s="735">
        <v>1000</v>
      </c>
      <c r="AB1125" s="735"/>
      <c r="AC1125" s="735">
        <f t="shared" si="703"/>
        <v>1000</v>
      </c>
      <c r="AD1125" s="735">
        <f t="shared" si="704"/>
        <v>37483.600000000006</v>
      </c>
      <c r="AE1125" s="735">
        <f t="shared" si="705"/>
        <v>37483.600000000006</v>
      </c>
      <c r="AF1125" s="735">
        <f t="shared" si="701"/>
        <v>0</v>
      </c>
      <c r="AG1125" s="824">
        <f t="shared" si="707"/>
        <v>0</v>
      </c>
      <c r="AH1125" s="711">
        <v>1</v>
      </c>
      <c r="AI1125" s="735">
        <f t="shared" si="706"/>
        <v>449804.20000000007</v>
      </c>
    </row>
    <row r="1126" spans="1:35" x14ac:dyDescent="0.2">
      <c r="A1126" s="704"/>
      <c r="B1126" s="711">
        <v>1</v>
      </c>
      <c r="C1126" s="735">
        <v>2400.3000000000002</v>
      </c>
      <c r="D1126" s="735"/>
      <c r="E1126" s="735"/>
      <c r="F1126" s="735"/>
      <c r="G1126" s="735"/>
      <c r="H1126" s="735"/>
      <c r="I1126" s="735"/>
      <c r="J1126" s="735">
        <v>0</v>
      </c>
      <c r="K1126" s="735">
        <f t="shared" si="711"/>
        <v>2400.3000000000002</v>
      </c>
      <c r="L1126" s="735">
        <v>1000</v>
      </c>
      <c r="M1126" s="735"/>
      <c r="N1126" s="735">
        <f t="shared" si="710"/>
        <v>1000</v>
      </c>
      <c r="O1126" s="735">
        <f t="shared" si="708"/>
        <v>29803.600000000002</v>
      </c>
      <c r="P1126" s="735">
        <f t="shared" si="709"/>
        <v>29803.600000000002</v>
      </c>
      <c r="Q1126" s="711">
        <v>1</v>
      </c>
      <c r="R1126" s="735">
        <v>2400.3000000000002</v>
      </c>
      <c r="S1126" s="735"/>
      <c r="T1126" s="735"/>
      <c r="U1126" s="735"/>
      <c r="V1126" s="735"/>
      <c r="W1126" s="735"/>
      <c r="X1126" s="735"/>
      <c r="Y1126" s="735">
        <v>0</v>
      </c>
      <c r="Z1126" s="735">
        <f t="shared" si="702"/>
        <v>2400.3000000000002</v>
      </c>
      <c r="AA1126" s="735">
        <v>1000</v>
      </c>
      <c r="AB1126" s="735"/>
      <c r="AC1126" s="735">
        <f t="shared" si="703"/>
        <v>1000</v>
      </c>
      <c r="AD1126" s="735">
        <f t="shared" si="704"/>
        <v>29803.600000000002</v>
      </c>
      <c r="AE1126" s="735">
        <f t="shared" si="705"/>
        <v>29803.600000000002</v>
      </c>
      <c r="AF1126" s="735">
        <f t="shared" si="701"/>
        <v>0</v>
      </c>
      <c r="AG1126" s="824">
        <f t="shared" si="707"/>
        <v>0</v>
      </c>
      <c r="AH1126" s="711">
        <v>1</v>
      </c>
      <c r="AI1126" s="735">
        <f t="shared" si="706"/>
        <v>357644.2</v>
      </c>
    </row>
    <row r="1127" spans="1:35" x14ac:dyDescent="0.2">
      <c r="A1127" s="704"/>
      <c r="B1127" s="711">
        <v>1</v>
      </c>
      <c r="C1127" s="735">
        <v>2400.3000000000002</v>
      </c>
      <c r="D1127" s="735"/>
      <c r="E1127" s="735"/>
      <c r="F1127" s="735"/>
      <c r="G1127" s="735"/>
      <c r="H1127" s="735"/>
      <c r="I1127" s="735"/>
      <c r="J1127" s="735">
        <v>790</v>
      </c>
      <c r="K1127" s="735">
        <f t="shared" si="711"/>
        <v>3190.3</v>
      </c>
      <c r="L1127" s="735">
        <v>1000</v>
      </c>
      <c r="M1127" s="735"/>
      <c r="N1127" s="735">
        <f t="shared" si="710"/>
        <v>1000</v>
      </c>
      <c r="O1127" s="735">
        <f t="shared" si="708"/>
        <v>39283.600000000006</v>
      </c>
      <c r="P1127" s="735">
        <f t="shared" si="709"/>
        <v>39283.600000000006</v>
      </c>
      <c r="Q1127" s="711">
        <v>1</v>
      </c>
      <c r="R1127" s="735">
        <v>2400.3000000000002</v>
      </c>
      <c r="S1127" s="735"/>
      <c r="T1127" s="735"/>
      <c r="U1127" s="735"/>
      <c r="V1127" s="735"/>
      <c r="W1127" s="735"/>
      <c r="X1127" s="735"/>
      <c r="Y1127" s="735">
        <v>790</v>
      </c>
      <c r="Z1127" s="735">
        <f t="shared" si="702"/>
        <v>3190.3</v>
      </c>
      <c r="AA1127" s="735">
        <v>1000</v>
      </c>
      <c r="AB1127" s="735"/>
      <c r="AC1127" s="735">
        <f t="shared" si="703"/>
        <v>1000</v>
      </c>
      <c r="AD1127" s="735">
        <f t="shared" si="704"/>
        <v>39283.600000000006</v>
      </c>
      <c r="AE1127" s="735">
        <f t="shared" si="705"/>
        <v>39283.600000000006</v>
      </c>
      <c r="AF1127" s="735">
        <f t="shared" si="701"/>
        <v>0</v>
      </c>
      <c r="AG1127" s="824">
        <f t="shared" si="707"/>
        <v>0</v>
      </c>
      <c r="AH1127" s="711">
        <v>1</v>
      </c>
      <c r="AI1127" s="735">
        <f t="shared" si="706"/>
        <v>471404.20000000007</v>
      </c>
    </row>
    <row r="1128" spans="1:35" x14ac:dyDescent="0.2">
      <c r="A1128" s="704"/>
      <c r="B1128" s="711">
        <v>1</v>
      </c>
      <c r="C1128" s="735">
        <v>2400.3000000000002</v>
      </c>
      <c r="D1128" s="735"/>
      <c r="E1128" s="735"/>
      <c r="F1128" s="735"/>
      <c r="G1128" s="735"/>
      <c r="H1128" s="735"/>
      <c r="I1128" s="735"/>
      <c r="J1128" s="735">
        <v>0</v>
      </c>
      <c r="K1128" s="735">
        <f t="shared" si="711"/>
        <v>2400.3000000000002</v>
      </c>
      <c r="L1128" s="735">
        <v>1000</v>
      </c>
      <c r="M1128" s="735"/>
      <c r="N1128" s="735">
        <f t="shared" si="710"/>
        <v>1000</v>
      </c>
      <c r="O1128" s="735">
        <f t="shared" si="708"/>
        <v>29803.600000000002</v>
      </c>
      <c r="P1128" s="735">
        <f t="shared" si="709"/>
        <v>29803.600000000002</v>
      </c>
      <c r="Q1128" s="711">
        <v>1</v>
      </c>
      <c r="R1128" s="735">
        <v>2400.3000000000002</v>
      </c>
      <c r="S1128" s="735"/>
      <c r="T1128" s="735"/>
      <c r="U1128" s="735"/>
      <c r="V1128" s="735"/>
      <c r="W1128" s="735"/>
      <c r="X1128" s="735"/>
      <c r="Y1128" s="735">
        <v>0</v>
      </c>
      <c r="Z1128" s="735">
        <f t="shared" si="702"/>
        <v>2400.3000000000002</v>
      </c>
      <c r="AA1128" s="735">
        <v>1000</v>
      </c>
      <c r="AB1128" s="735"/>
      <c r="AC1128" s="735">
        <f t="shared" si="703"/>
        <v>1000</v>
      </c>
      <c r="AD1128" s="735">
        <f t="shared" si="704"/>
        <v>29803.600000000002</v>
      </c>
      <c r="AE1128" s="735">
        <f t="shared" si="705"/>
        <v>29803.600000000002</v>
      </c>
      <c r="AF1128" s="735">
        <f t="shared" si="701"/>
        <v>0</v>
      </c>
      <c r="AG1128" s="824">
        <f t="shared" si="707"/>
        <v>0</v>
      </c>
      <c r="AH1128" s="711">
        <v>1</v>
      </c>
      <c r="AI1128" s="735">
        <f t="shared" si="706"/>
        <v>357644.2</v>
      </c>
    </row>
    <row r="1129" spans="1:35" x14ac:dyDescent="0.2">
      <c r="A1129" s="704"/>
      <c r="B1129" s="711">
        <v>1</v>
      </c>
      <c r="C1129" s="735">
        <v>2400.3000000000002</v>
      </c>
      <c r="D1129" s="735"/>
      <c r="E1129" s="735"/>
      <c r="F1129" s="735"/>
      <c r="G1129" s="735"/>
      <c r="H1129" s="735"/>
      <c r="I1129" s="735"/>
      <c r="J1129" s="735">
        <v>0</v>
      </c>
      <c r="K1129" s="735">
        <f t="shared" si="711"/>
        <v>2400.3000000000002</v>
      </c>
      <c r="L1129" s="735">
        <v>1000</v>
      </c>
      <c r="M1129" s="735"/>
      <c r="N1129" s="735">
        <f t="shared" si="710"/>
        <v>1000</v>
      </c>
      <c r="O1129" s="735">
        <f t="shared" si="708"/>
        <v>29803.600000000002</v>
      </c>
      <c r="P1129" s="735">
        <f t="shared" si="709"/>
        <v>29803.600000000002</v>
      </c>
      <c r="Q1129" s="711">
        <v>1</v>
      </c>
      <c r="R1129" s="735">
        <v>2400.3000000000002</v>
      </c>
      <c r="S1129" s="735"/>
      <c r="T1129" s="735"/>
      <c r="U1129" s="735"/>
      <c r="V1129" s="735"/>
      <c r="W1129" s="735"/>
      <c r="X1129" s="735"/>
      <c r="Y1129" s="735">
        <v>0</v>
      </c>
      <c r="Z1129" s="735">
        <f t="shared" si="702"/>
        <v>2400.3000000000002</v>
      </c>
      <c r="AA1129" s="735">
        <v>1000</v>
      </c>
      <c r="AB1129" s="735"/>
      <c r="AC1129" s="735">
        <f t="shared" si="703"/>
        <v>1000</v>
      </c>
      <c r="AD1129" s="735">
        <f t="shared" si="704"/>
        <v>29803.600000000002</v>
      </c>
      <c r="AE1129" s="735">
        <f t="shared" si="705"/>
        <v>29803.600000000002</v>
      </c>
      <c r="AF1129" s="735">
        <f t="shared" si="701"/>
        <v>0</v>
      </c>
      <c r="AG1129" s="824">
        <f t="shared" si="707"/>
        <v>0</v>
      </c>
      <c r="AH1129" s="711">
        <v>1</v>
      </c>
      <c r="AI1129" s="735">
        <f t="shared" si="706"/>
        <v>357644.2</v>
      </c>
    </row>
    <row r="1130" spans="1:35" x14ac:dyDescent="0.2">
      <c r="A1130" s="704"/>
      <c r="B1130" s="711">
        <v>1</v>
      </c>
      <c r="C1130" s="735">
        <v>2400.3000000000002</v>
      </c>
      <c r="D1130" s="735"/>
      <c r="E1130" s="735"/>
      <c r="F1130" s="735"/>
      <c r="G1130" s="735"/>
      <c r="H1130" s="735"/>
      <c r="I1130" s="735"/>
      <c r="J1130" s="735">
        <v>140</v>
      </c>
      <c r="K1130" s="735">
        <f t="shared" si="711"/>
        <v>2540.3000000000002</v>
      </c>
      <c r="L1130" s="735">
        <v>1000</v>
      </c>
      <c r="M1130" s="735"/>
      <c r="N1130" s="735">
        <f t="shared" si="710"/>
        <v>1000</v>
      </c>
      <c r="O1130" s="735">
        <f t="shared" si="708"/>
        <v>31483.600000000002</v>
      </c>
      <c r="P1130" s="735">
        <f t="shared" si="709"/>
        <v>31483.600000000002</v>
      </c>
      <c r="Q1130" s="711">
        <v>1</v>
      </c>
      <c r="R1130" s="735">
        <v>2400.3000000000002</v>
      </c>
      <c r="S1130" s="735"/>
      <c r="T1130" s="735"/>
      <c r="U1130" s="735"/>
      <c r="V1130" s="735"/>
      <c r="W1130" s="735"/>
      <c r="X1130" s="735"/>
      <c r="Y1130" s="735">
        <v>140</v>
      </c>
      <c r="Z1130" s="735">
        <f t="shared" si="702"/>
        <v>2540.3000000000002</v>
      </c>
      <c r="AA1130" s="735">
        <v>1000</v>
      </c>
      <c r="AB1130" s="735"/>
      <c r="AC1130" s="735">
        <f t="shared" si="703"/>
        <v>1000</v>
      </c>
      <c r="AD1130" s="735">
        <f t="shared" si="704"/>
        <v>31483.600000000002</v>
      </c>
      <c r="AE1130" s="735">
        <f t="shared" si="705"/>
        <v>31483.600000000002</v>
      </c>
      <c r="AF1130" s="735">
        <f t="shared" si="701"/>
        <v>0</v>
      </c>
      <c r="AG1130" s="824">
        <f t="shared" si="707"/>
        <v>0</v>
      </c>
      <c r="AH1130" s="711">
        <v>1</v>
      </c>
      <c r="AI1130" s="735">
        <f t="shared" si="706"/>
        <v>377804.2</v>
      </c>
    </row>
    <row r="1131" spans="1:35" x14ac:dyDescent="0.2">
      <c r="A1131" s="704"/>
      <c r="B1131" s="711">
        <v>1</v>
      </c>
      <c r="C1131" s="735">
        <v>2400.3000000000002</v>
      </c>
      <c r="D1131" s="735"/>
      <c r="E1131" s="735"/>
      <c r="F1131" s="735"/>
      <c r="G1131" s="735"/>
      <c r="H1131" s="735"/>
      <c r="I1131" s="735"/>
      <c r="J1131" s="735">
        <v>200</v>
      </c>
      <c r="K1131" s="735">
        <f t="shared" si="711"/>
        <v>2600.3000000000002</v>
      </c>
      <c r="L1131" s="735">
        <v>1000</v>
      </c>
      <c r="M1131" s="735"/>
      <c r="N1131" s="735">
        <f t="shared" si="710"/>
        <v>1000</v>
      </c>
      <c r="O1131" s="735">
        <f t="shared" si="708"/>
        <v>32203.600000000002</v>
      </c>
      <c r="P1131" s="735">
        <f t="shared" si="709"/>
        <v>32203.600000000002</v>
      </c>
      <c r="Q1131" s="711">
        <v>1</v>
      </c>
      <c r="R1131" s="735">
        <v>2400.3000000000002</v>
      </c>
      <c r="S1131" s="735"/>
      <c r="T1131" s="735"/>
      <c r="U1131" s="735"/>
      <c r="V1131" s="735"/>
      <c r="W1131" s="735"/>
      <c r="X1131" s="735"/>
      <c r="Y1131" s="735">
        <v>200</v>
      </c>
      <c r="Z1131" s="735">
        <f t="shared" si="702"/>
        <v>2600.3000000000002</v>
      </c>
      <c r="AA1131" s="735">
        <v>1000</v>
      </c>
      <c r="AB1131" s="735"/>
      <c r="AC1131" s="735">
        <f t="shared" si="703"/>
        <v>1000</v>
      </c>
      <c r="AD1131" s="735">
        <f t="shared" si="704"/>
        <v>32203.600000000002</v>
      </c>
      <c r="AE1131" s="735">
        <f t="shared" si="705"/>
        <v>32203.600000000002</v>
      </c>
      <c r="AF1131" s="735">
        <f t="shared" si="701"/>
        <v>0</v>
      </c>
      <c r="AG1131" s="824">
        <f t="shared" si="707"/>
        <v>0</v>
      </c>
      <c r="AH1131" s="711">
        <v>1</v>
      </c>
      <c r="AI1131" s="735">
        <f t="shared" si="706"/>
        <v>386444.2</v>
      </c>
    </row>
    <row r="1132" spans="1:35" x14ac:dyDescent="0.2">
      <c r="A1132" s="704"/>
      <c r="B1132" s="711">
        <v>1</v>
      </c>
      <c r="C1132" s="735">
        <v>2400.3000000000002</v>
      </c>
      <c r="D1132" s="735"/>
      <c r="E1132" s="735"/>
      <c r="F1132" s="735"/>
      <c r="G1132" s="735"/>
      <c r="H1132" s="735"/>
      <c r="I1132" s="735"/>
      <c r="J1132" s="735">
        <v>0</v>
      </c>
      <c r="K1132" s="735">
        <f t="shared" si="711"/>
        <v>2400.3000000000002</v>
      </c>
      <c r="L1132" s="735">
        <v>1000</v>
      </c>
      <c r="M1132" s="735"/>
      <c r="N1132" s="735">
        <f t="shared" si="710"/>
        <v>1000</v>
      </c>
      <c r="O1132" s="735">
        <f t="shared" si="708"/>
        <v>29803.600000000002</v>
      </c>
      <c r="P1132" s="735">
        <f t="shared" si="709"/>
        <v>29803.600000000002</v>
      </c>
      <c r="Q1132" s="711">
        <v>1</v>
      </c>
      <c r="R1132" s="735">
        <v>2400.3000000000002</v>
      </c>
      <c r="S1132" s="735"/>
      <c r="T1132" s="735"/>
      <c r="U1132" s="735"/>
      <c r="V1132" s="735"/>
      <c r="W1132" s="735"/>
      <c r="X1132" s="735"/>
      <c r="Y1132" s="735">
        <v>0</v>
      </c>
      <c r="Z1132" s="735">
        <f t="shared" si="702"/>
        <v>2400.3000000000002</v>
      </c>
      <c r="AA1132" s="735">
        <v>1000</v>
      </c>
      <c r="AB1132" s="735"/>
      <c r="AC1132" s="735">
        <f t="shared" si="703"/>
        <v>1000</v>
      </c>
      <c r="AD1132" s="735">
        <f t="shared" si="704"/>
        <v>29803.600000000002</v>
      </c>
      <c r="AE1132" s="735">
        <f t="shared" si="705"/>
        <v>29803.600000000002</v>
      </c>
      <c r="AF1132" s="735">
        <f t="shared" si="701"/>
        <v>0</v>
      </c>
      <c r="AG1132" s="824">
        <f t="shared" si="707"/>
        <v>0</v>
      </c>
      <c r="AH1132" s="711">
        <v>1</v>
      </c>
      <c r="AI1132" s="735">
        <f t="shared" si="706"/>
        <v>357644.2</v>
      </c>
    </row>
    <row r="1133" spans="1:35" x14ac:dyDescent="0.2">
      <c r="A1133" s="704"/>
      <c r="B1133" s="711">
        <v>1</v>
      </c>
      <c r="C1133" s="735">
        <v>2400.3000000000002</v>
      </c>
      <c r="D1133" s="735"/>
      <c r="E1133" s="735"/>
      <c r="F1133" s="735"/>
      <c r="G1133" s="735"/>
      <c r="H1133" s="735"/>
      <c r="I1133" s="735"/>
      <c r="J1133" s="735">
        <v>0</v>
      </c>
      <c r="K1133" s="735">
        <f t="shared" si="711"/>
        <v>2400.3000000000002</v>
      </c>
      <c r="L1133" s="735">
        <v>1000</v>
      </c>
      <c r="M1133" s="735"/>
      <c r="N1133" s="735">
        <f t="shared" si="710"/>
        <v>1000</v>
      </c>
      <c r="O1133" s="735">
        <f t="shared" si="708"/>
        <v>29803.600000000002</v>
      </c>
      <c r="P1133" s="735">
        <f t="shared" si="709"/>
        <v>29803.600000000002</v>
      </c>
      <c r="Q1133" s="711">
        <v>1</v>
      </c>
      <c r="R1133" s="735">
        <v>2400.3000000000002</v>
      </c>
      <c r="S1133" s="735"/>
      <c r="T1133" s="735"/>
      <c r="U1133" s="735"/>
      <c r="V1133" s="735"/>
      <c r="W1133" s="735"/>
      <c r="X1133" s="735"/>
      <c r="Y1133" s="735">
        <v>0</v>
      </c>
      <c r="Z1133" s="735">
        <f t="shared" si="702"/>
        <v>2400.3000000000002</v>
      </c>
      <c r="AA1133" s="735">
        <v>1000</v>
      </c>
      <c r="AB1133" s="735"/>
      <c r="AC1133" s="735">
        <f t="shared" si="703"/>
        <v>1000</v>
      </c>
      <c r="AD1133" s="735">
        <f t="shared" si="704"/>
        <v>29803.600000000002</v>
      </c>
      <c r="AE1133" s="735">
        <f t="shared" si="705"/>
        <v>29803.600000000002</v>
      </c>
      <c r="AF1133" s="735">
        <f t="shared" si="701"/>
        <v>0</v>
      </c>
      <c r="AG1133" s="824">
        <f t="shared" si="707"/>
        <v>0</v>
      </c>
      <c r="AH1133" s="711">
        <v>1</v>
      </c>
      <c r="AI1133" s="735">
        <f t="shared" si="706"/>
        <v>357644.2</v>
      </c>
    </row>
    <row r="1134" spans="1:35" x14ac:dyDescent="0.2">
      <c r="A1134" s="704"/>
      <c r="B1134" s="711">
        <v>1</v>
      </c>
      <c r="C1134" s="735">
        <v>2400.3000000000002</v>
      </c>
      <c r="D1134" s="735"/>
      <c r="E1134" s="735"/>
      <c r="F1134" s="735"/>
      <c r="G1134" s="735"/>
      <c r="H1134" s="735"/>
      <c r="I1134" s="735"/>
      <c r="J1134" s="735">
        <v>790</v>
      </c>
      <c r="K1134" s="735">
        <f t="shared" si="711"/>
        <v>3190.3</v>
      </c>
      <c r="L1134" s="735">
        <v>1000</v>
      </c>
      <c r="M1134" s="735"/>
      <c r="N1134" s="735">
        <f t="shared" si="710"/>
        <v>1000</v>
      </c>
      <c r="O1134" s="735">
        <f t="shared" si="708"/>
        <v>39283.600000000006</v>
      </c>
      <c r="P1134" s="735">
        <f t="shared" si="709"/>
        <v>39283.600000000006</v>
      </c>
      <c r="Q1134" s="711">
        <v>1</v>
      </c>
      <c r="R1134" s="735">
        <v>2400.3000000000002</v>
      </c>
      <c r="S1134" s="735"/>
      <c r="T1134" s="735"/>
      <c r="U1134" s="735"/>
      <c r="V1134" s="735"/>
      <c r="W1134" s="735"/>
      <c r="X1134" s="735"/>
      <c r="Y1134" s="735">
        <v>790</v>
      </c>
      <c r="Z1134" s="735">
        <f t="shared" si="702"/>
        <v>3190.3</v>
      </c>
      <c r="AA1134" s="735">
        <v>1000</v>
      </c>
      <c r="AB1134" s="735"/>
      <c r="AC1134" s="735">
        <f t="shared" si="703"/>
        <v>1000</v>
      </c>
      <c r="AD1134" s="735">
        <f t="shared" si="704"/>
        <v>39283.600000000006</v>
      </c>
      <c r="AE1134" s="735">
        <f t="shared" si="705"/>
        <v>39283.600000000006</v>
      </c>
      <c r="AF1134" s="735">
        <f t="shared" si="701"/>
        <v>0</v>
      </c>
      <c r="AG1134" s="824">
        <f t="shared" si="707"/>
        <v>0</v>
      </c>
      <c r="AH1134" s="711">
        <v>1</v>
      </c>
      <c r="AI1134" s="735">
        <f t="shared" si="706"/>
        <v>471404.20000000007</v>
      </c>
    </row>
    <row r="1135" spans="1:35" x14ac:dyDescent="0.2">
      <c r="A1135" s="704"/>
      <c r="B1135" s="711">
        <v>1</v>
      </c>
      <c r="C1135" s="735">
        <v>2400.3000000000002</v>
      </c>
      <c r="D1135" s="735"/>
      <c r="E1135" s="735"/>
      <c r="F1135" s="735"/>
      <c r="G1135" s="735"/>
      <c r="H1135" s="735"/>
      <c r="I1135" s="735"/>
      <c r="J1135" s="735">
        <v>0</v>
      </c>
      <c r="K1135" s="735">
        <f t="shared" si="711"/>
        <v>2400.3000000000002</v>
      </c>
      <c r="L1135" s="735">
        <v>1000</v>
      </c>
      <c r="M1135" s="735"/>
      <c r="N1135" s="735">
        <f t="shared" si="710"/>
        <v>1000</v>
      </c>
      <c r="O1135" s="735">
        <f t="shared" si="708"/>
        <v>29803.600000000002</v>
      </c>
      <c r="P1135" s="735">
        <f t="shared" si="709"/>
        <v>29803.600000000002</v>
      </c>
      <c r="Q1135" s="711">
        <v>1</v>
      </c>
      <c r="R1135" s="735">
        <v>2400.3000000000002</v>
      </c>
      <c r="S1135" s="735"/>
      <c r="T1135" s="735"/>
      <c r="U1135" s="735"/>
      <c r="V1135" s="735"/>
      <c r="W1135" s="735"/>
      <c r="X1135" s="735"/>
      <c r="Y1135" s="735">
        <v>0</v>
      </c>
      <c r="Z1135" s="735">
        <f t="shared" si="702"/>
        <v>2400.3000000000002</v>
      </c>
      <c r="AA1135" s="735">
        <v>1000</v>
      </c>
      <c r="AB1135" s="735"/>
      <c r="AC1135" s="735">
        <f t="shared" si="703"/>
        <v>1000</v>
      </c>
      <c r="AD1135" s="735">
        <f t="shared" si="704"/>
        <v>29803.600000000002</v>
      </c>
      <c r="AE1135" s="735">
        <f t="shared" si="705"/>
        <v>29803.600000000002</v>
      </c>
      <c r="AF1135" s="735">
        <f t="shared" si="701"/>
        <v>0</v>
      </c>
      <c r="AG1135" s="824">
        <f t="shared" si="707"/>
        <v>0</v>
      </c>
      <c r="AH1135" s="711">
        <v>1</v>
      </c>
      <c r="AI1135" s="735">
        <f t="shared" si="706"/>
        <v>357644.2</v>
      </c>
    </row>
    <row r="1136" spans="1:35" x14ac:dyDescent="0.2">
      <c r="A1136" s="704"/>
      <c r="B1136" s="711">
        <v>1</v>
      </c>
      <c r="C1136" s="735">
        <v>2400.3000000000002</v>
      </c>
      <c r="D1136" s="735"/>
      <c r="E1136" s="735"/>
      <c r="F1136" s="735"/>
      <c r="G1136" s="735"/>
      <c r="H1136" s="735"/>
      <c r="I1136" s="735"/>
      <c r="J1136" s="735">
        <v>790</v>
      </c>
      <c r="K1136" s="735">
        <f t="shared" si="711"/>
        <v>3190.3</v>
      </c>
      <c r="L1136" s="735">
        <v>1000</v>
      </c>
      <c r="M1136" s="735"/>
      <c r="N1136" s="735">
        <f t="shared" si="710"/>
        <v>1000</v>
      </c>
      <c r="O1136" s="735">
        <f t="shared" si="708"/>
        <v>39283.600000000006</v>
      </c>
      <c r="P1136" s="735">
        <f t="shared" si="709"/>
        <v>39283.600000000006</v>
      </c>
      <c r="Q1136" s="711">
        <v>1</v>
      </c>
      <c r="R1136" s="735">
        <v>2400.3000000000002</v>
      </c>
      <c r="S1136" s="735"/>
      <c r="T1136" s="735"/>
      <c r="U1136" s="735"/>
      <c r="V1136" s="735"/>
      <c r="W1136" s="735"/>
      <c r="X1136" s="735"/>
      <c r="Y1136" s="735">
        <v>790</v>
      </c>
      <c r="Z1136" s="735">
        <f t="shared" si="702"/>
        <v>3190.3</v>
      </c>
      <c r="AA1136" s="735">
        <v>1000</v>
      </c>
      <c r="AB1136" s="735"/>
      <c r="AC1136" s="735">
        <f t="shared" si="703"/>
        <v>1000</v>
      </c>
      <c r="AD1136" s="735">
        <f t="shared" si="704"/>
        <v>39283.600000000006</v>
      </c>
      <c r="AE1136" s="735">
        <f t="shared" si="705"/>
        <v>39283.600000000006</v>
      </c>
      <c r="AF1136" s="735">
        <f t="shared" si="701"/>
        <v>0</v>
      </c>
      <c r="AG1136" s="824">
        <f t="shared" si="707"/>
        <v>0</v>
      </c>
      <c r="AH1136" s="711">
        <v>1</v>
      </c>
      <c r="AI1136" s="735">
        <f t="shared" si="706"/>
        <v>471404.20000000007</v>
      </c>
    </row>
    <row r="1137" spans="1:35" x14ac:dyDescent="0.2">
      <c r="A1137" s="704"/>
      <c r="B1137" s="711">
        <v>1</v>
      </c>
      <c r="C1137" s="735">
        <v>2400.3000000000002</v>
      </c>
      <c r="D1137" s="735"/>
      <c r="E1137" s="735"/>
      <c r="F1137" s="735"/>
      <c r="G1137" s="735"/>
      <c r="H1137" s="735"/>
      <c r="I1137" s="735"/>
      <c r="J1137" s="735">
        <v>740</v>
      </c>
      <c r="K1137" s="735">
        <f t="shared" si="711"/>
        <v>3140.3</v>
      </c>
      <c r="L1137" s="735">
        <v>1000</v>
      </c>
      <c r="M1137" s="735"/>
      <c r="N1137" s="735">
        <f t="shared" si="710"/>
        <v>1000</v>
      </c>
      <c r="O1137" s="735">
        <f t="shared" si="708"/>
        <v>38683.600000000006</v>
      </c>
      <c r="P1137" s="735">
        <f t="shared" si="709"/>
        <v>38683.600000000006</v>
      </c>
      <c r="Q1137" s="711">
        <v>1</v>
      </c>
      <c r="R1137" s="735">
        <v>2400.3000000000002</v>
      </c>
      <c r="S1137" s="735"/>
      <c r="T1137" s="735"/>
      <c r="U1137" s="735"/>
      <c r="V1137" s="735"/>
      <c r="W1137" s="735"/>
      <c r="X1137" s="735"/>
      <c r="Y1137" s="735">
        <v>740</v>
      </c>
      <c r="Z1137" s="735">
        <f t="shared" si="702"/>
        <v>3140.3</v>
      </c>
      <c r="AA1137" s="735">
        <v>1000</v>
      </c>
      <c r="AB1137" s="735"/>
      <c r="AC1137" s="735">
        <f t="shared" si="703"/>
        <v>1000</v>
      </c>
      <c r="AD1137" s="735">
        <f t="shared" si="704"/>
        <v>38683.600000000006</v>
      </c>
      <c r="AE1137" s="735">
        <f t="shared" si="705"/>
        <v>38683.600000000006</v>
      </c>
      <c r="AF1137" s="735">
        <f t="shared" si="701"/>
        <v>0</v>
      </c>
      <c r="AG1137" s="824">
        <f t="shared" si="707"/>
        <v>0</v>
      </c>
      <c r="AH1137" s="711">
        <v>1</v>
      </c>
      <c r="AI1137" s="735">
        <f t="shared" si="706"/>
        <v>464204.20000000007</v>
      </c>
    </row>
    <row r="1138" spans="1:35" x14ac:dyDescent="0.2">
      <c r="A1138" s="704"/>
      <c r="B1138" s="711">
        <v>1</v>
      </c>
      <c r="C1138" s="735">
        <v>2400.3000000000002</v>
      </c>
      <c r="D1138" s="735"/>
      <c r="E1138" s="735"/>
      <c r="F1138" s="735"/>
      <c r="G1138" s="735"/>
      <c r="H1138" s="735"/>
      <c r="I1138" s="735"/>
      <c r="J1138" s="735">
        <v>0</v>
      </c>
      <c r="K1138" s="735">
        <f t="shared" si="711"/>
        <v>2400.3000000000002</v>
      </c>
      <c r="L1138" s="735">
        <v>1000</v>
      </c>
      <c r="M1138" s="735"/>
      <c r="N1138" s="735">
        <f t="shared" si="710"/>
        <v>1000</v>
      </c>
      <c r="O1138" s="735">
        <f t="shared" si="708"/>
        <v>29803.600000000002</v>
      </c>
      <c r="P1138" s="735">
        <f t="shared" si="709"/>
        <v>29803.600000000002</v>
      </c>
      <c r="Q1138" s="711">
        <v>1</v>
      </c>
      <c r="R1138" s="735">
        <v>2400.3000000000002</v>
      </c>
      <c r="S1138" s="735"/>
      <c r="T1138" s="735"/>
      <c r="U1138" s="735"/>
      <c r="V1138" s="735"/>
      <c r="W1138" s="735"/>
      <c r="X1138" s="735"/>
      <c r="Y1138" s="735">
        <v>0</v>
      </c>
      <c r="Z1138" s="735">
        <f t="shared" si="702"/>
        <v>2400.3000000000002</v>
      </c>
      <c r="AA1138" s="735">
        <v>1000</v>
      </c>
      <c r="AB1138" s="735"/>
      <c r="AC1138" s="735">
        <f t="shared" si="703"/>
        <v>1000</v>
      </c>
      <c r="AD1138" s="735">
        <f t="shared" si="704"/>
        <v>29803.600000000002</v>
      </c>
      <c r="AE1138" s="735">
        <f t="shared" si="705"/>
        <v>29803.600000000002</v>
      </c>
      <c r="AF1138" s="735">
        <f t="shared" si="701"/>
        <v>0</v>
      </c>
      <c r="AG1138" s="824">
        <f t="shared" si="707"/>
        <v>0</v>
      </c>
      <c r="AH1138" s="711">
        <v>1</v>
      </c>
      <c r="AI1138" s="735">
        <f t="shared" si="706"/>
        <v>357644.2</v>
      </c>
    </row>
    <row r="1139" spans="1:35" x14ac:dyDescent="0.2">
      <c r="A1139" s="704"/>
      <c r="B1139" s="711">
        <v>1</v>
      </c>
      <c r="C1139" s="735">
        <v>2400.3000000000002</v>
      </c>
      <c r="D1139" s="735"/>
      <c r="E1139" s="735"/>
      <c r="F1139" s="735"/>
      <c r="G1139" s="735"/>
      <c r="H1139" s="735"/>
      <c r="I1139" s="735"/>
      <c r="J1139" s="735">
        <v>0</v>
      </c>
      <c r="K1139" s="735">
        <f t="shared" si="711"/>
        <v>2400.3000000000002</v>
      </c>
      <c r="L1139" s="735">
        <v>1000</v>
      </c>
      <c r="M1139" s="735"/>
      <c r="N1139" s="735">
        <f t="shared" si="710"/>
        <v>1000</v>
      </c>
      <c r="O1139" s="735">
        <f t="shared" si="708"/>
        <v>29803.600000000002</v>
      </c>
      <c r="P1139" s="735">
        <f t="shared" si="709"/>
        <v>29803.600000000002</v>
      </c>
      <c r="Q1139" s="711">
        <v>1</v>
      </c>
      <c r="R1139" s="735">
        <v>2400.3000000000002</v>
      </c>
      <c r="S1139" s="735"/>
      <c r="T1139" s="735"/>
      <c r="U1139" s="735"/>
      <c r="V1139" s="735"/>
      <c r="W1139" s="735"/>
      <c r="X1139" s="735"/>
      <c r="Y1139" s="735">
        <v>0</v>
      </c>
      <c r="Z1139" s="735">
        <f t="shared" si="702"/>
        <v>2400.3000000000002</v>
      </c>
      <c r="AA1139" s="735">
        <v>1000</v>
      </c>
      <c r="AB1139" s="735"/>
      <c r="AC1139" s="735">
        <f t="shared" si="703"/>
        <v>1000</v>
      </c>
      <c r="AD1139" s="735">
        <f t="shared" si="704"/>
        <v>29803.600000000002</v>
      </c>
      <c r="AE1139" s="735">
        <f t="shared" si="705"/>
        <v>29803.600000000002</v>
      </c>
      <c r="AF1139" s="735">
        <f t="shared" si="701"/>
        <v>0</v>
      </c>
      <c r="AG1139" s="824">
        <f t="shared" si="707"/>
        <v>0</v>
      </c>
      <c r="AH1139" s="711">
        <v>1</v>
      </c>
      <c r="AI1139" s="735">
        <f t="shared" si="706"/>
        <v>357644.2</v>
      </c>
    </row>
    <row r="1140" spans="1:35" x14ac:dyDescent="0.2">
      <c r="A1140" s="704"/>
      <c r="B1140" s="711">
        <v>1</v>
      </c>
      <c r="C1140" s="735">
        <v>2400.3000000000002</v>
      </c>
      <c r="D1140" s="735"/>
      <c r="E1140" s="735"/>
      <c r="F1140" s="735"/>
      <c r="G1140" s="735"/>
      <c r="H1140" s="735"/>
      <c r="I1140" s="735"/>
      <c r="J1140" s="735">
        <v>0</v>
      </c>
      <c r="K1140" s="735">
        <f t="shared" si="711"/>
        <v>2400.3000000000002</v>
      </c>
      <c r="L1140" s="735">
        <v>1000</v>
      </c>
      <c r="M1140" s="735"/>
      <c r="N1140" s="735">
        <f t="shared" si="710"/>
        <v>1000</v>
      </c>
      <c r="O1140" s="735">
        <f t="shared" si="708"/>
        <v>29803.600000000002</v>
      </c>
      <c r="P1140" s="735">
        <f t="shared" si="709"/>
        <v>29803.600000000002</v>
      </c>
      <c r="Q1140" s="711">
        <v>1</v>
      </c>
      <c r="R1140" s="735">
        <v>2400.3000000000002</v>
      </c>
      <c r="S1140" s="735"/>
      <c r="T1140" s="735"/>
      <c r="U1140" s="735"/>
      <c r="V1140" s="735"/>
      <c r="W1140" s="735"/>
      <c r="X1140" s="735"/>
      <c r="Y1140" s="735">
        <v>0</v>
      </c>
      <c r="Z1140" s="735">
        <f t="shared" si="702"/>
        <v>2400.3000000000002</v>
      </c>
      <c r="AA1140" s="735">
        <v>1000</v>
      </c>
      <c r="AB1140" s="735"/>
      <c r="AC1140" s="735">
        <f t="shared" si="703"/>
        <v>1000</v>
      </c>
      <c r="AD1140" s="735">
        <f t="shared" si="704"/>
        <v>29803.600000000002</v>
      </c>
      <c r="AE1140" s="735">
        <f t="shared" si="705"/>
        <v>29803.600000000002</v>
      </c>
      <c r="AF1140" s="735">
        <f t="shared" si="701"/>
        <v>0</v>
      </c>
      <c r="AG1140" s="824">
        <f t="shared" si="707"/>
        <v>0</v>
      </c>
      <c r="AH1140" s="711">
        <v>1</v>
      </c>
      <c r="AI1140" s="735">
        <f t="shared" si="706"/>
        <v>357644.2</v>
      </c>
    </row>
    <row r="1141" spans="1:35" x14ac:dyDescent="0.2">
      <c r="A1141" s="704"/>
      <c r="B1141" s="711">
        <v>1</v>
      </c>
      <c r="C1141" s="735">
        <v>2400.3000000000002</v>
      </c>
      <c r="D1141" s="735"/>
      <c r="E1141" s="735"/>
      <c r="F1141" s="735"/>
      <c r="G1141" s="735"/>
      <c r="H1141" s="735"/>
      <c r="I1141" s="735"/>
      <c r="J1141" s="735">
        <v>70</v>
      </c>
      <c r="K1141" s="735">
        <f t="shared" si="711"/>
        <v>2470.3000000000002</v>
      </c>
      <c r="L1141" s="735">
        <v>1000</v>
      </c>
      <c r="M1141" s="735"/>
      <c r="N1141" s="735">
        <f t="shared" si="710"/>
        <v>1000</v>
      </c>
      <c r="O1141" s="735">
        <f t="shared" si="708"/>
        <v>30643.600000000002</v>
      </c>
      <c r="P1141" s="735">
        <f t="shared" si="709"/>
        <v>30643.600000000002</v>
      </c>
      <c r="Q1141" s="711">
        <v>1</v>
      </c>
      <c r="R1141" s="735">
        <v>2400.3000000000002</v>
      </c>
      <c r="S1141" s="735"/>
      <c r="T1141" s="735"/>
      <c r="U1141" s="735"/>
      <c r="V1141" s="735"/>
      <c r="W1141" s="735"/>
      <c r="X1141" s="735"/>
      <c r="Y1141" s="735">
        <v>70</v>
      </c>
      <c r="Z1141" s="735">
        <f t="shared" si="702"/>
        <v>2470.3000000000002</v>
      </c>
      <c r="AA1141" s="735">
        <v>1000</v>
      </c>
      <c r="AB1141" s="735"/>
      <c r="AC1141" s="735">
        <f t="shared" si="703"/>
        <v>1000</v>
      </c>
      <c r="AD1141" s="735">
        <f t="shared" si="704"/>
        <v>30643.600000000002</v>
      </c>
      <c r="AE1141" s="735">
        <f t="shared" si="705"/>
        <v>30643.600000000002</v>
      </c>
      <c r="AF1141" s="735">
        <f t="shared" si="701"/>
        <v>0</v>
      </c>
      <c r="AG1141" s="824">
        <f t="shared" si="707"/>
        <v>0</v>
      </c>
      <c r="AH1141" s="711">
        <v>1</v>
      </c>
      <c r="AI1141" s="735">
        <f t="shared" si="706"/>
        <v>367724.2</v>
      </c>
    </row>
    <row r="1142" spans="1:35" x14ac:dyDescent="0.2">
      <c r="A1142" s="704"/>
      <c r="B1142" s="711">
        <v>1</v>
      </c>
      <c r="C1142" s="735">
        <v>2400.3000000000002</v>
      </c>
      <c r="D1142" s="735"/>
      <c r="E1142" s="735"/>
      <c r="F1142" s="735"/>
      <c r="G1142" s="735"/>
      <c r="H1142" s="735"/>
      <c r="I1142" s="735"/>
      <c r="J1142" s="735">
        <v>0</v>
      </c>
      <c r="K1142" s="735">
        <f t="shared" si="711"/>
        <v>2400.3000000000002</v>
      </c>
      <c r="L1142" s="735">
        <v>1000</v>
      </c>
      <c r="M1142" s="735"/>
      <c r="N1142" s="735">
        <f t="shared" si="710"/>
        <v>1000</v>
      </c>
      <c r="O1142" s="735">
        <f t="shared" si="708"/>
        <v>29803.600000000002</v>
      </c>
      <c r="P1142" s="735">
        <f t="shared" si="709"/>
        <v>29803.600000000002</v>
      </c>
      <c r="Q1142" s="711">
        <v>1</v>
      </c>
      <c r="R1142" s="735">
        <v>2400.3000000000002</v>
      </c>
      <c r="S1142" s="735"/>
      <c r="T1142" s="735"/>
      <c r="U1142" s="735"/>
      <c r="V1142" s="735"/>
      <c r="W1142" s="735"/>
      <c r="X1142" s="735"/>
      <c r="Y1142" s="735">
        <v>0</v>
      </c>
      <c r="Z1142" s="735">
        <f t="shared" si="702"/>
        <v>2400.3000000000002</v>
      </c>
      <c r="AA1142" s="735">
        <v>1000</v>
      </c>
      <c r="AB1142" s="735"/>
      <c r="AC1142" s="735">
        <f t="shared" si="703"/>
        <v>1000</v>
      </c>
      <c r="AD1142" s="735">
        <f t="shared" si="704"/>
        <v>29803.600000000002</v>
      </c>
      <c r="AE1142" s="735">
        <f t="shared" si="705"/>
        <v>29803.600000000002</v>
      </c>
      <c r="AF1142" s="735">
        <f t="shared" si="701"/>
        <v>0</v>
      </c>
      <c r="AG1142" s="824">
        <f t="shared" si="707"/>
        <v>0</v>
      </c>
      <c r="AH1142" s="711">
        <v>1</v>
      </c>
      <c r="AI1142" s="735">
        <f t="shared" si="706"/>
        <v>357644.2</v>
      </c>
    </row>
    <row r="1143" spans="1:35" x14ac:dyDescent="0.2">
      <c r="A1143" s="704"/>
      <c r="B1143" s="711">
        <v>1</v>
      </c>
      <c r="C1143" s="735">
        <v>2400.3000000000002</v>
      </c>
      <c r="D1143" s="735"/>
      <c r="E1143" s="735"/>
      <c r="F1143" s="735"/>
      <c r="G1143" s="735"/>
      <c r="H1143" s="735"/>
      <c r="I1143" s="735"/>
      <c r="J1143" s="735">
        <v>0</v>
      </c>
      <c r="K1143" s="735">
        <f t="shared" si="711"/>
        <v>2400.3000000000002</v>
      </c>
      <c r="L1143" s="735">
        <v>1000</v>
      </c>
      <c r="M1143" s="735"/>
      <c r="N1143" s="735">
        <f t="shared" si="710"/>
        <v>1000</v>
      </c>
      <c r="O1143" s="735">
        <f t="shared" si="708"/>
        <v>29803.600000000002</v>
      </c>
      <c r="P1143" s="735">
        <f t="shared" si="709"/>
        <v>29803.600000000002</v>
      </c>
      <c r="Q1143" s="711">
        <v>1</v>
      </c>
      <c r="R1143" s="735">
        <v>2400.3000000000002</v>
      </c>
      <c r="S1143" s="735"/>
      <c r="T1143" s="735"/>
      <c r="U1143" s="735"/>
      <c r="V1143" s="735"/>
      <c r="W1143" s="735"/>
      <c r="X1143" s="735"/>
      <c r="Y1143" s="735">
        <v>0</v>
      </c>
      <c r="Z1143" s="735">
        <f t="shared" si="702"/>
        <v>2400.3000000000002</v>
      </c>
      <c r="AA1143" s="735">
        <v>1000</v>
      </c>
      <c r="AB1143" s="735"/>
      <c r="AC1143" s="735">
        <f t="shared" si="703"/>
        <v>1000</v>
      </c>
      <c r="AD1143" s="735">
        <f t="shared" si="704"/>
        <v>29803.600000000002</v>
      </c>
      <c r="AE1143" s="735">
        <f t="shared" si="705"/>
        <v>29803.600000000002</v>
      </c>
      <c r="AF1143" s="735">
        <f t="shared" si="701"/>
        <v>0</v>
      </c>
      <c r="AG1143" s="824">
        <f t="shared" si="707"/>
        <v>0</v>
      </c>
      <c r="AH1143" s="711">
        <v>1</v>
      </c>
      <c r="AI1143" s="735">
        <f t="shared" si="706"/>
        <v>357644.2</v>
      </c>
    </row>
    <row r="1144" spans="1:35" x14ac:dyDescent="0.2">
      <c r="A1144" s="704"/>
      <c r="B1144" s="711">
        <v>1</v>
      </c>
      <c r="C1144" s="735">
        <v>2400.3000000000002</v>
      </c>
      <c r="D1144" s="735"/>
      <c r="E1144" s="735"/>
      <c r="F1144" s="735"/>
      <c r="G1144" s="735"/>
      <c r="H1144" s="735"/>
      <c r="I1144" s="735"/>
      <c r="J1144" s="735">
        <v>0</v>
      </c>
      <c r="K1144" s="735">
        <f t="shared" si="711"/>
        <v>2400.3000000000002</v>
      </c>
      <c r="L1144" s="735">
        <v>1000</v>
      </c>
      <c r="M1144" s="735"/>
      <c r="N1144" s="735">
        <f t="shared" si="710"/>
        <v>1000</v>
      </c>
      <c r="O1144" s="735">
        <f t="shared" si="708"/>
        <v>29803.600000000002</v>
      </c>
      <c r="P1144" s="735">
        <f t="shared" si="709"/>
        <v>29803.600000000002</v>
      </c>
      <c r="Q1144" s="711">
        <v>1</v>
      </c>
      <c r="R1144" s="735">
        <v>2400.3000000000002</v>
      </c>
      <c r="S1144" s="735"/>
      <c r="T1144" s="735"/>
      <c r="U1144" s="735"/>
      <c r="V1144" s="735"/>
      <c r="W1144" s="735"/>
      <c r="X1144" s="735"/>
      <c r="Y1144" s="735">
        <v>0</v>
      </c>
      <c r="Z1144" s="735">
        <f t="shared" si="702"/>
        <v>2400.3000000000002</v>
      </c>
      <c r="AA1144" s="735">
        <v>1000</v>
      </c>
      <c r="AB1144" s="735"/>
      <c r="AC1144" s="735">
        <f t="shared" si="703"/>
        <v>1000</v>
      </c>
      <c r="AD1144" s="735">
        <f t="shared" si="704"/>
        <v>29803.600000000002</v>
      </c>
      <c r="AE1144" s="735">
        <f t="shared" si="705"/>
        <v>29803.600000000002</v>
      </c>
      <c r="AF1144" s="735">
        <f t="shared" si="701"/>
        <v>0</v>
      </c>
      <c r="AG1144" s="824">
        <f t="shared" si="707"/>
        <v>0</v>
      </c>
      <c r="AH1144" s="711">
        <v>1</v>
      </c>
      <c r="AI1144" s="735">
        <f t="shared" si="706"/>
        <v>357644.2</v>
      </c>
    </row>
    <row r="1145" spans="1:35" ht="24" x14ac:dyDescent="0.2">
      <c r="A1145" s="874" t="s">
        <v>795</v>
      </c>
      <c r="B1145" s="819">
        <f>B1146+B1158+B1170+B1178+B1193+B1207</f>
        <v>1173</v>
      </c>
      <c r="C1145" s="820">
        <f t="shared" ref="C1145:P1145" si="712">C1146+C1158+C1170+C1178+C1193+C1207</f>
        <v>656215.8854143332</v>
      </c>
      <c r="D1145" s="820"/>
      <c r="E1145" s="820">
        <f t="shared" si="712"/>
        <v>0</v>
      </c>
      <c r="F1145" s="820">
        <f t="shared" si="712"/>
        <v>0</v>
      </c>
      <c r="G1145" s="820">
        <f t="shared" si="712"/>
        <v>0</v>
      </c>
      <c r="H1145" s="820">
        <f t="shared" si="712"/>
        <v>0</v>
      </c>
      <c r="I1145" s="820">
        <f t="shared" si="712"/>
        <v>0</v>
      </c>
      <c r="J1145" s="820">
        <f t="shared" si="712"/>
        <v>859550</v>
      </c>
      <c r="K1145" s="820">
        <f t="shared" si="712"/>
        <v>2188203.0999999982</v>
      </c>
      <c r="L1145" s="820">
        <f t="shared" si="712"/>
        <v>294180</v>
      </c>
      <c r="M1145" s="820"/>
      <c r="N1145" s="820">
        <f t="shared" si="712"/>
        <v>294180</v>
      </c>
      <c r="O1145" s="820">
        <f t="shared" si="712"/>
        <v>40401086.240000196</v>
      </c>
      <c r="P1145" s="820">
        <f t="shared" si="712"/>
        <v>40518100.640000194</v>
      </c>
      <c r="Q1145" s="711">
        <f>Q1146+Q1158+Q1170+Q1178+Q1193+Q1207</f>
        <v>1173</v>
      </c>
      <c r="R1145" s="820">
        <f t="shared" ref="R1145" si="713">R1146+R1158+R1170+R1178+R1193+R1207</f>
        <v>656215.8854143332</v>
      </c>
      <c r="S1145" s="820"/>
      <c r="T1145" s="820">
        <f t="shared" ref="T1145:AA1145" si="714">T1146+T1158+T1170+T1178+T1193+T1207</f>
        <v>0</v>
      </c>
      <c r="U1145" s="820">
        <f t="shared" si="714"/>
        <v>0</v>
      </c>
      <c r="V1145" s="820">
        <f t="shared" si="714"/>
        <v>0</v>
      </c>
      <c r="W1145" s="820">
        <f t="shared" si="714"/>
        <v>0</v>
      </c>
      <c r="X1145" s="820">
        <f t="shared" si="714"/>
        <v>0</v>
      </c>
      <c r="Y1145" s="820">
        <f t="shared" ca="1" si="714"/>
        <v>859550</v>
      </c>
      <c r="Z1145" s="820">
        <f t="shared" ca="1" si="714"/>
        <v>2188203.0999999982</v>
      </c>
      <c r="AA1145" s="820">
        <f t="shared" si="714"/>
        <v>294180</v>
      </c>
      <c r="AB1145" s="820"/>
      <c r="AC1145" s="820">
        <f t="shared" ref="AC1145:AE1145" si="715">AC1146+AC1158+AC1170+AC1178+AC1193+AC1207</f>
        <v>294180</v>
      </c>
      <c r="AD1145" s="820">
        <f t="shared" si="715"/>
        <v>40401086.240000196</v>
      </c>
      <c r="AE1145" s="820">
        <f t="shared" si="715"/>
        <v>40518100.640000194</v>
      </c>
      <c r="AF1145" s="735">
        <f t="shared" si="701"/>
        <v>0</v>
      </c>
      <c r="AG1145" s="819">
        <f>AG1146+AG1158+AG1170+AG1178+AG1193+AG1207</f>
        <v>0</v>
      </c>
      <c r="AH1145" s="711">
        <f>AH1146+AH1158+AH1170+AH1178+AH1193+AH1207</f>
        <v>1173</v>
      </c>
      <c r="AI1145" s="820">
        <f t="shared" ref="AI1145" si="716">AI1146+AI1158+AI1170+AI1178+AI1193+AI1207</f>
        <v>486218380.68000233</v>
      </c>
    </row>
    <row r="1146" spans="1:35" x14ac:dyDescent="0.2">
      <c r="A1146" s="876" t="s">
        <v>796</v>
      </c>
      <c r="B1146" s="722">
        <f>SUM(B1147:B1157)</f>
        <v>655</v>
      </c>
      <c r="C1146" s="784">
        <v>2406.5100000000002</v>
      </c>
      <c r="D1146" s="784"/>
      <c r="E1146" s="784"/>
      <c r="F1146" s="784"/>
      <c r="G1146" s="784"/>
      <c r="H1146" s="784"/>
      <c r="I1146" s="784"/>
      <c r="J1146" s="784">
        <f>SUM(J1147:J1212)</f>
        <v>722640</v>
      </c>
      <c r="K1146" s="784">
        <f>SUM(C1146:J1146)</f>
        <v>725046.51</v>
      </c>
      <c r="L1146" s="784">
        <v>1000</v>
      </c>
      <c r="M1146" s="784"/>
      <c r="N1146" s="784">
        <f>SUM(L1146:M1146)</f>
        <v>1000</v>
      </c>
      <c r="O1146" s="784">
        <f>SUM(O1147:O1157)</f>
        <v>22516284.160000209</v>
      </c>
      <c r="P1146" s="784">
        <f>SUM(P1147:P1157)</f>
        <v>22633298.560000207</v>
      </c>
      <c r="Q1146" s="711">
        <f>SUM(Q1147:Q1157)</f>
        <v>655</v>
      </c>
      <c r="R1146" s="784">
        <v>2406.5100000000002</v>
      </c>
      <c r="S1146" s="784"/>
      <c r="T1146" s="784"/>
      <c r="U1146" s="784"/>
      <c r="V1146" s="784"/>
      <c r="W1146" s="784"/>
      <c r="X1146" s="784"/>
      <c r="Y1146" s="784">
        <f ca="1">SUM(Y1147:Y1212)</f>
        <v>722640</v>
      </c>
      <c r="Z1146" s="784">
        <f ca="1">SUM(R1146:Y1146)</f>
        <v>725046.51</v>
      </c>
      <c r="AA1146" s="784">
        <v>1000</v>
      </c>
      <c r="AB1146" s="784"/>
      <c r="AC1146" s="784">
        <f>SUM(AA1146:AB1146)</f>
        <v>1000</v>
      </c>
      <c r="AD1146" s="784">
        <f>SUM(AD1147:AD1157)</f>
        <v>22516284.160000209</v>
      </c>
      <c r="AE1146" s="784">
        <f>SUM(AE1147:AE1157)</f>
        <v>22633298.560000207</v>
      </c>
      <c r="AF1146" s="735">
        <f t="shared" si="701"/>
        <v>0</v>
      </c>
      <c r="AG1146" s="722">
        <f>P1146-AE1146</f>
        <v>0</v>
      </c>
      <c r="AH1146" s="711">
        <f>SUM(AH1147:AH1157)</f>
        <v>655</v>
      </c>
      <c r="AI1146" s="784">
        <f>SUM(AI1147:AI1157)</f>
        <v>271600237.72000253</v>
      </c>
    </row>
    <row r="1147" spans="1:35" x14ac:dyDescent="0.2">
      <c r="A1147" s="704" t="s">
        <v>797</v>
      </c>
      <c r="B1147" s="711">
        <v>4</v>
      </c>
      <c r="C1147" s="735">
        <v>3200.4</v>
      </c>
      <c r="D1147" s="735"/>
      <c r="E1147" s="735"/>
      <c r="F1147" s="735"/>
      <c r="G1147" s="735"/>
      <c r="H1147" s="735"/>
      <c r="I1147" s="735"/>
      <c r="J1147" s="735"/>
      <c r="K1147" s="735">
        <f t="shared" ref="K1147" si="717">SUM(C1147:J1147)</f>
        <v>3200.4</v>
      </c>
      <c r="L1147" s="735">
        <v>600</v>
      </c>
      <c r="M1147" s="735"/>
      <c r="N1147" s="735">
        <f t="shared" ref="N1147:N1208" si="718">SUM(L1147:M1147)</f>
        <v>600</v>
      </c>
      <c r="O1147" s="735">
        <f>(K1147*12)+N1147</f>
        <v>39004.800000000003</v>
      </c>
      <c r="P1147" s="735">
        <f>B1147*O1147</f>
        <v>156019.20000000001</v>
      </c>
      <c r="Q1147" s="711">
        <v>4</v>
      </c>
      <c r="R1147" s="735">
        <v>3200.4</v>
      </c>
      <c r="S1147" s="735"/>
      <c r="T1147" s="735"/>
      <c r="U1147" s="735"/>
      <c r="V1147" s="735"/>
      <c r="W1147" s="735"/>
      <c r="X1147" s="735"/>
      <c r="Y1147" s="735"/>
      <c r="Z1147" s="735">
        <f t="shared" ref="Z1147" si="719">SUM(R1147:Y1147)</f>
        <v>3200.4</v>
      </c>
      <c r="AA1147" s="735">
        <v>600</v>
      </c>
      <c r="AB1147" s="735"/>
      <c r="AC1147" s="735">
        <f t="shared" ref="AC1147:AC1157" si="720">SUM(AA1147:AB1147)</f>
        <v>600</v>
      </c>
      <c r="AD1147" s="735">
        <f>(Z1147*12)+AC1147</f>
        <v>39004.800000000003</v>
      </c>
      <c r="AE1147" s="735">
        <f>Q1147*AD1147</f>
        <v>156019.20000000001</v>
      </c>
      <c r="AF1147" s="735">
        <f t="shared" si="701"/>
        <v>0</v>
      </c>
      <c r="AG1147" s="824">
        <f t="shared" ref="AG1147:AG1156" si="721">P1147-AE1147</f>
        <v>0</v>
      </c>
      <c r="AH1147" s="711">
        <v>4</v>
      </c>
      <c r="AI1147" s="735">
        <f>(AE1147*12)+AH1147</f>
        <v>1872234.4000000001</v>
      </c>
    </row>
    <row r="1148" spans="1:35" x14ac:dyDescent="0.2">
      <c r="A1148" s="704" t="s">
        <v>798</v>
      </c>
      <c r="B1148" s="711">
        <v>631</v>
      </c>
      <c r="C1148" s="735">
        <v>1514589.3000000173</v>
      </c>
      <c r="D1148" s="735"/>
      <c r="E1148" s="735"/>
      <c r="F1148" s="735"/>
      <c r="G1148" s="735"/>
      <c r="H1148" s="735"/>
      <c r="I1148" s="735"/>
      <c r="J1148" s="735">
        <v>290470</v>
      </c>
      <c r="K1148" s="735">
        <f>SUM(C1148:J1148)</f>
        <v>1805059.3000000173</v>
      </c>
      <c r="L1148" s="735">
        <v>378600</v>
      </c>
      <c r="M1148" s="735"/>
      <c r="N1148" s="735">
        <f t="shared" si="718"/>
        <v>378600</v>
      </c>
      <c r="O1148" s="735">
        <f>(K1148*12)+N1148</f>
        <v>22039311.600000206</v>
      </c>
      <c r="P1148" s="735">
        <f>O1148</f>
        <v>22039311.600000206</v>
      </c>
      <c r="Q1148" s="711">
        <v>631</v>
      </c>
      <c r="R1148" s="735">
        <v>1514589.3000000173</v>
      </c>
      <c r="S1148" s="735"/>
      <c r="T1148" s="735"/>
      <c r="U1148" s="735"/>
      <c r="V1148" s="735"/>
      <c r="W1148" s="735"/>
      <c r="X1148" s="735"/>
      <c r="Y1148" s="735">
        <v>290470</v>
      </c>
      <c r="Z1148" s="735">
        <f>SUM(R1148:Y1148)</f>
        <v>1805059.3000000173</v>
      </c>
      <c r="AA1148" s="735">
        <v>378600</v>
      </c>
      <c r="AB1148" s="735"/>
      <c r="AC1148" s="735">
        <f t="shared" si="720"/>
        <v>378600</v>
      </c>
      <c r="AD1148" s="735">
        <f>(Z1148*12)+AC1148</f>
        <v>22039311.600000206</v>
      </c>
      <c r="AE1148" s="735">
        <f>AD1148</f>
        <v>22039311.600000206</v>
      </c>
      <c r="AF1148" s="735">
        <f t="shared" si="701"/>
        <v>0</v>
      </c>
      <c r="AG1148" s="824">
        <f t="shared" si="721"/>
        <v>0</v>
      </c>
      <c r="AH1148" s="711">
        <v>631</v>
      </c>
      <c r="AI1148" s="735">
        <f>(AE1148*12)+AH1148</f>
        <v>264472370.20000249</v>
      </c>
    </row>
    <row r="1149" spans="1:35" x14ac:dyDescent="0.2">
      <c r="A1149" s="704" t="s">
        <v>799</v>
      </c>
      <c r="B1149" s="711">
        <v>2</v>
      </c>
      <c r="C1149" s="735">
        <v>4320.54</v>
      </c>
      <c r="D1149" s="735"/>
      <c r="E1149" s="735"/>
      <c r="F1149" s="735"/>
      <c r="G1149" s="735"/>
      <c r="H1149" s="735"/>
      <c r="I1149" s="735"/>
      <c r="J1149" s="735">
        <v>140</v>
      </c>
      <c r="K1149" s="735">
        <f>SUM(C1149:J1149)</f>
        <v>4460.54</v>
      </c>
      <c r="L1149" s="735">
        <v>1080</v>
      </c>
      <c r="M1149" s="735"/>
      <c r="N1149" s="735">
        <f t="shared" si="718"/>
        <v>1080</v>
      </c>
      <c r="O1149" s="735">
        <f>(K1149*12)+N1149</f>
        <v>54606.479999999996</v>
      </c>
      <c r="P1149" s="735">
        <f t="shared" ref="P1149:P1209" si="722">O1149</f>
        <v>54606.479999999996</v>
      </c>
      <c r="Q1149" s="711">
        <v>2</v>
      </c>
      <c r="R1149" s="735">
        <v>4320.54</v>
      </c>
      <c r="S1149" s="735"/>
      <c r="T1149" s="735"/>
      <c r="U1149" s="735"/>
      <c r="V1149" s="735"/>
      <c r="W1149" s="735"/>
      <c r="X1149" s="735"/>
      <c r="Y1149" s="735">
        <v>140</v>
      </c>
      <c r="Z1149" s="735">
        <f>SUM(R1149:Y1149)</f>
        <v>4460.54</v>
      </c>
      <c r="AA1149" s="735">
        <v>1080</v>
      </c>
      <c r="AB1149" s="735"/>
      <c r="AC1149" s="735">
        <f t="shared" si="720"/>
        <v>1080</v>
      </c>
      <c r="AD1149" s="735">
        <f>(Z1149*12)+AC1149</f>
        <v>54606.479999999996</v>
      </c>
      <c r="AE1149" s="735">
        <f t="shared" ref="AE1149:AE1157" si="723">AD1149</f>
        <v>54606.479999999996</v>
      </c>
      <c r="AF1149" s="735">
        <f t="shared" si="701"/>
        <v>0</v>
      </c>
      <c r="AG1149" s="824">
        <f t="shared" si="721"/>
        <v>0</v>
      </c>
      <c r="AH1149" s="711">
        <v>2</v>
      </c>
      <c r="AI1149" s="735">
        <f>(AE1149*12)+AH1149</f>
        <v>655279.76</v>
      </c>
    </row>
    <row r="1150" spans="1:35" x14ac:dyDescent="0.2">
      <c r="A1150" s="704" t="s">
        <v>800</v>
      </c>
      <c r="B1150" s="711">
        <v>1</v>
      </c>
      <c r="C1150" s="735">
        <v>2000.2500000000002</v>
      </c>
      <c r="D1150" s="735"/>
      <c r="E1150" s="735"/>
      <c r="F1150" s="735"/>
      <c r="G1150" s="735"/>
      <c r="H1150" s="735"/>
      <c r="I1150" s="735"/>
      <c r="J1150" s="735"/>
      <c r="K1150" s="735">
        <f t="shared" ref="K1150:K1157" si="724">SUM(C1150:J1150)</f>
        <v>2000.2500000000002</v>
      </c>
      <c r="L1150" s="735">
        <v>500</v>
      </c>
      <c r="M1150" s="735"/>
      <c r="N1150" s="735">
        <f t="shared" si="718"/>
        <v>500</v>
      </c>
      <c r="O1150" s="735">
        <f t="shared" ref="O1150:O1209" si="725">(K1150*12)+N1150</f>
        <v>24503.000000000004</v>
      </c>
      <c r="P1150" s="735">
        <f t="shared" si="722"/>
        <v>24503.000000000004</v>
      </c>
      <c r="Q1150" s="711">
        <v>1</v>
      </c>
      <c r="R1150" s="735">
        <v>2000.2500000000002</v>
      </c>
      <c r="S1150" s="735"/>
      <c r="T1150" s="735"/>
      <c r="U1150" s="735"/>
      <c r="V1150" s="735"/>
      <c r="W1150" s="735"/>
      <c r="X1150" s="735"/>
      <c r="Y1150" s="735"/>
      <c r="Z1150" s="735">
        <f t="shared" ref="Z1150:Z1157" si="726">SUM(R1150:Y1150)</f>
        <v>2000.2500000000002</v>
      </c>
      <c r="AA1150" s="735">
        <v>500</v>
      </c>
      <c r="AB1150" s="735"/>
      <c r="AC1150" s="735">
        <f t="shared" si="720"/>
        <v>500</v>
      </c>
      <c r="AD1150" s="735">
        <f t="shared" ref="AD1150:AD1157" si="727">(Z1150*12)+AC1150</f>
        <v>24503.000000000004</v>
      </c>
      <c r="AE1150" s="735">
        <f t="shared" si="723"/>
        <v>24503.000000000004</v>
      </c>
      <c r="AF1150" s="735">
        <f t="shared" si="701"/>
        <v>0</v>
      </c>
      <c r="AG1150" s="824">
        <f t="shared" si="721"/>
        <v>0</v>
      </c>
      <c r="AH1150" s="711">
        <v>1</v>
      </c>
      <c r="AI1150" s="735">
        <f t="shared" ref="AI1150:AI1157" si="728">(AE1150*12)+AH1150</f>
        <v>294037.00000000006</v>
      </c>
    </row>
    <row r="1151" spans="1:35" x14ac:dyDescent="0.2">
      <c r="A1151" s="704" t="s">
        <v>801</v>
      </c>
      <c r="B1151" s="711">
        <v>3</v>
      </c>
      <c r="C1151" s="735">
        <v>5760.7200000000012</v>
      </c>
      <c r="D1151" s="735"/>
      <c r="E1151" s="735"/>
      <c r="F1151" s="735"/>
      <c r="G1151" s="735"/>
      <c r="H1151" s="735"/>
      <c r="I1151" s="735"/>
      <c r="J1151" s="735">
        <v>740</v>
      </c>
      <c r="K1151" s="735">
        <f t="shared" si="724"/>
        <v>6500.7200000000012</v>
      </c>
      <c r="L1151" s="735">
        <v>1440</v>
      </c>
      <c r="M1151" s="735"/>
      <c r="N1151" s="735">
        <f t="shared" si="718"/>
        <v>1440</v>
      </c>
      <c r="O1151" s="735">
        <f t="shared" si="725"/>
        <v>79448.640000000014</v>
      </c>
      <c r="P1151" s="735">
        <f t="shared" si="722"/>
        <v>79448.640000000014</v>
      </c>
      <c r="Q1151" s="711">
        <v>3</v>
      </c>
      <c r="R1151" s="735">
        <v>5760.7200000000012</v>
      </c>
      <c r="S1151" s="735"/>
      <c r="T1151" s="735"/>
      <c r="U1151" s="735"/>
      <c r="V1151" s="735"/>
      <c r="W1151" s="735"/>
      <c r="X1151" s="735"/>
      <c r="Y1151" s="735">
        <v>740</v>
      </c>
      <c r="Z1151" s="735">
        <f t="shared" si="726"/>
        <v>6500.7200000000012</v>
      </c>
      <c r="AA1151" s="735">
        <v>1440</v>
      </c>
      <c r="AB1151" s="735"/>
      <c r="AC1151" s="735">
        <f t="shared" si="720"/>
        <v>1440</v>
      </c>
      <c r="AD1151" s="735">
        <f t="shared" si="727"/>
        <v>79448.640000000014</v>
      </c>
      <c r="AE1151" s="735">
        <f t="shared" si="723"/>
        <v>79448.640000000014</v>
      </c>
      <c r="AF1151" s="735">
        <f t="shared" si="701"/>
        <v>0</v>
      </c>
      <c r="AG1151" s="824">
        <f t="shared" si="721"/>
        <v>0</v>
      </c>
      <c r="AH1151" s="711">
        <v>3</v>
      </c>
      <c r="AI1151" s="735">
        <f t="shared" si="728"/>
        <v>953386.68000000017</v>
      </c>
    </row>
    <row r="1152" spans="1:35" x14ac:dyDescent="0.2">
      <c r="A1152" s="704" t="s">
        <v>802</v>
      </c>
      <c r="B1152" s="711">
        <v>3</v>
      </c>
      <c r="C1152" s="735">
        <v>5280.66</v>
      </c>
      <c r="D1152" s="735"/>
      <c r="E1152" s="735"/>
      <c r="F1152" s="735"/>
      <c r="G1152" s="735"/>
      <c r="H1152" s="735"/>
      <c r="I1152" s="735"/>
      <c r="J1152" s="735">
        <v>70</v>
      </c>
      <c r="K1152" s="735">
        <f t="shared" si="724"/>
        <v>5350.66</v>
      </c>
      <c r="L1152" s="735">
        <v>1320</v>
      </c>
      <c r="M1152" s="735"/>
      <c r="N1152" s="735">
        <f t="shared" si="718"/>
        <v>1320</v>
      </c>
      <c r="O1152" s="735">
        <f t="shared" si="725"/>
        <v>65527.92</v>
      </c>
      <c r="P1152" s="735">
        <f t="shared" si="722"/>
        <v>65527.92</v>
      </c>
      <c r="Q1152" s="711">
        <v>3</v>
      </c>
      <c r="R1152" s="735">
        <v>5280.66</v>
      </c>
      <c r="S1152" s="735"/>
      <c r="T1152" s="735"/>
      <c r="U1152" s="735"/>
      <c r="V1152" s="735"/>
      <c r="W1152" s="735"/>
      <c r="X1152" s="735"/>
      <c r="Y1152" s="735">
        <v>70</v>
      </c>
      <c r="Z1152" s="735">
        <f t="shared" si="726"/>
        <v>5350.66</v>
      </c>
      <c r="AA1152" s="735">
        <v>1320</v>
      </c>
      <c r="AB1152" s="735"/>
      <c r="AC1152" s="735">
        <f t="shared" si="720"/>
        <v>1320</v>
      </c>
      <c r="AD1152" s="735">
        <f t="shared" si="727"/>
        <v>65527.92</v>
      </c>
      <c r="AE1152" s="735">
        <f t="shared" si="723"/>
        <v>65527.92</v>
      </c>
      <c r="AF1152" s="735">
        <f t="shared" ref="AF1152:AF1210" si="729">AD1152-O1152</f>
        <v>0</v>
      </c>
      <c r="AG1152" s="824">
        <f t="shared" si="721"/>
        <v>0</v>
      </c>
      <c r="AH1152" s="711">
        <v>3</v>
      </c>
      <c r="AI1152" s="735">
        <f t="shared" si="728"/>
        <v>786338.04</v>
      </c>
    </row>
    <row r="1153" spans="1:35" x14ac:dyDescent="0.2">
      <c r="A1153" s="704" t="s">
        <v>803</v>
      </c>
      <c r="B1153" s="711">
        <v>7</v>
      </c>
      <c r="C1153" s="735">
        <v>10081.26</v>
      </c>
      <c r="D1153" s="735"/>
      <c r="E1153" s="735"/>
      <c r="F1153" s="735"/>
      <c r="G1153" s="735"/>
      <c r="H1153" s="735"/>
      <c r="I1153" s="735"/>
      <c r="J1153" s="735">
        <v>2870</v>
      </c>
      <c r="K1153" s="735">
        <f t="shared" si="724"/>
        <v>12951.26</v>
      </c>
      <c r="L1153" s="735">
        <v>2520</v>
      </c>
      <c r="M1153" s="735"/>
      <c r="N1153" s="735">
        <f t="shared" si="718"/>
        <v>2520</v>
      </c>
      <c r="O1153" s="735">
        <f t="shared" si="725"/>
        <v>157935.12</v>
      </c>
      <c r="P1153" s="735">
        <f t="shared" si="722"/>
        <v>157935.12</v>
      </c>
      <c r="Q1153" s="711">
        <v>7</v>
      </c>
      <c r="R1153" s="735">
        <v>10081.26</v>
      </c>
      <c r="S1153" s="735"/>
      <c r="T1153" s="735"/>
      <c r="U1153" s="735"/>
      <c r="V1153" s="735"/>
      <c r="W1153" s="735"/>
      <c r="X1153" s="735"/>
      <c r="Y1153" s="735">
        <v>2870</v>
      </c>
      <c r="Z1153" s="735">
        <f t="shared" si="726"/>
        <v>12951.26</v>
      </c>
      <c r="AA1153" s="735">
        <v>2520</v>
      </c>
      <c r="AB1153" s="735"/>
      <c r="AC1153" s="735">
        <f t="shared" si="720"/>
        <v>2520</v>
      </c>
      <c r="AD1153" s="735">
        <f t="shared" si="727"/>
        <v>157935.12</v>
      </c>
      <c r="AE1153" s="735">
        <f t="shared" si="723"/>
        <v>157935.12</v>
      </c>
      <c r="AF1153" s="735">
        <f t="shared" si="729"/>
        <v>0</v>
      </c>
      <c r="AG1153" s="824">
        <f t="shared" si="721"/>
        <v>0</v>
      </c>
      <c r="AH1153" s="711">
        <v>7</v>
      </c>
      <c r="AI1153" s="735">
        <f t="shared" si="728"/>
        <v>1895228.44</v>
      </c>
    </row>
    <row r="1154" spans="1:35" x14ac:dyDescent="0.2">
      <c r="A1154" s="704" t="s">
        <v>804</v>
      </c>
      <c r="B1154" s="711">
        <v>1</v>
      </c>
      <c r="C1154" s="735">
        <v>1360.17</v>
      </c>
      <c r="D1154" s="735"/>
      <c r="E1154" s="735"/>
      <c r="F1154" s="735"/>
      <c r="G1154" s="735"/>
      <c r="H1154" s="735"/>
      <c r="I1154" s="735"/>
      <c r="J1154" s="735"/>
      <c r="K1154" s="735">
        <f t="shared" si="724"/>
        <v>1360.17</v>
      </c>
      <c r="L1154" s="735">
        <v>340</v>
      </c>
      <c r="M1154" s="735"/>
      <c r="N1154" s="735">
        <f t="shared" si="718"/>
        <v>340</v>
      </c>
      <c r="O1154" s="735">
        <f t="shared" si="725"/>
        <v>16662.04</v>
      </c>
      <c r="P1154" s="735">
        <f t="shared" si="722"/>
        <v>16662.04</v>
      </c>
      <c r="Q1154" s="711">
        <v>1</v>
      </c>
      <c r="R1154" s="735">
        <v>1360.17</v>
      </c>
      <c r="S1154" s="735"/>
      <c r="T1154" s="735"/>
      <c r="U1154" s="735"/>
      <c r="V1154" s="735"/>
      <c r="W1154" s="735"/>
      <c r="X1154" s="735"/>
      <c r="Y1154" s="735"/>
      <c r="Z1154" s="735">
        <f t="shared" si="726"/>
        <v>1360.17</v>
      </c>
      <c r="AA1154" s="735">
        <v>340</v>
      </c>
      <c r="AB1154" s="735"/>
      <c r="AC1154" s="735">
        <f t="shared" si="720"/>
        <v>340</v>
      </c>
      <c r="AD1154" s="735">
        <f t="shared" si="727"/>
        <v>16662.04</v>
      </c>
      <c r="AE1154" s="735">
        <f t="shared" si="723"/>
        <v>16662.04</v>
      </c>
      <c r="AF1154" s="735">
        <f t="shared" si="729"/>
        <v>0</v>
      </c>
      <c r="AG1154" s="824">
        <f t="shared" si="721"/>
        <v>0</v>
      </c>
      <c r="AH1154" s="711">
        <v>1</v>
      </c>
      <c r="AI1154" s="735">
        <f t="shared" si="728"/>
        <v>199945.48</v>
      </c>
    </row>
    <row r="1155" spans="1:35" x14ac:dyDescent="0.2">
      <c r="A1155" s="704" t="s">
        <v>805</v>
      </c>
      <c r="B1155" s="711">
        <v>1</v>
      </c>
      <c r="C1155" s="735">
        <v>1200.1500000000001</v>
      </c>
      <c r="D1155" s="735"/>
      <c r="E1155" s="735"/>
      <c r="F1155" s="735"/>
      <c r="G1155" s="735"/>
      <c r="H1155" s="735"/>
      <c r="I1155" s="735"/>
      <c r="J1155" s="735"/>
      <c r="K1155" s="735">
        <f t="shared" si="724"/>
        <v>1200.1500000000001</v>
      </c>
      <c r="L1155" s="735">
        <v>300</v>
      </c>
      <c r="M1155" s="735"/>
      <c r="N1155" s="735">
        <f t="shared" si="718"/>
        <v>300</v>
      </c>
      <c r="O1155" s="735">
        <f t="shared" si="725"/>
        <v>14701.800000000001</v>
      </c>
      <c r="P1155" s="735">
        <f t="shared" si="722"/>
        <v>14701.800000000001</v>
      </c>
      <c r="Q1155" s="711">
        <v>1</v>
      </c>
      <c r="R1155" s="735">
        <v>1200.1500000000001</v>
      </c>
      <c r="S1155" s="735"/>
      <c r="T1155" s="735"/>
      <c r="U1155" s="735"/>
      <c r="V1155" s="735"/>
      <c r="W1155" s="735"/>
      <c r="X1155" s="735"/>
      <c r="Y1155" s="735"/>
      <c r="Z1155" s="735">
        <f t="shared" si="726"/>
        <v>1200.1500000000001</v>
      </c>
      <c r="AA1155" s="735">
        <v>300</v>
      </c>
      <c r="AB1155" s="735"/>
      <c r="AC1155" s="735">
        <f t="shared" si="720"/>
        <v>300</v>
      </c>
      <c r="AD1155" s="735">
        <f t="shared" si="727"/>
        <v>14701.800000000001</v>
      </c>
      <c r="AE1155" s="735">
        <f t="shared" si="723"/>
        <v>14701.800000000001</v>
      </c>
      <c r="AF1155" s="735">
        <f t="shared" si="729"/>
        <v>0</v>
      </c>
      <c r="AG1155" s="824">
        <f t="shared" si="721"/>
        <v>0</v>
      </c>
      <c r="AH1155" s="711">
        <v>1</v>
      </c>
      <c r="AI1155" s="735">
        <f t="shared" si="728"/>
        <v>176422.6</v>
      </c>
    </row>
    <row r="1156" spans="1:35" x14ac:dyDescent="0.2">
      <c r="A1156" s="704" t="s">
        <v>806</v>
      </c>
      <c r="B1156" s="711">
        <v>1</v>
      </c>
      <c r="C1156" s="735">
        <v>1040.1300000000001</v>
      </c>
      <c r="D1156" s="735"/>
      <c r="E1156" s="735"/>
      <c r="F1156" s="735"/>
      <c r="G1156" s="735"/>
      <c r="H1156" s="735"/>
      <c r="I1156" s="735"/>
      <c r="J1156" s="735"/>
      <c r="K1156" s="735">
        <f t="shared" ref="K1156" si="730">SUM(C1156:J1156)</f>
        <v>1040.1300000000001</v>
      </c>
      <c r="L1156" s="735">
        <v>260</v>
      </c>
      <c r="M1156" s="735"/>
      <c r="N1156" s="735">
        <f t="shared" ref="N1156" si="731">SUM(L1156:M1156)</f>
        <v>260</v>
      </c>
      <c r="O1156" s="735">
        <f t="shared" si="725"/>
        <v>12741.560000000001</v>
      </c>
      <c r="P1156" s="735">
        <f t="shared" si="722"/>
        <v>12741.560000000001</v>
      </c>
      <c r="Q1156" s="711">
        <v>1</v>
      </c>
      <c r="R1156" s="735">
        <v>1040.1300000000001</v>
      </c>
      <c r="S1156" s="735"/>
      <c r="T1156" s="735"/>
      <c r="U1156" s="735"/>
      <c r="V1156" s="735"/>
      <c r="W1156" s="735"/>
      <c r="X1156" s="735"/>
      <c r="Y1156" s="735"/>
      <c r="Z1156" s="735">
        <f t="shared" si="726"/>
        <v>1040.1300000000001</v>
      </c>
      <c r="AA1156" s="735">
        <v>260</v>
      </c>
      <c r="AB1156" s="735"/>
      <c r="AC1156" s="735">
        <f t="shared" si="720"/>
        <v>260</v>
      </c>
      <c r="AD1156" s="735">
        <f t="shared" si="727"/>
        <v>12741.560000000001</v>
      </c>
      <c r="AE1156" s="735">
        <f t="shared" si="723"/>
        <v>12741.560000000001</v>
      </c>
      <c r="AF1156" s="735">
        <f t="shared" si="729"/>
        <v>0</v>
      </c>
      <c r="AG1156" s="824">
        <f t="shared" si="721"/>
        <v>0</v>
      </c>
      <c r="AH1156" s="711">
        <v>1</v>
      </c>
      <c r="AI1156" s="735">
        <f t="shared" si="728"/>
        <v>152899.72000000003</v>
      </c>
    </row>
    <row r="1157" spans="1:35" x14ac:dyDescent="0.2">
      <c r="A1157" s="704" t="s">
        <v>807</v>
      </c>
      <c r="B1157" s="711">
        <v>1</v>
      </c>
      <c r="C1157" s="735">
        <v>800.1</v>
      </c>
      <c r="D1157" s="735"/>
      <c r="E1157" s="735"/>
      <c r="F1157" s="735"/>
      <c r="G1157" s="735"/>
      <c r="H1157" s="735"/>
      <c r="I1157" s="735"/>
      <c r="J1157" s="735">
        <v>170</v>
      </c>
      <c r="K1157" s="735">
        <f t="shared" si="724"/>
        <v>970.1</v>
      </c>
      <c r="L1157" s="735">
        <v>200</v>
      </c>
      <c r="M1157" s="735"/>
      <c r="N1157" s="735">
        <f t="shared" si="718"/>
        <v>200</v>
      </c>
      <c r="O1157" s="735">
        <f t="shared" si="725"/>
        <v>11841.2</v>
      </c>
      <c r="P1157" s="735">
        <f t="shared" si="722"/>
        <v>11841.2</v>
      </c>
      <c r="Q1157" s="711">
        <v>1</v>
      </c>
      <c r="R1157" s="735">
        <v>800.1</v>
      </c>
      <c r="S1157" s="735"/>
      <c r="T1157" s="735"/>
      <c r="U1157" s="735"/>
      <c r="V1157" s="735"/>
      <c r="W1157" s="735"/>
      <c r="X1157" s="735"/>
      <c r="Y1157" s="735">
        <v>170</v>
      </c>
      <c r="Z1157" s="735">
        <f t="shared" si="726"/>
        <v>970.1</v>
      </c>
      <c r="AA1157" s="735">
        <v>200</v>
      </c>
      <c r="AB1157" s="735"/>
      <c r="AC1157" s="735">
        <f t="shared" si="720"/>
        <v>200</v>
      </c>
      <c r="AD1157" s="735">
        <f t="shared" si="727"/>
        <v>11841.2</v>
      </c>
      <c r="AE1157" s="735">
        <f t="shared" si="723"/>
        <v>11841.2</v>
      </c>
      <c r="AF1157" s="735">
        <f t="shared" si="729"/>
        <v>0</v>
      </c>
      <c r="AG1157" s="824">
        <f>P1157-AE1157</f>
        <v>0</v>
      </c>
      <c r="AH1157" s="711">
        <v>1</v>
      </c>
      <c r="AI1157" s="735">
        <f t="shared" si="728"/>
        <v>142095.40000000002</v>
      </c>
    </row>
    <row r="1158" spans="1:35" x14ac:dyDescent="0.2">
      <c r="A1158" s="876" t="s">
        <v>808</v>
      </c>
      <c r="B1158" s="722">
        <f>SUM(B1159:B1169)</f>
        <v>81</v>
      </c>
      <c r="C1158" s="784">
        <f>SUM(C1159:C1169)</f>
        <v>184343.04000000001</v>
      </c>
      <c r="D1158" s="784"/>
      <c r="E1158" s="784">
        <f t="shared" ref="E1158:L1158" si="732">SUM(E1159:E1169)</f>
        <v>0</v>
      </c>
      <c r="F1158" s="784">
        <f t="shared" si="732"/>
        <v>0</v>
      </c>
      <c r="G1158" s="784">
        <f t="shared" si="732"/>
        <v>0</v>
      </c>
      <c r="H1158" s="784">
        <f t="shared" si="732"/>
        <v>0</v>
      </c>
      <c r="I1158" s="784">
        <f t="shared" si="732"/>
        <v>0</v>
      </c>
      <c r="J1158" s="784">
        <f t="shared" si="732"/>
        <v>37680</v>
      </c>
      <c r="K1158" s="784">
        <f t="shared" si="732"/>
        <v>222023.04000000001</v>
      </c>
      <c r="L1158" s="784">
        <f t="shared" si="732"/>
        <v>46080</v>
      </c>
      <c r="M1158" s="784"/>
      <c r="N1158" s="784">
        <f>SUM(N1159:N1169)</f>
        <v>46080</v>
      </c>
      <c r="O1158" s="784">
        <f>SUM(O1159:O1169)</f>
        <v>2710356.48</v>
      </c>
      <c r="P1158" s="784">
        <f>SUM(P1159:P1169)</f>
        <v>2710356.48</v>
      </c>
      <c r="Q1158" s="711">
        <f>SUM(Q1159:Q1169)</f>
        <v>81</v>
      </c>
      <c r="R1158" s="784">
        <f>SUM(R1159:R1169)</f>
        <v>184343.04000000001</v>
      </c>
      <c r="S1158" s="784"/>
      <c r="T1158" s="784">
        <f t="shared" ref="T1158:AA1158" si="733">SUM(T1159:T1169)</f>
        <v>0</v>
      </c>
      <c r="U1158" s="784">
        <f t="shared" si="733"/>
        <v>0</v>
      </c>
      <c r="V1158" s="784">
        <f t="shared" si="733"/>
        <v>0</v>
      </c>
      <c r="W1158" s="784">
        <f t="shared" si="733"/>
        <v>0</v>
      </c>
      <c r="X1158" s="784">
        <f t="shared" si="733"/>
        <v>0</v>
      </c>
      <c r="Y1158" s="784">
        <f t="shared" si="733"/>
        <v>37680</v>
      </c>
      <c r="Z1158" s="784">
        <f t="shared" si="733"/>
        <v>222023.04000000001</v>
      </c>
      <c r="AA1158" s="784">
        <f t="shared" si="733"/>
        <v>46080</v>
      </c>
      <c r="AB1158" s="784"/>
      <c r="AC1158" s="784">
        <f>SUM(AC1159:AC1169)</f>
        <v>46080</v>
      </c>
      <c r="AD1158" s="784">
        <f>SUM(AD1159:AD1169)</f>
        <v>2710356.48</v>
      </c>
      <c r="AE1158" s="784">
        <f>SUM(AE1159:AE1169)</f>
        <v>2710356.48</v>
      </c>
      <c r="AF1158" s="735">
        <f t="shared" si="729"/>
        <v>0</v>
      </c>
      <c r="AG1158" s="722">
        <f>SUM(AG1159:AG1169)</f>
        <v>0</v>
      </c>
      <c r="AH1158" s="711">
        <f>SUM(AH1159:AH1169)</f>
        <v>81</v>
      </c>
      <c r="AI1158" s="784">
        <f>SUM(AI1159:AI1169)</f>
        <v>32524358.760000002</v>
      </c>
    </row>
    <row r="1159" spans="1:35" x14ac:dyDescent="0.2">
      <c r="A1159" s="704" t="s">
        <v>798</v>
      </c>
      <c r="B1159" s="711">
        <v>67</v>
      </c>
      <c r="C1159" s="735">
        <v>160820.09999999998</v>
      </c>
      <c r="D1159" s="735"/>
      <c r="E1159" s="735"/>
      <c r="F1159" s="735"/>
      <c r="G1159" s="735"/>
      <c r="H1159" s="735"/>
      <c r="I1159" s="735"/>
      <c r="J1159" s="735">
        <v>32820</v>
      </c>
      <c r="K1159" s="735">
        <f t="shared" ref="K1159:K1209" si="734">SUM(C1159:J1159)</f>
        <v>193640.09999999998</v>
      </c>
      <c r="L1159" s="735">
        <v>40200</v>
      </c>
      <c r="M1159" s="735"/>
      <c r="N1159" s="735">
        <f t="shared" si="718"/>
        <v>40200</v>
      </c>
      <c r="O1159" s="735">
        <f t="shared" si="725"/>
        <v>2363881.1999999997</v>
      </c>
      <c r="P1159" s="735">
        <f t="shared" si="722"/>
        <v>2363881.1999999997</v>
      </c>
      <c r="Q1159" s="711">
        <v>67</v>
      </c>
      <c r="R1159" s="735">
        <v>160820.09999999998</v>
      </c>
      <c r="S1159" s="735"/>
      <c r="T1159" s="735"/>
      <c r="U1159" s="735"/>
      <c r="V1159" s="735"/>
      <c r="W1159" s="735"/>
      <c r="X1159" s="735"/>
      <c r="Y1159" s="735">
        <v>32820</v>
      </c>
      <c r="Z1159" s="735">
        <f t="shared" ref="Z1159:Z1169" si="735">SUM(R1159:Y1159)</f>
        <v>193640.09999999998</v>
      </c>
      <c r="AA1159" s="735">
        <v>40200</v>
      </c>
      <c r="AB1159" s="735"/>
      <c r="AC1159" s="735">
        <f t="shared" ref="AC1159:AC1169" si="736">SUM(AA1159:AB1159)</f>
        <v>40200</v>
      </c>
      <c r="AD1159" s="735">
        <f t="shared" ref="AD1159:AD1169" si="737">(Z1159*12)+AC1159</f>
        <v>2363881.1999999997</v>
      </c>
      <c r="AE1159" s="735">
        <f t="shared" ref="AE1159:AE1169" si="738">AD1159</f>
        <v>2363881.1999999997</v>
      </c>
      <c r="AF1159" s="735">
        <f t="shared" si="729"/>
        <v>0</v>
      </c>
      <c r="AG1159" s="824">
        <f t="shared" ref="AG1159:AG1168" si="739">P1159-AE1159</f>
        <v>0</v>
      </c>
      <c r="AH1159" s="711">
        <v>67</v>
      </c>
      <c r="AI1159" s="735">
        <f t="shared" ref="AI1159:AI1169" si="740">(AE1159*12)+AH1159</f>
        <v>28366641.399999999</v>
      </c>
    </row>
    <row r="1160" spans="1:35" x14ac:dyDescent="0.2">
      <c r="A1160" s="704" t="s">
        <v>809</v>
      </c>
      <c r="B1160" s="711">
        <v>1</v>
      </c>
      <c r="C1160" s="735">
        <v>2240.2800000000002</v>
      </c>
      <c r="D1160" s="735"/>
      <c r="E1160" s="735"/>
      <c r="F1160" s="735"/>
      <c r="G1160" s="735"/>
      <c r="H1160" s="735"/>
      <c r="I1160" s="735"/>
      <c r="J1160" s="735">
        <v>500</v>
      </c>
      <c r="K1160" s="735">
        <f t="shared" ref="K1160:K1161" si="741">SUM(C1160:J1160)</f>
        <v>2740.28</v>
      </c>
      <c r="L1160" s="735">
        <v>560</v>
      </c>
      <c r="M1160" s="735"/>
      <c r="N1160" s="735">
        <f t="shared" ref="N1160:N1161" si="742">SUM(L1160:M1160)</f>
        <v>560</v>
      </c>
      <c r="O1160" s="735">
        <f t="shared" si="725"/>
        <v>33443.360000000001</v>
      </c>
      <c r="P1160" s="735">
        <f t="shared" si="722"/>
        <v>33443.360000000001</v>
      </c>
      <c r="Q1160" s="711">
        <v>1</v>
      </c>
      <c r="R1160" s="735">
        <v>2240.2800000000002</v>
      </c>
      <c r="S1160" s="735"/>
      <c r="T1160" s="735"/>
      <c r="U1160" s="735"/>
      <c r="V1160" s="735"/>
      <c r="W1160" s="735"/>
      <c r="X1160" s="735"/>
      <c r="Y1160" s="735">
        <v>500</v>
      </c>
      <c r="Z1160" s="735">
        <f t="shared" si="735"/>
        <v>2740.28</v>
      </c>
      <c r="AA1160" s="735">
        <v>560</v>
      </c>
      <c r="AB1160" s="735"/>
      <c r="AC1160" s="735">
        <f t="shared" si="736"/>
        <v>560</v>
      </c>
      <c r="AD1160" s="735">
        <f t="shared" si="737"/>
        <v>33443.360000000001</v>
      </c>
      <c r="AE1160" s="735">
        <f t="shared" si="738"/>
        <v>33443.360000000001</v>
      </c>
      <c r="AF1160" s="735">
        <f t="shared" si="729"/>
        <v>0</v>
      </c>
      <c r="AG1160" s="824">
        <f t="shared" si="739"/>
        <v>0</v>
      </c>
      <c r="AH1160" s="711">
        <v>1</v>
      </c>
      <c r="AI1160" s="735">
        <f t="shared" si="740"/>
        <v>401321.32</v>
      </c>
    </row>
    <row r="1161" spans="1:35" x14ac:dyDescent="0.2">
      <c r="A1161" s="704" t="s">
        <v>799</v>
      </c>
      <c r="B1161" s="711">
        <v>1</v>
      </c>
      <c r="C1161" s="735">
        <v>2160.27</v>
      </c>
      <c r="D1161" s="735"/>
      <c r="E1161" s="735"/>
      <c r="F1161" s="735"/>
      <c r="G1161" s="735"/>
      <c r="H1161" s="735"/>
      <c r="I1161" s="735"/>
      <c r="J1161" s="735"/>
      <c r="K1161" s="735">
        <f t="shared" si="741"/>
        <v>2160.27</v>
      </c>
      <c r="L1161" s="735">
        <v>540</v>
      </c>
      <c r="M1161" s="735"/>
      <c r="N1161" s="735">
        <f t="shared" si="742"/>
        <v>540</v>
      </c>
      <c r="O1161" s="735">
        <f t="shared" si="725"/>
        <v>26463.239999999998</v>
      </c>
      <c r="P1161" s="735">
        <f t="shared" si="722"/>
        <v>26463.239999999998</v>
      </c>
      <c r="Q1161" s="711">
        <v>1</v>
      </c>
      <c r="R1161" s="735">
        <v>2160.27</v>
      </c>
      <c r="S1161" s="735"/>
      <c r="T1161" s="735"/>
      <c r="U1161" s="735"/>
      <c r="V1161" s="735"/>
      <c r="W1161" s="735"/>
      <c r="X1161" s="735"/>
      <c r="Y1161" s="735"/>
      <c r="Z1161" s="735">
        <f t="shared" si="735"/>
        <v>2160.27</v>
      </c>
      <c r="AA1161" s="735">
        <v>540</v>
      </c>
      <c r="AB1161" s="735"/>
      <c r="AC1161" s="735">
        <f t="shared" si="736"/>
        <v>540</v>
      </c>
      <c r="AD1161" s="735">
        <f t="shared" si="737"/>
        <v>26463.239999999998</v>
      </c>
      <c r="AE1161" s="735">
        <f t="shared" si="738"/>
        <v>26463.239999999998</v>
      </c>
      <c r="AF1161" s="735">
        <f t="shared" si="729"/>
        <v>0</v>
      </c>
      <c r="AG1161" s="824">
        <f t="shared" si="739"/>
        <v>0</v>
      </c>
      <c r="AH1161" s="711">
        <v>1</v>
      </c>
      <c r="AI1161" s="735">
        <f t="shared" si="740"/>
        <v>317559.88</v>
      </c>
    </row>
    <row r="1162" spans="1:35" x14ac:dyDescent="0.2">
      <c r="A1162" s="704" t="s">
        <v>810</v>
      </c>
      <c r="B1162" s="711">
        <v>1</v>
      </c>
      <c r="C1162" s="735">
        <v>2080.2600000000002</v>
      </c>
      <c r="D1162" s="735"/>
      <c r="E1162" s="735"/>
      <c r="F1162" s="735"/>
      <c r="G1162" s="735"/>
      <c r="H1162" s="735"/>
      <c r="I1162" s="735"/>
      <c r="J1162" s="735"/>
      <c r="K1162" s="735">
        <f t="shared" si="734"/>
        <v>2080.2600000000002</v>
      </c>
      <c r="L1162" s="735">
        <v>520</v>
      </c>
      <c r="M1162" s="735"/>
      <c r="N1162" s="735">
        <f t="shared" si="718"/>
        <v>520</v>
      </c>
      <c r="O1162" s="735">
        <f t="shared" si="725"/>
        <v>25483.120000000003</v>
      </c>
      <c r="P1162" s="735">
        <f t="shared" si="722"/>
        <v>25483.120000000003</v>
      </c>
      <c r="Q1162" s="711">
        <v>1</v>
      </c>
      <c r="R1162" s="735">
        <v>2080.2600000000002</v>
      </c>
      <c r="S1162" s="735"/>
      <c r="T1162" s="735"/>
      <c r="U1162" s="735"/>
      <c r="V1162" s="735"/>
      <c r="W1162" s="735"/>
      <c r="X1162" s="735"/>
      <c r="Y1162" s="735"/>
      <c r="Z1162" s="735">
        <f t="shared" si="735"/>
        <v>2080.2600000000002</v>
      </c>
      <c r="AA1162" s="735">
        <v>520</v>
      </c>
      <c r="AB1162" s="735"/>
      <c r="AC1162" s="735">
        <f t="shared" si="736"/>
        <v>520</v>
      </c>
      <c r="AD1162" s="735">
        <f t="shared" si="737"/>
        <v>25483.120000000003</v>
      </c>
      <c r="AE1162" s="735">
        <f t="shared" si="738"/>
        <v>25483.120000000003</v>
      </c>
      <c r="AF1162" s="735">
        <f t="shared" si="729"/>
        <v>0</v>
      </c>
      <c r="AG1162" s="824">
        <f t="shared" si="739"/>
        <v>0</v>
      </c>
      <c r="AH1162" s="711">
        <v>1</v>
      </c>
      <c r="AI1162" s="735">
        <f t="shared" si="740"/>
        <v>305798.44000000006</v>
      </c>
    </row>
    <row r="1163" spans="1:35" x14ac:dyDescent="0.2">
      <c r="A1163" s="704" t="s">
        <v>801</v>
      </c>
      <c r="B1163" s="711">
        <v>3</v>
      </c>
      <c r="C1163" s="735">
        <v>5760.7200000000012</v>
      </c>
      <c r="D1163" s="735"/>
      <c r="E1163" s="735"/>
      <c r="F1163" s="735"/>
      <c r="G1163" s="735"/>
      <c r="H1163" s="735"/>
      <c r="I1163" s="735"/>
      <c r="J1163" s="735">
        <v>310</v>
      </c>
      <c r="K1163" s="735">
        <f t="shared" si="734"/>
        <v>6070.7200000000012</v>
      </c>
      <c r="L1163" s="735">
        <v>1440</v>
      </c>
      <c r="M1163" s="735"/>
      <c r="N1163" s="735">
        <f t="shared" si="718"/>
        <v>1440</v>
      </c>
      <c r="O1163" s="735">
        <f t="shared" si="725"/>
        <v>74288.640000000014</v>
      </c>
      <c r="P1163" s="735">
        <f t="shared" si="722"/>
        <v>74288.640000000014</v>
      </c>
      <c r="Q1163" s="711">
        <v>3</v>
      </c>
      <c r="R1163" s="735">
        <v>5760.7200000000012</v>
      </c>
      <c r="S1163" s="735"/>
      <c r="T1163" s="735"/>
      <c r="U1163" s="735"/>
      <c r="V1163" s="735"/>
      <c r="W1163" s="735"/>
      <c r="X1163" s="735"/>
      <c r="Y1163" s="735">
        <v>310</v>
      </c>
      <c r="Z1163" s="735">
        <f t="shared" si="735"/>
        <v>6070.7200000000012</v>
      </c>
      <c r="AA1163" s="735">
        <v>1440</v>
      </c>
      <c r="AB1163" s="735"/>
      <c r="AC1163" s="735">
        <f t="shared" si="736"/>
        <v>1440</v>
      </c>
      <c r="AD1163" s="735">
        <f t="shared" si="737"/>
        <v>74288.640000000014</v>
      </c>
      <c r="AE1163" s="735">
        <f t="shared" si="738"/>
        <v>74288.640000000014</v>
      </c>
      <c r="AF1163" s="735">
        <f t="shared" si="729"/>
        <v>0</v>
      </c>
      <c r="AG1163" s="824">
        <f t="shared" si="739"/>
        <v>0</v>
      </c>
      <c r="AH1163" s="711">
        <v>3</v>
      </c>
      <c r="AI1163" s="735">
        <f t="shared" si="740"/>
        <v>891466.68000000017</v>
      </c>
    </row>
    <row r="1164" spans="1:35" x14ac:dyDescent="0.2">
      <c r="A1164" s="704" t="s">
        <v>802</v>
      </c>
      <c r="B1164" s="711">
        <v>1</v>
      </c>
      <c r="C1164" s="735">
        <v>1760.22</v>
      </c>
      <c r="D1164" s="735"/>
      <c r="E1164" s="735"/>
      <c r="F1164" s="735"/>
      <c r="G1164" s="735"/>
      <c r="H1164" s="735"/>
      <c r="I1164" s="735"/>
      <c r="J1164" s="735">
        <v>500</v>
      </c>
      <c r="K1164" s="735">
        <f t="shared" si="734"/>
        <v>2260.2200000000003</v>
      </c>
      <c r="L1164" s="735">
        <v>440</v>
      </c>
      <c r="M1164" s="735"/>
      <c r="N1164" s="735">
        <f t="shared" si="718"/>
        <v>440</v>
      </c>
      <c r="O1164" s="735">
        <f t="shared" si="725"/>
        <v>27562.640000000003</v>
      </c>
      <c r="P1164" s="735">
        <f t="shared" si="722"/>
        <v>27562.640000000003</v>
      </c>
      <c r="Q1164" s="711">
        <v>1</v>
      </c>
      <c r="R1164" s="735">
        <v>1760.22</v>
      </c>
      <c r="S1164" s="735"/>
      <c r="T1164" s="735"/>
      <c r="U1164" s="735"/>
      <c r="V1164" s="735"/>
      <c r="W1164" s="735"/>
      <c r="X1164" s="735"/>
      <c r="Y1164" s="735">
        <v>500</v>
      </c>
      <c r="Z1164" s="735">
        <f t="shared" si="735"/>
        <v>2260.2200000000003</v>
      </c>
      <c r="AA1164" s="735">
        <v>440</v>
      </c>
      <c r="AB1164" s="735"/>
      <c r="AC1164" s="735">
        <f t="shared" si="736"/>
        <v>440</v>
      </c>
      <c r="AD1164" s="735">
        <f t="shared" si="737"/>
        <v>27562.640000000003</v>
      </c>
      <c r="AE1164" s="735">
        <f t="shared" si="738"/>
        <v>27562.640000000003</v>
      </c>
      <c r="AF1164" s="735">
        <f t="shared" si="729"/>
        <v>0</v>
      </c>
      <c r="AG1164" s="824">
        <f t="shared" si="739"/>
        <v>0</v>
      </c>
      <c r="AH1164" s="711">
        <v>1</v>
      </c>
      <c r="AI1164" s="735">
        <f t="shared" si="740"/>
        <v>330752.68000000005</v>
      </c>
    </row>
    <row r="1165" spans="1:35" x14ac:dyDescent="0.2">
      <c r="A1165" s="704" t="s">
        <v>811</v>
      </c>
      <c r="B1165" s="711">
        <v>1</v>
      </c>
      <c r="C1165" s="735">
        <v>1520.19</v>
      </c>
      <c r="D1165" s="735"/>
      <c r="E1165" s="735"/>
      <c r="F1165" s="735"/>
      <c r="G1165" s="735"/>
      <c r="H1165" s="735"/>
      <c r="I1165" s="735"/>
      <c r="J1165" s="735">
        <v>70</v>
      </c>
      <c r="K1165" s="735">
        <f t="shared" si="734"/>
        <v>1590.19</v>
      </c>
      <c r="L1165" s="735">
        <v>380</v>
      </c>
      <c r="M1165" s="735"/>
      <c r="N1165" s="735">
        <f t="shared" si="718"/>
        <v>380</v>
      </c>
      <c r="O1165" s="735">
        <f t="shared" si="725"/>
        <v>19462.28</v>
      </c>
      <c r="P1165" s="735">
        <f t="shared" si="722"/>
        <v>19462.28</v>
      </c>
      <c r="Q1165" s="711">
        <v>1</v>
      </c>
      <c r="R1165" s="735">
        <v>1520.19</v>
      </c>
      <c r="S1165" s="735"/>
      <c r="T1165" s="735"/>
      <c r="U1165" s="735"/>
      <c r="V1165" s="735"/>
      <c r="W1165" s="735"/>
      <c r="X1165" s="735"/>
      <c r="Y1165" s="735">
        <v>70</v>
      </c>
      <c r="Z1165" s="735">
        <f t="shared" si="735"/>
        <v>1590.19</v>
      </c>
      <c r="AA1165" s="735">
        <v>380</v>
      </c>
      <c r="AB1165" s="735"/>
      <c r="AC1165" s="735">
        <f t="shared" si="736"/>
        <v>380</v>
      </c>
      <c r="AD1165" s="735">
        <f t="shared" si="737"/>
        <v>19462.28</v>
      </c>
      <c r="AE1165" s="735">
        <f t="shared" si="738"/>
        <v>19462.28</v>
      </c>
      <c r="AF1165" s="735">
        <f t="shared" si="729"/>
        <v>0</v>
      </c>
      <c r="AG1165" s="824">
        <f t="shared" si="739"/>
        <v>0</v>
      </c>
      <c r="AH1165" s="711">
        <v>1</v>
      </c>
      <c r="AI1165" s="735">
        <f t="shared" si="740"/>
        <v>233548.36</v>
      </c>
    </row>
    <row r="1166" spans="1:35" x14ac:dyDescent="0.2">
      <c r="A1166" s="704" t="s">
        <v>803</v>
      </c>
      <c r="B1166" s="711">
        <v>3</v>
      </c>
      <c r="C1166" s="735">
        <v>4320.54</v>
      </c>
      <c r="D1166" s="735"/>
      <c r="E1166" s="735"/>
      <c r="F1166" s="735"/>
      <c r="G1166" s="735"/>
      <c r="H1166" s="735"/>
      <c r="I1166" s="735"/>
      <c r="J1166" s="735">
        <v>1780</v>
      </c>
      <c r="K1166" s="735">
        <f t="shared" si="734"/>
        <v>6100.54</v>
      </c>
      <c r="L1166" s="735">
        <v>1080</v>
      </c>
      <c r="M1166" s="735"/>
      <c r="N1166" s="735">
        <f t="shared" si="718"/>
        <v>1080</v>
      </c>
      <c r="O1166" s="735">
        <f t="shared" si="725"/>
        <v>74286.48</v>
      </c>
      <c r="P1166" s="735">
        <f t="shared" si="722"/>
        <v>74286.48</v>
      </c>
      <c r="Q1166" s="711">
        <v>3</v>
      </c>
      <c r="R1166" s="735">
        <v>4320.54</v>
      </c>
      <c r="S1166" s="735"/>
      <c r="T1166" s="735"/>
      <c r="U1166" s="735"/>
      <c r="V1166" s="735"/>
      <c r="W1166" s="735"/>
      <c r="X1166" s="735"/>
      <c r="Y1166" s="735">
        <v>1780</v>
      </c>
      <c r="Z1166" s="735">
        <f t="shared" si="735"/>
        <v>6100.54</v>
      </c>
      <c r="AA1166" s="735">
        <v>1080</v>
      </c>
      <c r="AB1166" s="735"/>
      <c r="AC1166" s="735">
        <f t="shared" si="736"/>
        <v>1080</v>
      </c>
      <c r="AD1166" s="735">
        <f t="shared" si="737"/>
        <v>74286.48</v>
      </c>
      <c r="AE1166" s="735">
        <f t="shared" si="738"/>
        <v>74286.48</v>
      </c>
      <c r="AF1166" s="735">
        <f t="shared" si="729"/>
        <v>0</v>
      </c>
      <c r="AG1166" s="824">
        <f t="shared" si="739"/>
        <v>0</v>
      </c>
      <c r="AH1166" s="711">
        <v>3</v>
      </c>
      <c r="AI1166" s="735">
        <f t="shared" si="740"/>
        <v>891440.76</v>
      </c>
    </row>
    <row r="1167" spans="1:35" x14ac:dyDescent="0.2">
      <c r="A1167" s="704" t="s">
        <v>804</v>
      </c>
      <c r="B1167" s="711">
        <v>1</v>
      </c>
      <c r="C1167" s="735">
        <v>1360.17</v>
      </c>
      <c r="D1167" s="735"/>
      <c r="E1167" s="735"/>
      <c r="F1167" s="735"/>
      <c r="G1167" s="735"/>
      <c r="H1167" s="735"/>
      <c r="I1167" s="735"/>
      <c r="J1167" s="735">
        <v>600</v>
      </c>
      <c r="K1167" s="735">
        <f t="shared" si="734"/>
        <v>1960.17</v>
      </c>
      <c r="L1167" s="735">
        <v>340</v>
      </c>
      <c r="M1167" s="735"/>
      <c r="N1167" s="735">
        <f t="shared" si="718"/>
        <v>340</v>
      </c>
      <c r="O1167" s="735">
        <f t="shared" si="725"/>
        <v>23862.04</v>
      </c>
      <c r="P1167" s="735">
        <f t="shared" si="722"/>
        <v>23862.04</v>
      </c>
      <c r="Q1167" s="711">
        <v>1</v>
      </c>
      <c r="R1167" s="735">
        <v>1360.17</v>
      </c>
      <c r="S1167" s="735"/>
      <c r="T1167" s="735"/>
      <c r="U1167" s="735"/>
      <c r="V1167" s="735"/>
      <c r="W1167" s="735"/>
      <c r="X1167" s="735"/>
      <c r="Y1167" s="735">
        <v>600</v>
      </c>
      <c r="Z1167" s="735">
        <f t="shared" si="735"/>
        <v>1960.17</v>
      </c>
      <c r="AA1167" s="735">
        <v>340</v>
      </c>
      <c r="AB1167" s="735"/>
      <c r="AC1167" s="735">
        <f t="shared" si="736"/>
        <v>340</v>
      </c>
      <c r="AD1167" s="735">
        <f t="shared" si="737"/>
        <v>23862.04</v>
      </c>
      <c r="AE1167" s="735">
        <f t="shared" si="738"/>
        <v>23862.04</v>
      </c>
      <c r="AF1167" s="735">
        <f t="shared" si="729"/>
        <v>0</v>
      </c>
      <c r="AG1167" s="824">
        <f t="shared" si="739"/>
        <v>0</v>
      </c>
      <c r="AH1167" s="711">
        <v>1</v>
      </c>
      <c r="AI1167" s="735">
        <f t="shared" si="740"/>
        <v>286345.48</v>
      </c>
    </row>
    <row r="1168" spans="1:35" x14ac:dyDescent="0.2">
      <c r="A1168" s="704" t="s">
        <v>812</v>
      </c>
      <c r="B1168" s="711">
        <v>1</v>
      </c>
      <c r="C1168" s="735">
        <v>1200.1500000000001</v>
      </c>
      <c r="D1168" s="735"/>
      <c r="E1168" s="735"/>
      <c r="F1168" s="735"/>
      <c r="G1168" s="735"/>
      <c r="H1168" s="735"/>
      <c r="I1168" s="735"/>
      <c r="J1168" s="735">
        <v>600</v>
      </c>
      <c r="K1168" s="735">
        <f t="shared" si="734"/>
        <v>1800.15</v>
      </c>
      <c r="L1168" s="735">
        <v>300</v>
      </c>
      <c r="M1168" s="735"/>
      <c r="N1168" s="735">
        <f t="shared" ref="N1168" si="743">SUM(L1168:M1168)</f>
        <v>300</v>
      </c>
      <c r="O1168" s="735">
        <f t="shared" si="725"/>
        <v>21901.800000000003</v>
      </c>
      <c r="P1168" s="735">
        <f t="shared" si="722"/>
        <v>21901.800000000003</v>
      </c>
      <c r="Q1168" s="711">
        <v>1</v>
      </c>
      <c r="R1168" s="735">
        <v>1200.1500000000001</v>
      </c>
      <c r="S1168" s="735"/>
      <c r="T1168" s="735"/>
      <c r="U1168" s="735"/>
      <c r="V1168" s="735"/>
      <c r="W1168" s="735"/>
      <c r="X1168" s="735"/>
      <c r="Y1168" s="735">
        <v>600</v>
      </c>
      <c r="Z1168" s="735">
        <f t="shared" si="735"/>
        <v>1800.15</v>
      </c>
      <c r="AA1168" s="735">
        <v>300</v>
      </c>
      <c r="AB1168" s="735"/>
      <c r="AC1168" s="735">
        <f t="shared" si="736"/>
        <v>300</v>
      </c>
      <c r="AD1168" s="735">
        <f t="shared" si="737"/>
        <v>21901.800000000003</v>
      </c>
      <c r="AE1168" s="735">
        <f t="shared" si="738"/>
        <v>21901.800000000003</v>
      </c>
      <c r="AF1168" s="735">
        <f t="shared" si="729"/>
        <v>0</v>
      </c>
      <c r="AG1168" s="824">
        <f t="shared" si="739"/>
        <v>0</v>
      </c>
      <c r="AH1168" s="711">
        <v>1</v>
      </c>
      <c r="AI1168" s="735">
        <f t="shared" si="740"/>
        <v>262822.60000000003</v>
      </c>
    </row>
    <row r="1169" spans="1:35" x14ac:dyDescent="0.2">
      <c r="A1169" s="704" t="s">
        <v>813</v>
      </c>
      <c r="B1169" s="711">
        <v>1</v>
      </c>
      <c r="C1169" s="735">
        <v>1120.1400000000001</v>
      </c>
      <c r="D1169" s="735"/>
      <c r="E1169" s="735"/>
      <c r="F1169" s="735"/>
      <c r="G1169" s="735"/>
      <c r="H1169" s="735"/>
      <c r="I1169" s="735"/>
      <c r="J1169" s="735">
        <v>500</v>
      </c>
      <c r="K1169" s="735">
        <f t="shared" si="734"/>
        <v>1620.14</v>
      </c>
      <c r="L1169" s="735">
        <v>280</v>
      </c>
      <c r="M1169" s="735"/>
      <c r="N1169" s="735">
        <f t="shared" si="718"/>
        <v>280</v>
      </c>
      <c r="O1169" s="735">
        <f t="shared" si="725"/>
        <v>19721.68</v>
      </c>
      <c r="P1169" s="735">
        <f t="shared" si="722"/>
        <v>19721.68</v>
      </c>
      <c r="Q1169" s="711">
        <v>1</v>
      </c>
      <c r="R1169" s="735">
        <v>1120.1400000000001</v>
      </c>
      <c r="S1169" s="735"/>
      <c r="T1169" s="735"/>
      <c r="U1169" s="735"/>
      <c r="V1169" s="735"/>
      <c r="W1169" s="735"/>
      <c r="X1169" s="735"/>
      <c r="Y1169" s="735">
        <v>500</v>
      </c>
      <c r="Z1169" s="735">
        <f t="shared" si="735"/>
        <v>1620.14</v>
      </c>
      <c r="AA1169" s="735">
        <v>280</v>
      </c>
      <c r="AB1169" s="735"/>
      <c r="AC1169" s="735">
        <f t="shared" si="736"/>
        <v>280</v>
      </c>
      <c r="AD1169" s="735">
        <f t="shared" si="737"/>
        <v>19721.68</v>
      </c>
      <c r="AE1169" s="735">
        <f t="shared" si="738"/>
        <v>19721.68</v>
      </c>
      <c r="AF1169" s="735">
        <f t="shared" si="729"/>
        <v>0</v>
      </c>
      <c r="AG1169" s="824">
        <f>P1169-AE1169</f>
        <v>0</v>
      </c>
      <c r="AH1169" s="711">
        <v>1</v>
      </c>
      <c r="AI1169" s="735">
        <f t="shared" si="740"/>
        <v>236661.16</v>
      </c>
    </row>
    <row r="1170" spans="1:35" x14ac:dyDescent="0.2">
      <c r="A1170" s="876" t="s">
        <v>814</v>
      </c>
      <c r="B1170" s="722">
        <f>SUM(B1171:B1177)</f>
        <v>79</v>
      </c>
      <c r="C1170" s="784">
        <f t="shared" ref="C1170:J1170" si="744">SUM(C1171:C1177)</f>
        <v>179222.40000000005</v>
      </c>
      <c r="D1170" s="784"/>
      <c r="E1170" s="784">
        <f t="shared" si="744"/>
        <v>0</v>
      </c>
      <c r="F1170" s="784">
        <f t="shared" si="744"/>
        <v>0</v>
      </c>
      <c r="G1170" s="784">
        <f t="shared" si="744"/>
        <v>0</v>
      </c>
      <c r="H1170" s="784">
        <f t="shared" si="744"/>
        <v>0</v>
      </c>
      <c r="I1170" s="784">
        <f t="shared" si="744"/>
        <v>0</v>
      </c>
      <c r="J1170" s="784">
        <f t="shared" si="744"/>
        <v>30590</v>
      </c>
      <c r="K1170" s="784">
        <f>SUM(K1171:K1177)</f>
        <v>209812.40000000005</v>
      </c>
      <c r="L1170" s="784">
        <f>SUM(L1171:L1177)</f>
        <v>44800</v>
      </c>
      <c r="M1170" s="784"/>
      <c r="N1170" s="784">
        <f>SUM(N1171:N1177)</f>
        <v>44800</v>
      </c>
      <c r="O1170" s="784">
        <f>SUM(O1171:O1177)</f>
        <v>2562548.8000000003</v>
      </c>
      <c r="P1170" s="784">
        <f>SUM(P1171:P1177)</f>
        <v>2562548.8000000003</v>
      </c>
      <c r="Q1170" s="711">
        <f>SUM(Q1171:Q1177)</f>
        <v>79</v>
      </c>
      <c r="R1170" s="784">
        <f t="shared" ref="R1170" si="745">SUM(R1171:R1177)</f>
        <v>179222.40000000005</v>
      </c>
      <c r="S1170" s="784"/>
      <c r="T1170" s="784">
        <f t="shared" ref="T1170:Y1170" si="746">SUM(T1171:T1177)</f>
        <v>0</v>
      </c>
      <c r="U1170" s="784">
        <f t="shared" si="746"/>
        <v>0</v>
      </c>
      <c r="V1170" s="784">
        <f t="shared" si="746"/>
        <v>0</v>
      </c>
      <c r="W1170" s="784">
        <f t="shared" si="746"/>
        <v>0</v>
      </c>
      <c r="X1170" s="784">
        <f t="shared" si="746"/>
        <v>0</v>
      </c>
      <c r="Y1170" s="784">
        <f t="shared" si="746"/>
        <v>30590</v>
      </c>
      <c r="Z1170" s="784">
        <f>SUM(Z1171:Z1177)</f>
        <v>209812.40000000005</v>
      </c>
      <c r="AA1170" s="784">
        <f>SUM(AA1171:AA1177)</f>
        <v>44800</v>
      </c>
      <c r="AB1170" s="784"/>
      <c r="AC1170" s="784">
        <f>SUM(AC1171:AC1177)</f>
        <v>44800</v>
      </c>
      <c r="AD1170" s="784">
        <f>SUM(AD1171:AD1177)</f>
        <v>2562548.8000000003</v>
      </c>
      <c r="AE1170" s="784">
        <f>SUM(AE1171:AE1177)</f>
        <v>2562548.8000000003</v>
      </c>
      <c r="AF1170" s="735">
        <f t="shared" si="729"/>
        <v>0</v>
      </c>
      <c r="AG1170" s="722">
        <f>SUM(AG1171:AG1177)</f>
        <v>0</v>
      </c>
      <c r="AH1170" s="711">
        <f>SUM(AH1171:AH1177)</f>
        <v>79</v>
      </c>
      <c r="AI1170" s="784">
        <f>SUM(AI1171:AI1177)</f>
        <v>30750664.600000005</v>
      </c>
    </row>
    <row r="1171" spans="1:35" x14ac:dyDescent="0.2">
      <c r="A1171" s="704" t="s">
        <v>815</v>
      </c>
      <c r="B1171" s="711">
        <v>63</v>
      </c>
      <c r="C1171" s="735">
        <v>151218.90000000002</v>
      </c>
      <c r="D1171" s="735"/>
      <c r="E1171" s="735"/>
      <c r="F1171" s="735"/>
      <c r="G1171" s="735"/>
      <c r="H1171" s="735"/>
      <c r="I1171" s="735"/>
      <c r="J1171" s="735">
        <v>23180</v>
      </c>
      <c r="K1171" s="735">
        <f t="shared" si="734"/>
        <v>174398.90000000002</v>
      </c>
      <c r="L1171" s="735">
        <v>37800</v>
      </c>
      <c r="M1171" s="735"/>
      <c r="N1171" s="735">
        <f t="shared" si="718"/>
        <v>37800</v>
      </c>
      <c r="O1171" s="735">
        <f t="shared" si="725"/>
        <v>2130586.8000000003</v>
      </c>
      <c r="P1171" s="735">
        <f t="shared" si="722"/>
        <v>2130586.8000000003</v>
      </c>
      <c r="Q1171" s="711">
        <v>63</v>
      </c>
      <c r="R1171" s="735">
        <v>151218.90000000002</v>
      </c>
      <c r="S1171" s="735"/>
      <c r="T1171" s="735"/>
      <c r="U1171" s="735"/>
      <c r="V1171" s="735"/>
      <c r="W1171" s="735"/>
      <c r="X1171" s="735"/>
      <c r="Y1171" s="735">
        <v>23180</v>
      </c>
      <c r="Z1171" s="735">
        <f t="shared" ref="Z1171:Z1177" si="747">SUM(R1171:Y1171)</f>
        <v>174398.90000000002</v>
      </c>
      <c r="AA1171" s="735">
        <v>37800</v>
      </c>
      <c r="AB1171" s="735"/>
      <c r="AC1171" s="735">
        <f t="shared" ref="AC1171:AC1177" si="748">SUM(AA1171:AB1171)</f>
        <v>37800</v>
      </c>
      <c r="AD1171" s="735">
        <f t="shared" ref="AD1171:AD1177" si="749">(Z1171*12)+AC1171</f>
        <v>2130586.8000000003</v>
      </c>
      <c r="AE1171" s="735">
        <f t="shared" ref="AE1171:AE1177" si="750">AD1171</f>
        <v>2130586.8000000003</v>
      </c>
      <c r="AF1171" s="735">
        <f t="shared" si="729"/>
        <v>0</v>
      </c>
      <c r="AG1171" s="824">
        <f t="shared" ref="AG1171:AG1176" si="751">P1171-AE1171</f>
        <v>0</v>
      </c>
      <c r="AH1171" s="711">
        <v>63</v>
      </c>
      <c r="AI1171" s="735">
        <f t="shared" ref="AI1171:AI1177" si="752">(AE1171*12)+AH1171</f>
        <v>25567104.600000001</v>
      </c>
    </row>
    <row r="1172" spans="1:35" x14ac:dyDescent="0.2">
      <c r="A1172" s="704" t="s">
        <v>809</v>
      </c>
      <c r="B1172" s="711">
        <v>1</v>
      </c>
      <c r="C1172" s="735">
        <v>2240.2800000000002</v>
      </c>
      <c r="D1172" s="735"/>
      <c r="E1172" s="735"/>
      <c r="F1172" s="735"/>
      <c r="G1172" s="735"/>
      <c r="H1172" s="735"/>
      <c r="I1172" s="735"/>
      <c r="J1172" s="735">
        <v>70</v>
      </c>
      <c r="K1172" s="735">
        <f t="shared" si="734"/>
        <v>2310.2800000000002</v>
      </c>
      <c r="L1172" s="735">
        <v>560</v>
      </c>
      <c r="M1172" s="735"/>
      <c r="N1172" s="735">
        <f t="shared" si="718"/>
        <v>560</v>
      </c>
      <c r="O1172" s="735">
        <f t="shared" si="725"/>
        <v>28283.360000000001</v>
      </c>
      <c r="P1172" s="735">
        <f t="shared" si="722"/>
        <v>28283.360000000001</v>
      </c>
      <c r="Q1172" s="711">
        <v>1</v>
      </c>
      <c r="R1172" s="735">
        <v>2240.2800000000002</v>
      </c>
      <c r="S1172" s="735"/>
      <c r="T1172" s="735"/>
      <c r="U1172" s="735"/>
      <c r="V1172" s="735"/>
      <c r="W1172" s="735"/>
      <c r="X1172" s="735"/>
      <c r="Y1172" s="735">
        <v>70</v>
      </c>
      <c r="Z1172" s="735">
        <f t="shared" si="747"/>
        <v>2310.2800000000002</v>
      </c>
      <c r="AA1172" s="735">
        <v>560</v>
      </c>
      <c r="AB1172" s="735"/>
      <c r="AC1172" s="735">
        <f t="shared" si="748"/>
        <v>560</v>
      </c>
      <c r="AD1172" s="735">
        <f t="shared" si="749"/>
        <v>28283.360000000001</v>
      </c>
      <c r="AE1172" s="735">
        <f t="shared" si="750"/>
        <v>28283.360000000001</v>
      </c>
      <c r="AF1172" s="735">
        <f t="shared" si="729"/>
        <v>0</v>
      </c>
      <c r="AG1172" s="824">
        <f t="shared" si="751"/>
        <v>0</v>
      </c>
      <c r="AH1172" s="711">
        <v>1</v>
      </c>
      <c r="AI1172" s="735">
        <f t="shared" si="752"/>
        <v>339401.32</v>
      </c>
    </row>
    <row r="1173" spans="1:35" x14ac:dyDescent="0.2">
      <c r="A1173" s="704" t="s">
        <v>799</v>
      </c>
      <c r="B1173" s="711">
        <v>2</v>
      </c>
      <c r="C1173" s="735">
        <v>4320.54</v>
      </c>
      <c r="D1173" s="735"/>
      <c r="E1173" s="735"/>
      <c r="F1173" s="735"/>
      <c r="G1173" s="735"/>
      <c r="H1173" s="735"/>
      <c r="I1173" s="735"/>
      <c r="J1173" s="735">
        <v>1240</v>
      </c>
      <c r="K1173" s="735">
        <f t="shared" si="734"/>
        <v>5560.54</v>
      </c>
      <c r="L1173" s="735">
        <v>1080</v>
      </c>
      <c r="M1173" s="735"/>
      <c r="N1173" s="735">
        <f t="shared" si="718"/>
        <v>1080</v>
      </c>
      <c r="O1173" s="735">
        <f t="shared" si="725"/>
        <v>67806.48</v>
      </c>
      <c r="P1173" s="735">
        <f t="shared" si="722"/>
        <v>67806.48</v>
      </c>
      <c r="Q1173" s="711">
        <v>2</v>
      </c>
      <c r="R1173" s="735">
        <v>4320.54</v>
      </c>
      <c r="S1173" s="735"/>
      <c r="T1173" s="735"/>
      <c r="U1173" s="735"/>
      <c r="V1173" s="735"/>
      <c r="W1173" s="735"/>
      <c r="X1173" s="735"/>
      <c r="Y1173" s="735">
        <v>1240</v>
      </c>
      <c r="Z1173" s="735">
        <f t="shared" si="747"/>
        <v>5560.54</v>
      </c>
      <c r="AA1173" s="735">
        <v>1080</v>
      </c>
      <c r="AB1173" s="735"/>
      <c r="AC1173" s="735">
        <f t="shared" si="748"/>
        <v>1080</v>
      </c>
      <c r="AD1173" s="735">
        <f t="shared" si="749"/>
        <v>67806.48</v>
      </c>
      <c r="AE1173" s="735">
        <f t="shared" si="750"/>
        <v>67806.48</v>
      </c>
      <c r="AF1173" s="735">
        <f t="shared" si="729"/>
        <v>0</v>
      </c>
      <c r="AG1173" s="824">
        <f t="shared" si="751"/>
        <v>0</v>
      </c>
      <c r="AH1173" s="711">
        <v>2</v>
      </c>
      <c r="AI1173" s="735">
        <f t="shared" si="752"/>
        <v>813679.76</v>
      </c>
    </row>
    <row r="1174" spans="1:35" x14ac:dyDescent="0.2">
      <c r="A1174" s="704" t="s">
        <v>801</v>
      </c>
      <c r="B1174" s="711">
        <v>5</v>
      </c>
      <c r="C1174" s="735">
        <v>9601.2000000000007</v>
      </c>
      <c r="D1174" s="735"/>
      <c r="E1174" s="735"/>
      <c r="F1174" s="735"/>
      <c r="G1174" s="735"/>
      <c r="H1174" s="735"/>
      <c r="I1174" s="735"/>
      <c r="J1174" s="735">
        <v>1340</v>
      </c>
      <c r="K1174" s="735">
        <f t="shared" ref="K1174" si="753">SUM(C1174:J1174)</f>
        <v>10941.2</v>
      </c>
      <c r="L1174" s="735">
        <v>2400</v>
      </c>
      <c r="M1174" s="735"/>
      <c r="N1174" s="735">
        <f t="shared" ref="N1174" si="754">SUM(L1174:M1174)</f>
        <v>2400</v>
      </c>
      <c r="O1174" s="735">
        <f t="shared" si="725"/>
        <v>133694.40000000002</v>
      </c>
      <c r="P1174" s="735">
        <f t="shared" si="722"/>
        <v>133694.40000000002</v>
      </c>
      <c r="Q1174" s="711">
        <v>5</v>
      </c>
      <c r="R1174" s="735">
        <v>9601.2000000000007</v>
      </c>
      <c r="S1174" s="735"/>
      <c r="T1174" s="735"/>
      <c r="U1174" s="735"/>
      <c r="V1174" s="735"/>
      <c r="W1174" s="735"/>
      <c r="X1174" s="735"/>
      <c r="Y1174" s="735">
        <v>1340</v>
      </c>
      <c r="Z1174" s="735">
        <f t="shared" si="747"/>
        <v>10941.2</v>
      </c>
      <c r="AA1174" s="735">
        <v>2400</v>
      </c>
      <c r="AB1174" s="735"/>
      <c r="AC1174" s="735">
        <f t="shared" si="748"/>
        <v>2400</v>
      </c>
      <c r="AD1174" s="735">
        <f t="shared" si="749"/>
        <v>133694.40000000002</v>
      </c>
      <c r="AE1174" s="735">
        <f t="shared" si="750"/>
        <v>133694.40000000002</v>
      </c>
      <c r="AF1174" s="735">
        <f t="shared" si="729"/>
        <v>0</v>
      </c>
      <c r="AG1174" s="824">
        <f t="shared" si="751"/>
        <v>0</v>
      </c>
      <c r="AH1174" s="711">
        <v>5</v>
      </c>
      <c r="AI1174" s="735">
        <f t="shared" si="752"/>
        <v>1604337.8000000003</v>
      </c>
    </row>
    <row r="1175" spans="1:35" x14ac:dyDescent="0.2">
      <c r="A1175" s="704" t="s">
        <v>802</v>
      </c>
      <c r="B1175" s="711">
        <v>4</v>
      </c>
      <c r="C1175" s="735">
        <v>7040.88</v>
      </c>
      <c r="D1175" s="735"/>
      <c r="E1175" s="735"/>
      <c r="F1175" s="735"/>
      <c r="G1175" s="735"/>
      <c r="H1175" s="735"/>
      <c r="I1175" s="735"/>
      <c r="J1175" s="735">
        <v>2380</v>
      </c>
      <c r="K1175" s="735">
        <f t="shared" si="734"/>
        <v>9420.880000000001</v>
      </c>
      <c r="L1175" s="735">
        <v>1760</v>
      </c>
      <c r="M1175" s="735"/>
      <c r="N1175" s="735">
        <f t="shared" si="718"/>
        <v>1760</v>
      </c>
      <c r="O1175" s="735">
        <f t="shared" si="725"/>
        <v>114810.56000000001</v>
      </c>
      <c r="P1175" s="735">
        <f t="shared" si="722"/>
        <v>114810.56000000001</v>
      </c>
      <c r="Q1175" s="711">
        <v>4</v>
      </c>
      <c r="R1175" s="735">
        <v>7040.88</v>
      </c>
      <c r="S1175" s="735"/>
      <c r="T1175" s="735"/>
      <c r="U1175" s="735"/>
      <c r="V1175" s="735"/>
      <c r="W1175" s="735"/>
      <c r="X1175" s="735"/>
      <c r="Y1175" s="735">
        <v>2380</v>
      </c>
      <c r="Z1175" s="735">
        <f t="shared" si="747"/>
        <v>9420.880000000001</v>
      </c>
      <c r="AA1175" s="735">
        <v>1760</v>
      </c>
      <c r="AB1175" s="735"/>
      <c r="AC1175" s="735">
        <f t="shared" si="748"/>
        <v>1760</v>
      </c>
      <c r="AD1175" s="735">
        <f t="shared" si="749"/>
        <v>114810.56000000001</v>
      </c>
      <c r="AE1175" s="735">
        <f t="shared" si="750"/>
        <v>114810.56000000001</v>
      </c>
      <c r="AF1175" s="735">
        <f t="shared" si="729"/>
        <v>0</v>
      </c>
      <c r="AG1175" s="824">
        <f t="shared" si="751"/>
        <v>0</v>
      </c>
      <c r="AH1175" s="711">
        <v>4</v>
      </c>
      <c r="AI1175" s="735">
        <f t="shared" si="752"/>
        <v>1377730.7200000002</v>
      </c>
    </row>
    <row r="1176" spans="1:35" x14ac:dyDescent="0.2">
      <c r="A1176" s="704" t="s">
        <v>803</v>
      </c>
      <c r="B1176" s="711">
        <v>3</v>
      </c>
      <c r="C1176" s="735">
        <v>4320.54</v>
      </c>
      <c r="D1176" s="735"/>
      <c r="E1176" s="735"/>
      <c r="F1176" s="735"/>
      <c r="G1176" s="735"/>
      <c r="H1176" s="735"/>
      <c r="I1176" s="735"/>
      <c r="J1176" s="735">
        <v>1780</v>
      </c>
      <c r="K1176" s="735">
        <f t="shared" si="734"/>
        <v>6100.54</v>
      </c>
      <c r="L1176" s="735">
        <v>1080</v>
      </c>
      <c r="M1176" s="735"/>
      <c r="N1176" s="735">
        <f t="shared" ref="N1176" si="755">SUM(L1176:M1176)</f>
        <v>1080</v>
      </c>
      <c r="O1176" s="735">
        <f t="shared" si="725"/>
        <v>74286.48</v>
      </c>
      <c r="P1176" s="735">
        <f t="shared" si="722"/>
        <v>74286.48</v>
      </c>
      <c r="Q1176" s="711">
        <v>3</v>
      </c>
      <c r="R1176" s="735">
        <v>4320.54</v>
      </c>
      <c r="S1176" s="735"/>
      <c r="T1176" s="735"/>
      <c r="U1176" s="735"/>
      <c r="V1176" s="735"/>
      <c r="W1176" s="735"/>
      <c r="X1176" s="735"/>
      <c r="Y1176" s="735">
        <v>1780</v>
      </c>
      <c r="Z1176" s="735">
        <f t="shared" si="747"/>
        <v>6100.54</v>
      </c>
      <c r="AA1176" s="735">
        <v>1080</v>
      </c>
      <c r="AB1176" s="735"/>
      <c r="AC1176" s="735">
        <f t="shared" si="748"/>
        <v>1080</v>
      </c>
      <c r="AD1176" s="735">
        <f t="shared" si="749"/>
        <v>74286.48</v>
      </c>
      <c r="AE1176" s="735">
        <f t="shared" si="750"/>
        <v>74286.48</v>
      </c>
      <c r="AF1176" s="735">
        <f t="shared" si="729"/>
        <v>0</v>
      </c>
      <c r="AG1176" s="824">
        <f t="shared" si="751"/>
        <v>0</v>
      </c>
      <c r="AH1176" s="711">
        <v>3</v>
      </c>
      <c r="AI1176" s="735">
        <f t="shared" si="752"/>
        <v>891440.76</v>
      </c>
    </row>
    <row r="1177" spans="1:35" x14ac:dyDescent="0.2">
      <c r="A1177" s="704" t="s">
        <v>816</v>
      </c>
      <c r="B1177" s="711">
        <v>1</v>
      </c>
      <c r="C1177" s="735">
        <v>480.06000000000006</v>
      </c>
      <c r="D1177" s="735"/>
      <c r="E1177" s="735"/>
      <c r="F1177" s="735"/>
      <c r="G1177" s="735"/>
      <c r="H1177" s="735"/>
      <c r="I1177" s="735"/>
      <c r="J1177" s="735">
        <v>600</v>
      </c>
      <c r="K1177" s="735">
        <f t="shared" si="734"/>
        <v>1080.06</v>
      </c>
      <c r="L1177" s="735">
        <v>120</v>
      </c>
      <c r="M1177" s="735"/>
      <c r="N1177" s="735">
        <f t="shared" si="718"/>
        <v>120</v>
      </c>
      <c r="O1177" s="735">
        <f t="shared" si="725"/>
        <v>13080.72</v>
      </c>
      <c r="P1177" s="735">
        <f t="shared" si="722"/>
        <v>13080.72</v>
      </c>
      <c r="Q1177" s="711">
        <v>1</v>
      </c>
      <c r="R1177" s="735">
        <v>480.06000000000006</v>
      </c>
      <c r="S1177" s="735"/>
      <c r="T1177" s="735"/>
      <c r="U1177" s="735"/>
      <c r="V1177" s="735"/>
      <c r="W1177" s="735"/>
      <c r="X1177" s="735"/>
      <c r="Y1177" s="735">
        <v>600</v>
      </c>
      <c r="Z1177" s="735">
        <f t="shared" si="747"/>
        <v>1080.06</v>
      </c>
      <c r="AA1177" s="735">
        <v>120</v>
      </c>
      <c r="AB1177" s="735"/>
      <c r="AC1177" s="735">
        <f t="shared" si="748"/>
        <v>120</v>
      </c>
      <c r="AD1177" s="735">
        <f t="shared" si="749"/>
        <v>13080.72</v>
      </c>
      <c r="AE1177" s="735">
        <f t="shared" si="750"/>
        <v>13080.72</v>
      </c>
      <c r="AF1177" s="735">
        <f t="shared" si="729"/>
        <v>0</v>
      </c>
      <c r="AG1177" s="824">
        <f>P1177-AE1177</f>
        <v>0</v>
      </c>
      <c r="AH1177" s="711">
        <v>1</v>
      </c>
      <c r="AI1177" s="735">
        <f t="shared" si="752"/>
        <v>156969.63999999998</v>
      </c>
    </row>
    <row r="1178" spans="1:35" x14ac:dyDescent="0.2">
      <c r="A1178" s="876" t="s">
        <v>817</v>
      </c>
      <c r="B1178" s="722">
        <f>SUM(B1179:B1192)</f>
        <v>234</v>
      </c>
      <c r="C1178" s="784">
        <v>18850.015414332902</v>
      </c>
      <c r="D1178" s="784"/>
      <c r="E1178" s="784"/>
      <c r="F1178" s="784"/>
      <c r="G1178" s="784"/>
      <c r="H1178" s="784"/>
      <c r="I1178" s="784"/>
      <c r="J1178" s="784"/>
      <c r="K1178" s="784">
        <f t="shared" ref="K1178:N1178" si="756">SUM(K1179:K1190)</f>
        <v>691287.22999999812</v>
      </c>
      <c r="L1178" s="784">
        <f t="shared" si="756"/>
        <v>134460</v>
      </c>
      <c r="M1178" s="784">
        <f t="shared" si="756"/>
        <v>0</v>
      </c>
      <c r="N1178" s="784">
        <f t="shared" si="756"/>
        <v>134460</v>
      </c>
      <c r="O1178" s="784">
        <f>SUM(O1179:O1192)</f>
        <v>8463649.7599999793</v>
      </c>
      <c r="P1178" s="784">
        <f>SUM(P1179:P1192)</f>
        <v>8463649.7599999793</v>
      </c>
      <c r="Q1178" s="711">
        <f>SUM(Q1179:Q1192)</f>
        <v>234</v>
      </c>
      <c r="R1178" s="784">
        <v>18850.015414332902</v>
      </c>
      <c r="S1178" s="784"/>
      <c r="T1178" s="784"/>
      <c r="U1178" s="784"/>
      <c r="V1178" s="784"/>
      <c r="W1178" s="784"/>
      <c r="X1178" s="784"/>
      <c r="Y1178" s="784"/>
      <c r="Z1178" s="784">
        <f t="shared" ref="Z1178:AC1178" si="757">SUM(Z1179:Z1190)</f>
        <v>691287.22999999812</v>
      </c>
      <c r="AA1178" s="784">
        <f t="shared" si="757"/>
        <v>134460</v>
      </c>
      <c r="AB1178" s="784">
        <f t="shared" si="757"/>
        <v>0</v>
      </c>
      <c r="AC1178" s="784">
        <f t="shared" si="757"/>
        <v>134460</v>
      </c>
      <c r="AD1178" s="784">
        <f>SUM(AD1179:AD1192)</f>
        <v>8463649.7599999793</v>
      </c>
      <c r="AE1178" s="784">
        <f>SUM(AE1179:AE1192)</f>
        <v>8463649.7599999793</v>
      </c>
      <c r="AF1178" s="735">
        <f t="shared" si="729"/>
        <v>0</v>
      </c>
      <c r="AG1178" s="722">
        <f>SUM(AG1179:AG1192)</f>
        <v>0</v>
      </c>
      <c r="AH1178" s="711">
        <f>SUM(AH1179:AH1192)</f>
        <v>234</v>
      </c>
      <c r="AI1178" s="784">
        <f>SUM(AI1179:AI1192)</f>
        <v>101564031.11999974</v>
      </c>
    </row>
    <row r="1179" spans="1:35" x14ac:dyDescent="0.2">
      <c r="A1179" s="704" t="s">
        <v>798</v>
      </c>
      <c r="B1179" s="711">
        <v>205</v>
      </c>
      <c r="C1179" s="735">
        <v>492061.49999999837</v>
      </c>
      <c r="D1179" s="735"/>
      <c r="E1179" s="735"/>
      <c r="F1179" s="735"/>
      <c r="G1179" s="735"/>
      <c r="H1179" s="735"/>
      <c r="I1179" s="735"/>
      <c r="J1179" s="735">
        <v>143110</v>
      </c>
      <c r="K1179" s="735">
        <f t="shared" si="734"/>
        <v>635171.49999999837</v>
      </c>
      <c r="L1179" s="735">
        <v>123000</v>
      </c>
      <c r="M1179" s="735"/>
      <c r="N1179" s="735">
        <f t="shared" si="718"/>
        <v>123000</v>
      </c>
      <c r="O1179" s="735">
        <f t="shared" si="725"/>
        <v>7745057.9999999804</v>
      </c>
      <c r="P1179" s="735">
        <f t="shared" si="722"/>
        <v>7745057.9999999804</v>
      </c>
      <c r="Q1179" s="711">
        <v>205</v>
      </c>
      <c r="R1179" s="735">
        <v>492061.49999999837</v>
      </c>
      <c r="S1179" s="735"/>
      <c r="T1179" s="735"/>
      <c r="U1179" s="735"/>
      <c r="V1179" s="735"/>
      <c r="W1179" s="735"/>
      <c r="X1179" s="735"/>
      <c r="Y1179" s="735">
        <v>143110</v>
      </c>
      <c r="Z1179" s="735">
        <f t="shared" ref="Z1179:Z1192" si="758">SUM(R1179:Y1179)</f>
        <v>635171.49999999837</v>
      </c>
      <c r="AA1179" s="735">
        <v>123000</v>
      </c>
      <c r="AB1179" s="735"/>
      <c r="AC1179" s="735">
        <f t="shared" ref="AC1179:AC1192" si="759">SUM(AA1179:AB1179)</f>
        <v>123000</v>
      </c>
      <c r="AD1179" s="735">
        <f t="shared" ref="AD1179:AD1192" si="760">(Z1179*12)+AC1179</f>
        <v>7745057.9999999804</v>
      </c>
      <c r="AE1179" s="735">
        <f t="shared" ref="AE1179:AE1192" si="761">AD1179</f>
        <v>7745057.9999999804</v>
      </c>
      <c r="AF1179" s="735">
        <f t="shared" si="729"/>
        <v>0</v>
      </c>
      <c r="AG1179" s="824">
        <f t="shared" ref="AG1179:AG1191" si="762">P1179-AE1179</f>
        <v>0</v>
      </c>
      <c r="AH1179" s="711">
        <v>205</v>
      </c>
      <c r="AI1179" s="735">
        <f t="shared" ref="AI1179:AI1192" si="763">(AE1179*12)+AH1179</f>
        <v>92940900.999999762</v>
      </c>
    </row>
    <row r="1180" spans="1:35" x14ac:dyDescent="0.2">
      <c r="A1180" s="704" t="s">
        <v>818</v>
      </c>
      <c r="B1180" s="711">
        <v>2</v>
      </c>
      <c r="C1180" s="735">
        <v>4640.58</v>
      </c>
      <c r="D1180" s="735"/>
      <c r="E1180" s="735"/>
      <c r="F1180" s="735"/>
      <c r="G1180" s="735"/>
      <c r="H1180" s="735"/>
      <c r="I1180" s="735"/>
      <c r="J1180" s="735">
        <v>700</v>
      </c>
      <c r="K1180" s="735">
        <f t="shared" si="734"/>
        <v>5340.58</v>
      </c>
      <c r="L1180" s="735">
        <v>1160</v>
      </c>
      <c r="M1180" s="735"/>
      <c r="N1180" s="735">
        <f t="shared" si="718"/>
        <v>1160</v>
      </c>
      <c r="O1180" s="735">
        <f t="shared" si="725"/>
        <v>65246.96</v>
      </c>
      <c r="P1180" s="735">
        <f t="shared" si="722"/>
        <v>65246.96</v>
      </c>
      <c r="Q1180" s="711">
        <v>2</v>
      </c>
      <c r="R1180" s="735">
        <v>4640.58</v>
      </c>
      <c r="S1180" s="735"/>
      <c r="T1180" s="735"/>
      <c r="U1180" s="735"/>
      <c r="V1180" s="735"/>
      <c r="W1180" s="735"/>
      <c r="X1180" s="735"/>
      <c r="Y1180" s="735">
        <v>700</v>
      </c>
      <c r="Z1180" s="735">
        <f t="shared" si="758"/>
        <v>5340.58</v>
      </c>
      <c r="AA1180" s="735">
        <v>1160</v>
      </c>
      <c r="AB1180" s="735"/>
      <c r="AC1180" s="735">
        <f t="shared" si="759"/>
        <v>1160</v>
      </c>
      <c r="AD1180" s="735">
        <f t="shared" si="760"/>
        <v>65246.96</v>
      </c>
      <c r="AE1180" s="735">
        <f t="shared" si="761"/>
        <v>65246.96</v>
      </c>
      <c r="AF1180" s="735">
        <f t="shared" si="729"/>
        <v>0</v>
      </c>
      <c r="AG1180" s="824">
        <f t="shared" si="762"/>
        <v>0</v>
      </c>
      <c r="AH1180" s="711">
        <v>2</v>
      </c>
      <c r="AI1180" s="735">
        <f t="shared" si="763"/>
        <v>782965.52</v>
      </c>
    </row>
    <row r="1181" spans="1:35" x14ac:dyDescent="0.2">
      <c r="A1181" s="704" t="s">
        <v>799</v>
      </c>
      <c r="B1181" s="711">
        <v>1</v>
      </c>
      <c r="C1181" s="735">
        <v>2160.27</v>
      </c>
      <c r="D1181" s="735"/>
      <c r="E1181" s="735"/>
      <c r="F1181" s="735"/>
      <c r="G1181" s="735"/>
      <c r="H1181" s="735"/>
      <c r="I1181" s="735"/>
      <c r="J1181" s="735"/>
      <c r="K1181" s="735">
        <f t="shared" si="734"/>
        <v>2160.27</v>
      </c>
      <c r="L1181" s="735">
        <v>540</v>
      </c>
      <c r="M1181" s="735"/>
      <c r="N1181" s="735">
        <f t="shared" si="718"/>
        <v>540</v>
      </c>
      <c r="O1181" s="735">
        <f t="shared" si="725"/>
        <v>26463.239999999998</v>
      </c>
      <c r="P1181" s="735">
        <f t="shared" si="722"/>
        <v>26463.239999999998</v>
      </c>
      <c r="Q1181" s="711">
        <v>1</v>
      </c>
      <c r="R1181" s="735">
        <v>2160.27</v>
      </c>
      <c r="S1181" s="735"/>
      <c r="T1181" s="735"/>
      <c r="U1181" s="735"/>
      <c r="V1181" s="735"/>
      <c r="W1181" s="735"/>
      <c r="X1181" s="735"/>
      <c r="Y1181" s="735"/>
      <c r="Z1181" s="735">
        <f t="shared" si="758"/>
        <v>2160.27</v>
      </c>
      <c r="AA1181" s="735">
        <v>540</v>
      </c>
      <c r="AB1181" s="735"/>
      <c r="AC1181" s="735">
        <f t="shared" si="759"/>
        <v>540</v>
      </c>
      <c r="AD1181" s="735">
        <f t="shared" si="760"/>
        <v>26463.239999999998</v>
      </c>
      <c r="AE1181" s="735">
        <f t="shared" si="761"/>
        <v>26463.239999999998</v>
      </c>
      <c r="AF1181" s="735">
        <f t="shared" si="729"/>
        <v>0</v>
      </c>
      <c r="AG1181" s="824">
        <f t="shared" si="762"/>
        <v>0</v>
      </c>
      <c r="AH1181" s="711">
        <v>1</v>
      </c>
      <c r="AI1181" s="735">
        <f t="shared" si="763"/>
        <v>317559.88</v>
      </c>
    </row>
    <row r="1182" spans="1:35" x14ac:dyDescent="0.2">
      <c r="A1182" s="704" t="s">
        <v>810</v>
      </c>
      <c r="B1182" s="711">
        <v>2</v>
      </c>
      <c r="C1182" s="735">
        <v>4160.5200000000004</v>
      </c>
      <c r="D1182" s="735"/>
      <c r="E1182" s="735"/>
      <c r="F1182" s="735"/>
      <c r="G1182" s="735"/>
      <c r="H1182" s="735"/>
      <c r="I1182" s="735"/>
      <c r="J1182" s="735">
        <v>640</v>
      </c>
      <c r="K1182" s="735">
        <f t="shared" si="734"/>
        <v>4800.5200000000004</v>
      </c>
      <c r="L1182" s="735">
        <v>1040</v>
      </c>
      <c r="M1182" s="735"/>
      <c r="N1182" s="735">
        <f t="shared" si="718"/>
        <v>1040</v>
      </c>
      <c r="O1182" s="735">
        <f t="shared" si="725"/>
        <v>58646.240000000005</v>
      </c>
      <c r="P1182" s="735">
        <f t="shared" si="722"/>
        <v>58646.240000000005</v>
      </c>
      <c r="Q1182" s="711">
        <v>2</v>
      </c>
      <c r="R1182" s="735">
        <v>4160.5200000000004</v>
      </c>
      <c r="S1182" s="735"/>
      <c r="T1182" s="735"/>
      <c r="U1182" s="735"/>
      <c r="V1182" s="735"/>
      <c r="W1182" s="735"/>
      <c r="X1182" s="735"/>
      <c r="Y1182" s="735">
        <v>640</v>
      </c>
      <c r="Z1182" s="735">
        <f t="shared" si="758"/>
        <v>4800.5200000000004</v>
      </c>
      <c r="AA1182" s="735">
        <v>1040</v>
      </c>
      <c r="AB1182" s="735"/>
      <c r="AC1182" s="735">
        <f t="shared" si="759"/>
        <v>1040</v>
      </c>
      <c r="AD1182" s="735">
        <f t="shared" si="760"/>
        <v>58646.240000000005</v>
      </c>
      <c r="AE1182" s="735">
        <f t="shared" si="761"/>
        <v>58646.240000000005</v>
      </c>
      <c r="AF1182" s="735">
        <f t="shared" si="729"/>
        <v>0</v>
      </c>
      <c r="AG1182" s="824">
        <f t="shared" si="762"/>
        <v>0</v>
      </c>
      <c r="AH1182" s="711">
        <v>2</v>
      </c>
      <c r="AI1182" s="735">
        <f t="shared" si="763"/>
        <v>703756.88000000012</v>
      </c>
    </row>
    <row r="1183" spans="1:35" x14ac:dyDescent="0.2">
      <c r="A1183" s="704" t="s">
        <v>800</v>
      </c>
      <c r="B1183" s="711">
        <v>2</v>
      </c>
      <c r="C1183" s="735">
        <v>4000.5000000000005</v>
      </c>
      <c r="D1183" s="735"/>
      <c r="E1183" s="735"/>
      <c r="F1183" s="735"/>
      <c r="G1183" s="735"/>
      <c r="H1183" s="735"/>
      <c r="I1183" s="735"/>
      <c r="J1183" s="735">
        <v>650</v>
      </c>
      <c r="K1183" s="735">
        <f t="shared" si="734"/>
        <v>4650.5</v>
      </c>
      <c r="L1183" s="735">
        <v>1000</v>
      </c>
      <c r="M1183" s="735"/>
      <c r="N1183" s="735">
        <f t="shared" si="718"/>
        <v>1000</v>
      </c>
      <c r="O1183" s="735">
        <f t="shared" si="725"/>
        <v>56806</v>
      </c>
      <c r="P1183" s="735">
        <f t="shared" si="722"/>
        <v>56806</v>
      </c>
      <c r="Q1183" s="711">
        <v>2</v>
      </c>
      <c r="R1183" s="735">
        <v>4000.5000000000005</v>
      </c>
      <c r="S1183" s="735"/>
      <c r="T1183" s="735"/>
      <c r="U1183" s="735"/>
      <c r="V1183" s="735"/>
      <c r="W1183" s="735"/>
      <c r="X1183" s="735"/>
      <c r="Y1183" s="735">
        <v>650</v>
      </c>
      <c r="Z1183" s="735">
        <f t="shared" si="758"/>
        <v>4650.5</v>
      </c>
      <c r="AA1183" s="735">
        <v>1000</v>
      </c>
      <c r="AB1183" s="735"/>
      <c r="AC1183" s="735">
        <f t="shared" si="759"/>
        <v>1000</v>
      </c>
      <c r="AD1183" s="735">
        <f t="shared" si="760"/>
        <v>56806</v>
      </c>
      <c r="AE1183" s="735">
        <f t="shared" si="761"/>
        <v>56806</v>
      </c>
      <c r="AF1183" s="735">
        <f t="shared" si="729"/>
        <v>0</v>
      </c>
      <c r="AG1183" s="824">
        <f t="shared" si="762"/>
        <v>0</v>
      </c>
      <c r="AH1183" s="711">
        <v>2</v>
      </c>
      <c r="AI1183" s="735">
        <f t="shared" si="763"/>
        <v>681674</v>
      </c>
    </row>
    <row r="1184" spans="1:35" x14ac:dyDescent="0.2">
      <c r="A1184" s="704" t="s">
        <v>801</v>
      </c>
      <c r="B1184" s="711">
        <v>4</v>
      </c>
      <c r="C1184" s="735">
        <v>7680.9600000000009</v>
      </c>
      <c r="D1184" s="735"/>
      <c r="E1184" s="735"/>
      <c r="F1184" s="735"/>
      <c r="G1184" s="735"/>
      <c r="H1184" s="735"/>
      <c r="I1184" s="735"/>
      <c r="J1184" s="735">
        <v>500</v>
      </c>
      <c r="K1184" s="735">
        <f t="shared" si="734"/>
        <v>8180.9600000000009</v>
      </c>
      <c r="L1184" s="735">
        <v>1920</v>
      </c>
      <c r="M1184" s="735"/>
      <c r="N1184" s="735">
        <f t="shared" si="718"/>
        <v>1920</v>
      </c>
      <c r="O1184" s="735">
        <f t="shared" si="725"/>
        <v>100091.52000000002</v>
      </c>
      <c r="P1184" s="735">
        <f t="shared" si="722"/>
        <v>100091.52000000002</v>
      </c>
      <c r="Q1184" s="711">
        <v>4</v>
      </c>
      <c r="R1184" s="735">
        <v>7680.9600000000009</v>
      </c>
      <c r="S1184" s="735"/>
      <c r="T1184" s="735"/>
      <c r="U1184" s="735"/>
      <c r="V1184" s="735"/>
      <c r="W1184" s="735"/>
      <c r="X1184" s="735"/>
      <c r="Y1184" s="735">
        <v>500</v>
      </c>
      <c r="Z1184" s="735">
        <f t="shared" si="758"/>
        <v>8180.9600000000009</v>
      </c>
      <c r="AA1184" s="735">
        <v>1920</v>
      </c>
      <c r="AB1184" s="735"/>
      <c r="AC1184" s="735">
        <f t="shared" si="759"/>
        <v>1920</v>
      </c>
      <c r="AD1184" s="735">
        <f t="shared" si="760"/>
        <v>100091.52000000002</v>
      </c>
      <c r="AE1184" s="735">
        <f t="shared" si="761"/>
        <v>100091.52000000002</v>
      </c>
      <c r="AF1184" s="735">
        <f t="shared" si="729"/>
        <v>0</v>
      </c>
      <c r="AG1184" s="824">
        <f t="shared" si="762"/>
        <v>0</v>
      </c>
      <c r="AH1184" s="711">
        <v>4</v>
      </c>
      <c r="AI1184" s="735">
        <f t="shared" si="763"/>
        <v>1201102.2400000002</v>
      </c>
    </row>
    <row r="1185" spans="1:35" x14ac:dyDescent="0.2">
      <c r="A1185" s="704" t="s">
        <v>802</v>
      </c>
      <c r="B1185" s="711">
        <v>1</v>
      </c>
      <c r="C1185" s="735">
        <v>1760.22</v>
      </c>
      <c r="D1185" s="735"/>
      <c r="E1185" s="735"/>
      <c r="F1185" s="735"/>
      <c r="G1185" s="735"/>
      <c r="H1185" s="735"/>
      <c r="I1185" s="735"/>
      <c r="J1185" s="735">
        <v>600</v>
      </c>
      <c r="K1185" s="735">
        <f t="shared" si="734"/>
        <v>2360.2200000000003</v>
      </c>
      <c r="L1185" s="735">
        <v>440</v>
      </c>
      <c r="M1185" s="735"/>
      <c r="N1185" s="735">
        <f t="shared" si="718"/>
        <v>440</v>
      </c>
      <c r="O1185" s="735">
        <f t="shared" si="725"/>
        <v>28762.640000000003</v>
      </c>
      <c r="P1185" s="735">
        <f t="shared" si="722"/>
        <v>28762.640000000003</v>
      </c>
      <c r="Q1185" s="711">
        <v>1</v>
      </c>
      <c r="R1185" s="735">
        <v>1760.22</v>
      </c>
      <c r="S1185" s="735"/>
      <c r="T1185" s="735"/>
      <c r="U1185" s="735"/>
      <c r="V1185" s="735"/>
      <c r="W1185" s="735"/>
      <c r="X1185" s="735"/>
      <c r="Y1185" s="735">
        <v>600</v>
      </c>
      <c r="Z1185" s="735">
        <f t="shared" si="758"/>
        <v>2360.2200000000003</v>
      </c>
      <c r="AA1185" s="735">
        <v>440</v>
      </c>
      <c r="AB1185" s="735"/>
      <c r="AC1185" s="735">
        <f t="shared" si="759"/>
        <v>440</v>
      </c>
      <c r="AD1185" s="735">
        <f t="shared" si="760"/>
        <v>28762.640000000003</v>
      </c>
      <c r="AE1185" s="735">
        <f t="shared" si="761"/>
        <v>28762.640000000003</v>
      </c>
      <c r="AF1185" s="735">
        <f t="shared" si="729"/>
        <v>0</v>
      </c>
      <c r="AG1185" s="824">
        <f t="shared" si="762"/>
        <v>0</v>
      </c>
      <c r="AH1185" s="711">
        <v>1</v>
      </c>
      <c r="AI1185" s="735">
        <f t="shared" si="763"/>
        <v>345152.68000000005</v>
      </c>
    </row>
    <row r="1186" spans="1:35" x14ac:dyDescent="0.2">
      <c r="A1186" s="704" t="s">
        <v>819</v>
      </c>
      <c r="B1186" s="711">
        <v>1</v>
      </c>
      <c r="C1186" s="735">
        <v>1680.21</v>
      </c>
      <c r="D1186" s="735"/>
      <c r="E1186" s="735"/>
      <c r="F1186" s="735"/>
      <c r="G1186" s="735"/>
      <c r="H1186" s="735"/>
      <c r="I1186" s="735"/>
      <c r="J1186" s="735">
        <v>600</v>
      </c>
      <c r="K1186" s="735">
        <f t="shared" si="734"/>
        <v>2280.21</v>
      </c>
      <c r="L1186" s="735">
        <v>420</v>
      </c>
      <c r="M1186" s="735"/>
      <c r="N1186" s="735">
        <f t="shared" si="718"/>
        <v>420</v>
      </c>
      <c r="O1186" s="735">
        <f t="shared" si="725"/>
        <v>27782.52</v>
      </c>
      <c r="P1186" s="735">
        <f t="shared" si="722"/>
        <v>27782.52</v>
      </c>
      <c r="Q1186" s="711">
        <v>1</v>
      </c>
      <c r="R1186" s="735">
        <v>1680.21</v>
      </c>
      <c r="S1186" s="735"/>
      <c r="T1186" s="735"/>
      <c r="U1186" s="735"/>
      <c r="V1186" s="735"/>
      <c r="W1186" s="735"/>
      <c r="X1186" s="735"/>
      <c r="Y1186" s="735">
        <v>600</v>
      </c>
      <c r="Z1186" s="735">
        <f t="shared" si="758"/>
        <v>2280.21</v>
      </c>
      <c r="AA1186" s="735">
        <v>420</v>
      </c>
      <c r="AB1186" s="735"/>
      <c r="AC1186" s="735">
        <f t="shared" si="759"/>
        <v>420</v>
      </c>
      <c r="AD1186" s="735">
        <f t="shared" si="760"/>
        <v>27782.52</v>
      </c>
      <c r="AE1186" s="735">
        <f t="shared" si="761"/>
        <v>27782.52</v>
      </c>
      <c r="AF1186" s="735">
        <f t="shared" si="729"/>
        <v>0</v>
      </c>
      <c r="AG1186" s="824">
        <f t="shared" si="762"/>
        <v>0</v>
      </c>
      <c r="AH1186" s="711">
        <v>1</v>
      </c>
      <c r="AI1186" s="735">
        <f t="shared" si="763"/>
        <v>333391.24</v>
      </c>
    </row>
    <row r="1187" spans="1:35" x14ac:dyDescent="0.2">
      <c r="A1187" s="704" t="s">
        <v>811</v>
      </c>
      <c r="B1187" s="711">
        <v>3</v>
      </c>
      <c r="C1187" s="735">
        <v>4560.57</v>
      </c>
      <c r="D1187" s="735"/>
      <c r="E1187" s="735"/>
      <c r="F1187" s="735"/>
      <c r="G1187" s="735"/>
      <c r="H1187" s="735"/>
      <c r="I1187" s="735"/>
      <c r="J1187" s="735">
        <v>700</v>
      </c>
      <c r="K1187" s="735">
        <f t="shared" si="734"/>
        <v>5260.57</v>
      </c>
      <c r="L1187" s="735">
        <v>1140</v>
      </c>
      <c r="M1187" s="735"/>
      <c r="N1187" s="735">
        <f t="shared" si="718"/>
        <v>1140</v>
      </c>
      <c r="O1187" s="735">
        <f t="shared" si="725"/>
        <v>64266.84</v>
      </c>
      <c r="P1187" s="735">
        <f t="shared" si="722"/>
        <v>64266.84</v>
      </c>
      <c r="Q1187" s="711">
        <v>3</v>
      </c>
      <c r="R1187" s="735">
        <v>4560.57</v>
      </c>
      <c r="S1187" s="735"/>
      <c r="T1187" s="735"/>
      <c r="U1187" s="735"/>
      <c r="V1187" s="735"/>
      <c r="W1187" s="735"/>
      <c r="X1187" s="735"/>
      <c r="Y1187" s="735">
        <v>700</v>
      </c>
      <c r="Z1187" s="735">
        <f t="shared" si="758"/>
        <v>5260.57</v>
      </c>
      <c r="AA1187" s="735">
        <v>1140</v>
      </c>
      <c r="AB1187" s="735"/>
      <c r="AC1187" s="735">
        <f t="shared" si="759"/>
        <v>1140</v>
      </c>
      <c r="AD1187" s="735">
        <f t="shared" si="760"/>
        <v>64266.84</v>
      </c>
      <c r="AE1187" s="735">
        <f t="shared" si="761"/>
        <v>64266.84</v>
      </c>
      <c r="AF1187" s="735">
        <f t="shared" si="729"/>
        <v>0</v>
      </c>
      <c r="AG1187" s="824">
        <f t="shared" si="762"/>
        <v>0</v>
      </c>
      <c r="AH1187" s="711">
        <v>3</v>
      </c>
      <c r="AI1187" s="735">
        <f t="shared" si="763"/>
        <v>771205.08</v>
      </c>
    </row>
    <row r="1188" spans="1:35" x14ac:dyDescent="0.2">
      <c r="A1188" s="704" t="s">
        <v>803</v>
      </c>
      <c r="B1188" s="711">
        <v>8</v>
      </c>
      <c r="C1188" s="735">
        <v>11521.44</v>
      </c>
      <c r="D1188" s="735"/>
      <c r="E1188" s="735"/>
      <c r="F1188" s="735"/>
      <c r="G1188" s="735"/>
      <c r="H1188" s="735"/>
      <c r="I1188" s="735"/>
      <c r="J1188" s="735">
        <v>4480</v>
      </c>
      <c r="K1188" s="735">
        <f t="shared" si="734"/>
        <v>16001.44</v>
      </c>
      <c r="L1188" s="735">
        <v>2880</v>
      </c>
      <c r="M1188" s="735"/>
      <c r="N1188" s="735">
        <f t="shared" si="718"/>
        <v>2880</v>
      </c>
      <c r="O1188" s="735">
        <f t="shared" si="725"/>
        <v>194897.28</v>
      </c>
      <c r="P1188" s="735">
        <f t="shared" si="722"/>
        <v>194897.28</v>
      </c>
      <c r="Q1188" s="711">
        <v>8</v>
      </c>
      <c r="R1188" s="735">
        <v>11521.44</v>
      </c>
      <c r="S1188" s="735"/>
      <c r="T1188" s="735"/>
      <c r="U1188" s="735"/>
      <c r="V1188" s="735"/>
      <c r="W1188" s="735"/>
      <c r="X1188" s="735"/>
      <c r="Y1188" s="735">
        <v>4480</v>
      </c>
      <c r="Z1188" s="735">
        <f t="shared" si="758"/>
        <v>16001.44</v>
      </c>
      <c r="AA1188" s="735">
        <v>2880</v>
      </c>
      <c r="AB1188" s="735"/>
      <c r="AC1188" s="735">
        <f t="shared" si="759"/>
        <v>2880</v>
      </c>
      <c r="AD1188" s="735">
        <f t="shared" si="760"/>
        <v>194897.28</v>
      </c>
      <c r="AE1188" s="735">
        <f t="shared" si="761"/>
        <v>194897.28</v>
      </c>
      <c r="AF1188" s="735">
        <f t="shared" si="729"/>
        <v>0</v>
      </c>
      <c r="AG1188" s="824">
        <f t="shared" si="762"/>
        <v>0</v>
      </c>
      <c r="AH1188" s="711">
        <v>8</v>
      </c>
      <c r="AI1188" s="735">
        <f t="shared" si="763"/>
        <v>2338775.36</v>
      </c>
    </row>
    <row r="1189" spans="1:35" x14ac:dyDescent="0.2">
      <c r="A1189" s="704" t="s">
        <v>820</v>
      </c>
      <c r="B1189" s="711">
        <v>2</v>
      </c>
      <c r="C1189" s="735">
        <v>2560.3200000000002</v>
      </c>
      <c r="D1189" s="735"/>
      <c r="E1189" s="735"/>
      <c r="F1189" s="735"/>
      <c r="G1189" s="735"/>
      <c r="H1189" s="735"/>
      <c r="I1189" s="735"/>
      <c r="J1189" s="735">
        <v>800</v>
      </c>
      <c r="K1189" s="735">
        <f t="shared" si="734"/>
        <v>3360.32</v>
      </c>
      <c r="L1189" s="735">
        <v>640</v>
      </c>
      <c r="M1189" s="735"/>
      <c r="N1189" s="735">
        <f t="shared" si="718"/>
        <v>640</v>
      </c>
      <c r="O1189" s="735">
        <f t="shared" si="725"/>
        <v>40963.840000000004</v>
      </c>
      <c r="P1189" s="735">
        <f t="shared" si="722"/>
        <v>40963.840000000004</v>
      </c>
      <c r="Q1189" s="711">
        <v>2</v>
      </c>
      <c r="R1189" s="735">
        <v>2560.3200000000002</v>
      </c>
      <c r="S1189" s="735"/>
      <c r="T1189" s="735"/>
      <c r="U1189" s="735"/>
      <c r="V1189" s="735"/>
      <c r="W1189" s="735"/>
      <c r="X1189" s="735"/>
      <c r="Y1189" s="735">
        <v>800</v>
      </c>
      <c r="Z1189" s="735">
        <f t="shared" si="758"/>
        <v>3360.32</v>
      </c>
      <c r="AA1189" s="735">
        <v>640</v>
      </c>
      <c r="AB1189" s="735"/>
      <c r="AC1189" s="735">
        <f t="shared" si="759"/>
        <v>640</v>
      </c>
      <c r="AD1189" s="735">
        <f t="shared" si="760"/>
        <v>40963.840000000004</v>
      </c>
      <c r="AE1189" s="735">
        <f t="shared" si="761"/>
        <v>40963.840000000004</v>
      </c>
      <c r="AF1189" s="735">
        <f t="shared" si="729"/>
        <v>0</v>
      </c>
      <c r="AG1189" s="824">
        <f t="shared" si="762"/>
        <v>0</v>
      </c>
      <c r="AH1189" s="711">
        <v>2</v>
      </c>
      <c r="AI1189" s="735">
        <f t="shared" si="763"/>
        <v>491568.08000000007</v>
      </c>
    </row>
    <row r="1190" spans="1:35" x14ac:dyDescent="0.2">
      <c r="A1190" s="704" t="s">
        <v>813</v>
      </c>
      <c r="B1190" s="711">
        <v>1</v>
      </c>
      <c r="C1190" s="735">
        <v>1120.1400000000001</v>
      </c>
      <c r="D1190" s="735"/>
      <c r="E1190" s="735"/>
      <c r="F1190" s="735"/>
      <c r="G1190" s="735"/>
      <c r="H1190" s="735"/>
      <c r="I1190" s="735"/>
      <c r="J1190" s="735">
        <v>600</v>
      </c>
      <c r="K1190" s="735">
        <f t="shared" si="734"/>
        <v>1720.14</v>
      </c>
      <c r="L1190" s="735">
        <v>280</v>
      </c>
      <c r="M1190" s="735"/>
      <c r="N1190" s="735">
        <f t="shared" si="718"/>
        <v>280</v>
      </c>
      <c r="O1190" s="735">
        <f t="shared" si="725"/>
        <v>20921.68</v>
      </c>
      <c r="P1190" s="735">
        <f t="shared" si="722"/>
        <v>20921.68</v>
      </c>
      <c r="Q1190" s="711">
        <v>1</v>
      </c>
      <c r="R1190" s="735">
        <v>1120.1400000000001</v>
      </c>
      <c r="S1190" s="735"/>
      <c r="T1190" s="735"/>
      <c r="U1190" s="735"/>
      <c r="V1190" s="735"/>
      <c r="W1190" s="735"/>
      <c r="X1190" s="735"/>
      <c r="Y1190" s="735">
        <v>600</v>
      </c>
      <c r="Z1190" s="735">
        <f t="shared" si="758"/>
        <v>1720.14</v>
      </c>
      <c r="AA1190" s="735">
        <v>280</v>
      </c>
      <c r="AB1190" s="735"/>
      <c r="AC1190" s="735">
        <f t="shared" si="759"/>
        <v>280</v>
      </c>
      <c r="AD1190" s="735">
        <f t="shared" si="760"/>
        <v>20921.68</v>
      </c>
      <c r="AE1190" s="735">
        <f t="shared" si="761"/>
        <v>20921.68</v>
      </c>
      <c r="AF1190" s="735">
        <f t="shared" si="729"/>
        <v>0</v>
      </c>
      <c r="AG1190" s="824">
        <f t="shared" si="762"/>
        <v>0</v>
      </c>
      <c r="AH1190" s="711">
        <v>1</v>
      </c>
      <c r="AI1190" s="735">
        <f t="shared" si="763"/>
        <v>251061.16</v>
      </c>
    </row>
    <row r="1191" spans="1:35" x14ac:dyDescent="0.2">
      <c r="A1191" s="704" t="s">
        <v>806</v>
      </c>
      <c r="B1191" s="711">
        <v>1</v>
      </c>
      <c r="C1191" s="825">
        <v>1040.1300000000001</v>
      </c>
      <c r="D1191" s="735"/>
      <c r="E1191" s="735"/>
      <c r="F1191" s="735"/>
      <c r="G1191" s="735"/>
      <c r="H1191" s="735"/>
      <c r="I1191" s="735"/>
      <c r="J1191" s="735">
        <v>170</v>
      </c>
      <c r="K1191" s="735">
        <f t="shared" si="734"/>
        <v>1210.1300000000001</v>
      </c>
      <c r="L1191" s="735">
        <v>260</v>
      </c>
      <c r="M1191" s="735"/>
      <c r="N1191" s="735">
        <f t="shared" si="718"/>
        <v>260</v>
      </c>
      <c r="O1191" s="735">
        <f t="shared" si="725"/>
        <v>14781.560000000001</v>
      </c>
      <c r="P1191" s="735">
        <f t="shared" si="722"/>
        <v>14781.560000000001</v>
      </c>
      <c r="Q1191" s="711">
        <v>1</v>
      </c>
      <c r="R1191" s="825">
        <v>1040.1300000000001</v>
      </c>
      <c r="S1191" s="735"/>
      <c r="T1191" s="735"/>
      <c r="U1191" s="735"/>
      <c r="V1191" s="735"/>
      <c r="W1191" s="735"/>
      <c r="X1191" s="735"/>
      <c r="Y1191" s="735">
        <v>170</v>
      </c>
      <c r="Z1191" s="735">
        <f t="shared" si="758"/>
        <v>1210.1300000000001</v>
      </c>
      <c r="AA1191" s="735">
        <v>260</v>
      </c>
      <c r="AB1191" s="735"/>
      <c r="AC1191" s="735">
        <f t="shared" si="759"/>
        <v>260</v>
      </c>
      <c r="AD1191" s="735">
        <f t="shared" si="760"/>
        <v>14781.560000000001</v>
      </c>
      <c r="AE1191" s="735">
        <f t="shared" si="761"/>
        <v>14781.560000000001</v>
      </c>
      <c r="AF1191" s="735">
        <f t="shared" si="729"/>
        <v>0</v>
      </c>
      <c r="AG1191" s="824">
        <f t="shared" si="762"/>
        <v>0</v>
      </c>
      <c r="AH1191" s="711">
        <v>1</v>
      </c>
      <c r="AI1191" s="735">
        <f t="shared" si="763"/>
        <v>177379.72000000003</v>
      </c>
    </row>
    <row r="1192" spans="1:35" x14ac:dyDescent="0.2">
      <c r="A1192" s="704" t="s">
        <v>821</v>
      </c>
      <c r="B1192" s="711">
        <v>1</v>
      </c>
      <c r="C1192" s="735">
        <v>960.12000000000012</v>
      </c>
      <c r="D1192" s="735"/>
      <c r="E1192" s="735"/>
      <c r="F1192" s="735"/>
      <c r="G1192" s="735"/>
      <c r="H1192" s="735"/>
      <c r="I1192" s="735"/>
      <c r="J1192" s="735">
        <v>600</v>
      </c>
      <c r="K1192" s="735">
        <f t="shared" si="734"/>
        <v>1560.1200000000001</v>
      </c>
      <c r="L1192" s="735">
        <v>240</v>
      </c>
      <c r="M1192" s="735"/>
      <c r="N1192" s="735">
        <f t="shared" si="718"/>
        <v>240</v>
      </c>
      <c r="O1192" s="735">
        <f t="shared" si="725"/>
        <v>18961.440000000002</v>
      </c>
      <c r="P1192" s="735">
        <f t="shared" si="722"/>
        <v>18961.440000000002</v>
      </c>
      <c r="Q1192" s="711">
        <v>1</v>
      </c>
      <c r="R1192" s="735">
        <v>960.12000000000012</v>
      </c>
      <c r="S1192" s="735"/>
      <c r="T1192" s="735"/>
      <c r="U1192" s="735"/>
      <c r="V1192" s="735"/>
      <c r="W1192" s="735"/>
      <c r="X1192" s="735"/>
      <c r="Y1192" s="735">
        <v>600</v>
      </c>
      <c r="Z1192" s="735">
        <f t="shared" si="758"/>
        <v>1560.1200000000001</v>
      </c>
      <c r="AA1192" s="735">
        <v>240</v>
      </c>
      <c r="AB1192" s="735"/>
      <c r="AC1192" s="735">
        <f t="shared" si="759"/>
        <v>240</v>
      </c>
      <c r="AD1192" s="735">
        <f t="shared" si="760"/>
        <v>18961.440000000002</v>
      </c>
      <c r="AE1192" s="735">
        <f t="shared" si="761"/>
        <v>18961.440000000002</v>
      </c>
      <c r="AF1192" s="735">
        <f t="shared" si="729"/>
        <v>0</v>
      </c>
      <c r="AG1192" s="824">
        <f>P1192-AE1192</f>
        <v>0</v>
      </c>
      <c r="AH1192" s="711">
        <v>1</v>
      </c>
      <c r="AI1192" s="735">
        <f t="shared" si="763"/>
        <v>227538.28000000003</v>
      </c>
    </row>
    <row r="1193" spans="1:35" x14ac:dyDescent="0.2">
      <c r="A1193" s="876" t="s">
        <v>822</v>
      </c>
      <c r="B1193" s="722">
        <f>SUM(B1194:B1206)</f>
        <v>79</v>
      </c>
      <c r="C1193" s="784">
        <f t="shared" ref="C1193:J1193" si="764">SUM(C1194:C1206)</f>
        <v>164340.54000000012</v>
      </c>
      <c r="D1193" s="784">
        <f t="shared" si="764"/>
        <v>0</v>
      </c>
      <c r="E1193" s="784">
        <f t="shared" si="764"/>
        <v>0</v>
      </c>
      <c r="F1193" s="784">
        <f t="shared" si="764"/>
        <v>0</v>
      </c>
      <c r="G1193" s="784">
        <f t="shared" si="764"/>
        <v>0</v>
      </c>
      <c r="H1193" s="784">
        <f t="shared" si="764"/>
        <v>0</v>
      </c>
      <c r="I1193" s="784">
        <f t="shared" si="764"/>
        <v>0</v>
      </c>
      <c r="J1193" s="784">
        <f t="shared" si="764"/>
        <v>36270</v>
      </c>
      <c r="K1193" s="784">
        <f>SUM(K1194:K1206)</f>
        <v>200610.5400000001</v>
      </c>
      <c r="L1193" s="784">
        <f t="shared" ref="L1193" si="765">SUM(L1194:L1206)</f>
        <v>41080</v>
      </c>
      <c r="M1193" s="784"/>
      <c r="N1193" s="784">
        <f t="shared" ref="N1193" si="766">SUM(N1194:N1206)</f>
        <v>41080</v>
      </c>
      <c r="O1193" s="784">
        <f>SUM(O1194:O1206)</f>
        <v>2448406.4800000014</v>
      </c>
      <c r="P1193" s="784">
        <f>SUM(P1194:P1206)</f>
        <v>2448406.4800000014</v>
      </c>
      <c r="Q1193" s="711">
        <f>SUM(Q1194:Q1206)</f>
        <v>79</v>
      </c>
      <c r="R1193" s="784">
        <f t="shared" ref="R1193:Y1193" si="767">SUM(R1194:R1206)</f>
        <v>164340.54000000012</v>
      </c>
      <c r="S1193" s="784">
        <f t="shared" si="767"/>
        <v>0</v>
      </c>
      <c r="T1193" s="784">
        <f t="shared" si="767"/>
        <v>0</v>
      </c>
      <c r="U1193" s="784">
        <f t="shared" si="767"/>
        <v>0</v>
      </c>
      <c r="V1193" s="784">
        <f t="shared" si="767"/>
        <v>0</v>
      </c>
      <c r="W1193" s="784">
        <f t="shared" si="767"/>
        <v>0</v>
      </c>
      <c r="X1193" s="784">
        <f t="shared" si="767"/>
        <v>0</v>
      </c>
      <c r="Y1193" s="784">
        <f t="shared" si="767"/>
        <v>36270</v>
      </c>
      <c r="Z1193" s="784">
        <f>SUM(Z1194:Z1206)</f>
        <v>200610.5400000001</v>
      </c>
      <c r="AA1193" s="784">
        <f t="shared" ref="AA1193" si="768">SUM(AA1194:AA1206)</f>
        <v>41080</v>
      </c>
      <c r="AB1193" s="784"/>
      <c r="AC1193" s="784">
        <f t="shared" ref="AC1193" si="769">SUM(AC1194:AC1206)</f>
        <v>41080</v>
      </c>
      <c r="AD1193" s="784">
        <f>SUM(AD1194:AD1206)</f>
        <v>2448406.4800000014</v>
      </c>
      <c r="AE1193" s="784">
        <f>SUM(AE1194:AE1206)</f>
        <v>2448406.4800000014</v>
      </c>
      <c r="AF1193" s="735">
        <f t="shared" si="729"/>
        <v>0</v>
      </c>
      <c r="AG1193" s="722">
        <f>SUM(AG1194:AG1206)</f>
        <v>0</v>
      </c>
      <c r="AH1193" s="711">
        <f>SUM(AH1194:AH1206)</f>
        <v>79</v>
      </c>
      <c r="AI1193" s="784">
        <f>SUM(AI1194:AI1206)</f>
        <v>29380956.760000013</v>
      </c>
    </row>
    <row r="1194" spans="1:35" x14ac:dyDescent="0.2">
      <c r="A1194" s="704" t="s">
        <v>823</v>
      </c>
      <c r="B1194" s="711">
        <v>50</v>
      </c>
      <c r="C1194" s="735">
        <v>120015.0000000001</v>
      </c>
      <c r="D1194" s="735"/>
      <c r="E1194" s="735"/>
      <c r="F1194" s="735"/>
      <c r="G1194" s="735"/>
      <c r="H1194" s="735"/>
      <c r="I1194" s="735"/>
      <c r="J1194" s="735">
        <v>23500</v>
      </c>
      <c r="K1194" s="735">
        <f t="shared" si="734"/>
        <v>143515.00000000012</v>
      </c>
      <c r="L1194" s="735">
        <v>30000</v>
      </c>
      <c r="M1194" s="735"/>
      <c r="N1194" s="735">
        <f t="shared" si="718"/>
        <v>30000</v>
      </c>
      <c r="O1194" s="735">
        <f t="shared" si="725"/>
        <v>1752180.0000000014</v>
      </c>
      <c r="P1194" s="735">
        <f t="shared" si="722"/>
        <v>1752180.0000000014</v>
      </c>
      <c r="Q1194" s="711">
        <v>50</v>
      </c>
      <c r="R1194" s="735">
        <v>120015.0000000001</v>
      </c>
      <c r="S1194" s="735"/>
      <c r="T1194" s="735"/>
      <c r="U1194" s="735"/>
      <c r="V1194" s="735"/>
      <c r="W1194" s="735"/>
      <c r="X1194" s="735"/>
      <c r="Y1194" s="735">
        <v>23500</v>
      </c>
      <c r="Z1194" s="735">
        <f t="shared" ref="Z1194:Z1206" si="770">SUM(R1194:Y1194)</f>
        <v>143515.00000000012</v>
      </c>
      <c r="AA1194" s="735">
        <v>30000</v>
      </c>
      <c r="AB1194" s="735"/>
      <c r="AC1194" s="735">
        <f t="shared" ref="AC1194:AC1206" si="771">SUM(AA1194:AB1194)</f>
        <v>30000</v>
      </c>
      <c r="AD1194" s="735">
        <f t="shared" ref="AD1194:AD1206" si="772">(Z1194*12)+AC1194</f>
        <v>1752180.0000000014</v>
      </c>
      <c r="AE1194" s="735">
        <f t="shared" ref="AE1194:AE1206" si="773">AD1194</f>
        <v>1752180.0000000014</v>
      </c>
      <c r="AF1194" s="735">
        <f t="shared" si="729"/>
        <v>0</v>
      </c>
      <c r="AG1194" s="824">
        <f>P1194-AE1194</f>
        <v>0</v>
      </c>
      <c r="AH1194" s="711">
        <v>50</v>
      </c>
      <c r="AI1194" s="735">
        <f t="shared" ref="AI1194:AI1206" si="774">(AE1194*12)+AH1194</f>
        <v>21026210.000000015</v>
      </c>
    </row>
    <row r="1195" spans="1:35" x14ac:dyDescent="0.2">
      <c r="A1195" s="704" t="s">
        <v>799</v>
      </c>
      <c r="B1195" s="711">
        <v>1</v>
      </c>
      <c r="C1195" s="735">
        <v>2160.27</v>
      </c>
      <c r="D1195" s="735"/>
      <c r="E1195" s="735"/>
      <c r="F1195" s="735"/>
      <c r="G1195" s="735"/>
      <c r="H1195" s="735"/>
      <c r="I1195" s="735"/>
      <c r="J1195" s="735"/>
      <c r="K1195" s="735">
        <f t="shared" si="734"/>
        <v>2160.27</v>
      </c>
      <c r="L1195" s="735">
        <v>540</v>
      </c>
      <c r="M1195" s="735"/>
      <c r="N1195" s="735">
        <f t="shared" si="718"/>
        <v>540</v>
      </c>
      <c r="O1195" s="735">
        <f t="shared" si="725"/>
        <v>26463.239999999998</v>
      </c>
      <c r="P1195" s="735">
        <f t="shared" si="722"/>
        <v>26463.239999999998</v>
      </c>
      <c r="Q1195" s="711">
        <v>1</v>
      </c>
      <c r="R1195" s="735">
        <v>2160.27</v>
      </c>
      <c r="S1195" s="735"/>
      <c r="T1195" s="735"/>
      <c r="U1195" s="735"/>
      <c r="V1195" s="735"/>
      <c r="W1195" s="735"/>
      <c r="X1195" s="735"/>
      <c r="Y1195" s="735"/>
      <c r="Z1195" s="735">
        <f t="shared" si="770"/>
        <v>2160.27</v>
      </c>
      <c r="AA1195" s="735">
        <v>540</v>
      </c>
      <c r="AB1195" s="735"/>
      <c r="AC1195" s="735">
        <f t="shared" si="771"/>
        <v>540</v>
      </c>
      <c r="AD1195" s="735">
        <f t="shared" si="772"/>
        <v>26463.239999999998</v>
      </c>
      <c r="AE1195" s="735">
        <f t="shared" si="773"/>
        <v>26463.239999999998</v>
      </c>
      <c r="AF1195" s="735">
        <f t="shared" si="729"/>
        <v>0</v>
      </c>
      <c r="AG1195" s="824">
        <f t="shared" ref="AG1195:AG1206" si="775">P1195-AE1195</f>
        <v>0</v>
      </c>
      <c r="AH1195" s="711">
        <v>1</v>
      </c>
      <c r="AI1195" s="735">
        <f t="shared" si="774"/>
        <v>317559.88</v>
      </c>
    </row>
    <row r="1196" spans="1:35" x14ac:dyDescent="0.2">
      <c r="A1196" s="704" t="s">
        <v>810</v>
      </c>
      <c r="B1196" s="711">
        <v>2</v>
      </c>
      <c r="C1196" s="735">
        <v>4160.5200000000004</v>
      </c>
      <c r="D1196" s="735"/>
      <c r="E1196" s="735"/>
      <c r="F1196" s="735"/>
      <c r="G1196" s="735"/>
      <c r="H1196" s="735"/>
      <c r="I1196" s="735"/>
      <c r="J1196" s="735">
        <v>640</v>
      </c>
      <c r="K1196" s="735">
        <f t="shared" si="734"/>
        <v>4800.5200000000004</v>
      </c>
      <c r="L1196" s="735">
        <v>1040</v>
      </c>
      <c r="M1196" s="735"/>
      <c r="N1196" s="735">
        <f t="shared" si="718"/>
        <v>1040</v>
      </c>
      <c r="O1196" s="735">
        <f t="shared" si="725"/>
        <v>58646.240000000005</v>
      </c>
      <c r="P1196" s="735">
        <f t="shared" si="722"/>
        <v>58646.240000000005</v>
      </c>
      <c r="Q1196" s="711">
        <v>2</v>
      </c>
      <c r="R1196" s="735">
        <v>4160.5200000000004</v>
      </c>
      <c r="S1196" s="735"/>
      <c r="T1196" s="735"/>
      <c r="U1196" s="735"/>
      <c r="V1196" s="735"/>
      <c r="W1196" s="735"/>
      <c r="X1196" s="735"/>
      <c r="Y1196" s="735">
        <v>640</v>
      </c>
      <c r="Z1196" s="735">
        <f t="shared" si="770"/>
        <v>4800.5200000000004</v>
      </c>
      <c r="AA1196" s="735">
        <v>1040</v>
      </c>
      <c r="AB1196" s="735"/>
      <c r="AC1196" s="735">
        <f t="shared" si="771"/>
        <v>1040</v>
      </c>
      <c r="AD1196" s="735">
        <f t="shared" si="772"/>
        <v>58646.240000000005</v>
      </c>
      <c r="AE1196" s="735">
        <f t="shared" si="773"/>
        <v>58646.240000000005</v>
      </c>
      <c r="AF1196" s="735">
        <f t="shared" si="729"/>
        <v>0</v>
      </c>
      <c r="AG1196" s="824">
        <f t="shared" si="775"/>
        <v>0</v>
      </c>
      <c r="AH1196" s="711">
        <v>2</v>
      </c>
      <c r="AI1196" s="735">
        <f t="shared" si="774"/>
        <v>703756.88000000012</v>
      </c>
    </row>
    <row r="1197" spans="1:35" x14ac:dyDescent="0.2">
      <c r="A1197" s="704" t="s">
        <v>801</v>
      </c>
      <c r="B1197" s="711">
        <v>3</v>
      </c>
      <c r="C1197" s="735">
        <v>5760.7200000000012</v>
      </c>
      <c r="D1197" s="735"/>
      <c r="E1197" s="735"/>
      <c r="F1197" s="735"/>
      <c r="G1197" s="735"/>
      <c r="H1197" s="735"/>
      <c r="I1197" s="735"/>
      <c r="J1197" s="735">
        <v>1100</v>
      </c>
      <c r="K1197" s="735">
        <f t="shared" si="734"/>
        <v>6860.7200000000012</v>
      </c>
      <c r="L1197" s="735">
        <v>1440</v>
      </c>
      <c r="M1197" s="735"/>
      <c r="N1197" s="735">
        <f t="shared" si="718"/>
        <v>1440</v>
      </c>
      <c r="O1197" s="735">
        <f t="shared" si="725"/>
        <v>83768.640000000014</v>
      </c>
      <c r="P1197" s="735">
        <f t="shared" si="722"/>
        <v>83768.640000000014</v>
      </c>
      <c r="Q1197" s="711">
        <v>3</v>
      </c>
      <c r="R1197" s="735">
        <v>5760.7200000000012</v>
      </c>
      <c r="S1197" s="735"/>
      <c r="T1197" s="735"/>
      <c r="U1197" s="735"/>
      <c r="V1197" s="735"/>
      <c r="W1197" s="735"/>
      <c r="X1197" s="735"/>
      <c r="Y1197" s="735">
        <v>1100</v>
      </c>
      <c r="Z1197" s="735">
        <f t="shared" si="770"/>
        <v>6860.7200000000012</v>
      </c>
      <c r="AA1197" s="735">
        <v>1440</v>
      </c>
      <c r="AB1197" s="735"/>
      <c r="AC1197" s="735">
        <f t="shared" si="771"/>
        <v>1440</v>
      </c>
      <c r="AD1197" s="735">
        <f t="shared" si="772"/>
        <v>83768.640000000014</v>
      </c>
      <c r="AE1197" s="735">
        <f t="shared" si="773"/>
        <v>83768.640000000014</v>
      </c>
      <c r="AF1197" s="735">
        <f t="shared" si="729"/>
        <v>0</v>
      </c>
      <c r="AG1197" s="824">
        <f t="shared" si="775"/>
        <v>0</v>
      </c>
      <c r="AH1197" s="711">
        <v>3</v>
      </c>
      <c r="AI1197" s="735">
        <f t="shared" si="774"/>
        <v>1005226.6800000002</v>
      </c>
    </row>
    <row r="1198" spans="1:35" x14ac:dyDescent="0.2">
      <c r="A1198" s="704" t="s">
        <v>802</v>
      </c>
      <c r="B1198" s="711">
        <v>1</v>
      </c>
      <c r="C1198" s="735">
        <v>1760.22</v>
      </c>
      <c r="D1198" s="735"/>
      <c r="E1198" s="735"/>
      <c r="F1198" s="735"/>
      <c r="G1198" s="735"/>
      <c r="H1198" s="735"/>
      <c r="I1198" s="735"/>
      <c r="J1198" s="735">
        <v>600</v>
      </c>
      <c r="K1198" s="735">
        <f t="shared" si="734"/>
        <v>2360.2200000000003</v>
      </c>
      <c r="L1198" s="735">
        <v>440</v>
      </c>
      <c r="M1198" s="735"/>
      <c r="N1198" s="735">
        <f t="shared" si="718"/>
        <v>440</v>
      </c>
      <c r="O1198" s="735">
        <f t="shared" si="725"/>
        <v>28762.640000000003</v>
      </c>
      <c r="P1198" s="735">
        <f t="shared" si="722"/>
        <v>28762.640000000003</v>
      </c>
      <c r="Q1198" s="711">
        <v>1</v>
      </c>
      <c r="R1198" s="735">
        <v>1760.22</v>
      </c>
      <c r="S1198" s="735"/>
      <c r="T1198" s="735"/>
      <c r="U1198" s="735"/>
      <c r="V1198" s="735"/>
      <c r="W1198" s="735"/>
      <c r="X1198" s="735"/>
      <c r="Y1198" s="735">
        <v>600</v>
      </c>
      <c r="Z1198" s="735">
        <f t="shared" si="770"/>
        <v>2360.2200000000003</v>
      </c>
      <c r="AA1198" s="735">
        <v>440</v>
      </c>
      <c r="AB1198" s="735"/>
      <c r="AC1198" s="735">
        <f t="shared" si="771"/>
        <v>440</v>
      </c>
      <c r="AD1198" s="735">
        <f t="shared" si="772"/>
        <v>28762.640000000003</v>
      </c>
      <c r="AE1198" s="735">
        <f t="shared" si="773"/>
        <v>28762.640000000003</v>
      </c>
      <c r="AF1198" s="735">
        <f t="shared" si="729"/>
        <v>0</v>
      </c>
      <c r="AG1198" s="824">
        <f t="shared" si="775"/>
        <v>0</v>
      </c>
      <c r="AH1198" s="711">
        <v>1</v>
      </c>
      <c r="AI1198" s="735">
        <f t="shared" si="774"/>
        <v>345152.68000000005</v>
      </c>
    </row>
    <row r="1199" spans="1:35" x14ac:dyDescent="0.2">
      <c r="A1199" s="704" t="s">
        <v>819</v>
      </c>
      <c r="B1199" s="711">
        <v>2</v>
      </c>
      <c r="C1199" s="735">
        <v>3360.42</v>
      </c>
      <c r="D1199" s="735"/>
      <c r="E1199" s="735"/>
      <c r="F1199" s="735"/>
      <c r="G1199" s="735"/>
      <c r="H1199" s="735"/>
      <c r="I1199" s="735"/>
      <c r="J1199" s="735">
        <v>720</v>
      </c>
      <c r="K1199" s="735">
        <f t="shared" si="734"/>
        <v>4080.42</v>
      </c>
      <c r="L1199" s="735">
        <v>840</v>
      </c>
      <c r="M1199" s="735"/>
      <c r="N1199" s="735">
        <f t="shared" si="718"/>
        <v>840</v>
      </c>
      <c r="O1199" s="735">
        <f t="shared" si="725"/>
        <v>49805.04</v>
      </c>
      <c r="P1199" s="735">
        <f t="shared" si="722"/>
        <v>49805.04</v>
      </c>
      <c r="Q1199" s="711">
        <v>2</v>
      </c>
      <c r="R1199" s="735">
        <v>3360.42</v>
      </c>
      <c r="S1199" s="735"/>
      <c r="T1199" s="735"/>
      <c r="U1199" s="735"/>
      <c r="V1199" s="735"/>
      <c r="W1199" s="735"/>
      <c r="X1199" s="735"/>
      <c r="Y1199" s="735">
        <v>720</v>
      </c>
      <c r="Z1199" s="735">
        <f t="shared" si="770"/>
        <v>4080.42</v>
      </c>
      <c r="AA1199" s="735">
        <v>840</v>
      </c>
      <c r="AB1199" s="735"/>
      <c r="AC1199" s="735">
        <f t="shared" si="771"/>
        <v>840</v>
      </c>
      <c r="AD1199" s="735">
        <f t="shared" si="772"/>
        <v>49805.04</v>
      </c>
      <c r="AE1199" s="735">
        <f t="shared" si="773"/>
        <v>49805.04</v>
      </c>
      <c r="AF1199" s="735">
        <f t="shared" si="729"/>
        <v>0</v>
      </c>
      <c r="AG1199" s="824">
        <f t="shared" si="775"/>
        <v>0</v>
      </c>
      <c r="AH1199" s="711">
        <v>2</v>
      </c>
      <c r="AI1199" s="735">
        <f t="shared" si="774"/>
        <v>597662.48</v>
      </c>
    </row>
    <row r="1200" spans="1:35" x14ac:dyDescent="0.2">
      <c r="A1200" s="704" t="s">
        <v>824</v>
      </c>
      <c r="B1200" s="711">
        <v>2</v>
      </c>
      <c r="C1200" s="735">
        <v>3200.4</v>
      </c>
      <c r="D1200" s="735"/>
      <c r="E1200" s="735"/>
      <c r="F1200" s="735"/>
      <c r="G1200" s="735"/>
      <c r="H1200" s="735"/>
      <c r="I1200" s="735"/>
      <c r="J1200" s="735">
        <v>800</v>
      </c>
      <c r="K1200" s="735">
        <f t="shared" si="734"/>
        <v>4000.4</v>
      </c>
      <c r="L1200" s="735">
        <v>800</v>
      </c>
      <c r="M1200" s="735"/>
      <c r="N1200" s="735">
        <f t="shared" si="718"/>
        <v>800</v>
      </c>
      <c r="O1200" s="735">
        <f t="shared" si="725"/>
        <v>48804.800000000003</v>
      </c>
      <c r="P1200" s="735">
        <f t="shared" si="722"/>
        <v>48804.800000000003</v>
      </c>
      <c r="Q1200" s="711">
        <v>2</v>
      </c>
      <c r="R1200" s="735">
        <v>3200.4</v>
      </c>
      <c r="S1200" s="735"/>
      <c r="T1200" s="735"/>
      <c r="U1200" s="735"/>
      <c r="V1200" s="735"/>
      <c r="W1200" s="735"/>
      <c r="X1200" s="735"/>
      <c r="Y1200" s="735">
        <v>800</v>
      </c>
      <c r="Z1200" s="735">
        <f t="shared" si="770"/>
        <v>4000.4</v>
      </c>
      <c r="AA1200" s="735">
        <v>800</v>
      </c>
      <c r="AB1200" s="735"/>
      <c r="AC1200" s="735">
        <f t="shared" si="771"/>
        <v>800</v>
      </c>
      <c r="AD1200" s="735">
        <f t="shared" si="772"/>
        <v>48804.800000000003</v>
      </c>
      <c r="AE1200" s="735">
        <f t="shared" si="773"/>
        <v>48804.800000000003</v>
      </c>
      <c r="AF1200" s="735">
        <f t="shared" si="729"/>
        <v>0</v>
      </c>
      <c r="AG1200" s="824">
        <f t="shared" si="775"/>
        <v>0</v>
      </c>
      <c r="AH1200" s="711">
        <v>2</v>
      </c>
      <c r="AI1200" s="735">
        <f t="shared" si="774"/>
        <v>585659.60000000009</v>
      </c>
    </row>
    <row r="1201" spans="1:35" x14ac:dyDescent="0.2">
      <c r="A1201" s="704" t="s">
        <v>811</v>
      </c>
      <c r="B1201" s="711">
        <v>1</v>
      </c>
      <c r="C1201" s="735">
        <v>1520.19</v>
      </c>
      <c r="D1201" s="735"/>
      <c r="E1201" s="735"/>
      <c r="F1201" s="735"/>
      <c r="G1201" s="735"/>
      <c r="H1201" s="735"/>
      <c r="I1201" s="735"/>
      <c r="J1201" s="735">
        <v>600</v>
      </c>
      <c r="K1201" s="735">
        <f t="shared" si="734"/>
        <v>2120.19</v>
      </c>
      <c r="L1201" s="735">
        <v>380</v>
      </c>
      <c r="M1201" s="735"/>
      <c r="N1201" s="735">
        <f t="shared" si="718"/>
        <v>380</v>
      </c>
      <c r="O1201" s="735">
        <f t="shared" si="725"/>
        <v>25822.28</v>
      </c>
      <c r="P1201" s="735">
        <f t="shared" si="722"/>
        <v>25822.28</v>
      </c>
      <c r="Q1201" s="711">
        <v>1</v>
      </c>
      <c r="R1201" s="735">
        <v>1520.19</v>
      </c>
      <c r="S1201" s="735"/>
      <c r="T1201" s="735"/>
      <c r="U1201" s="735"/>
      <c r="V1201" s="735"/>
      <c r="W1201" s="735"/>
      <c r="X1201" s="735"/>
      <c r="Y1201" s="735">
        <v>600</v>
      </c>
      <c r="Z1201" s="735">
        <f t="shared" si="770"/>
        <v>2120.19</v>
      </c>
      <c r="AA1201" s="735">
        <v>380</v>
      </c>
      <c r="AB1201" s="735"/>
      <c r="AC1201" s="735">
        <f t="shared" si="771"/>
        <v>380</v>
      </c>
      <c r="AD1201" s="735">
        <f t="shared" si="772"/>
        <v>25822.28</v>
      </c>
      <c r="AE1201" s="735">
        <f t="shared" si="773"/>
        <v>25822.28</v>
      </c>
      <c r="AF1201" s="735">
        <f t="shared" si="729"/>
        <v>0</v>
      </c>
      <c r="AG1201" s="824">
        <f t="shared" si="775"/>
        <v>0</v>
      </c>
      <c r="AH1201" s="711">
        <v>1</v>
      </c>
      <c r="AI1201" s="735">
        <f t="shared" si="774"/>
        <v>309868.36</v>
      </c>
    </row>
    <row r="1202" spans="1:35" x14ac:dyDescent="0.2">
      <c r="A1202" s="704" t="s">
        <v>803</v>
      </c>
      <c r="B1202" s="711">
        <v>12</v>
      </c>
      <c r="C1202" s="735">
        <v>17282.16</v>
      </c>
      <c r="D1202" s="735"/>
      <c r="E1202" s="735"/>
      <c r="F1202" s="735"/>
      <c r="G1202" s="735"/>
      <c r="H1202" s="735"/>
      <c r="I1202" s="735"/>
      <c r="J1202" s="735">
        <v>7640</v>
      </c>
      <c r="K1202" s="735">
        <f t="shared" si="734"/>
        <v>24922.16</v>
      </c>
      <c r="L1202" s="735">
        <v>4320</v>
      </c>
      <c r="M1202" s="735"/>
      <c r="N1202" s="735">
        <f t="shared" si="718"/>
        <v>4320</v>
      </c>
      <c r="O1202" s="735">
        <f t="shared" si="725"/>
        <v>303385.92</v>
      </c>
      <c r="P1202" s="735">
        <f t="shared" si="722"/>
        <v>303385.92</v>
      </c>
      <c r="Q1202" s="711">
        <v>12</v>
      </c>
      <c r="R1202" s="735">
        <v>17282.16</v>
      </c>
      <c r="S1202" s="735"/>
      <c r="T1202" s="735"/>
      <c r="U1202" s="735"/>
      <c r="V1202" s="735"/>
      <c r="W1202" s="735"/>
      <c r="X1202" s="735"/>
      <c r="Y1202" s="735">
        <v>7640</v>
      </c>
      <c r="Z1202" s="735">
        <f t="shared" si="770"/>
        <v>24922.16</v>
      </c>
      <c r="AA1202" s="735">
        <v>4320</v>
      </c>
      <c r="AB1202" s="735"/>
      <c r="AC1202" s="735">
        <f t="shared" si="771"/>
        <v>4320</v>
      </c>
      <c r="AD1202" s="735">
        <f t="shared" si="772"/>
        <v>303385.92</v>
      </c>
      <c r="AE1202" s="735">
        <f t="shared" si="773"/>
        <v>303385.92</v>
      </c>
      <c r="AF1202" s="735">
        <f t="shared" si="729"/>
        <v>0</v>
      </c>
      <c r="AG1202" s="824">
        <f t="shared" si="775"/>
        <v>0</v>
      </c>
      <c r="AH1202" s="711">
        <v>12</v>
      </c>
      <c r="AI1202" s="735">
        <f t="shared" si="774"/>
        <v>3640643.04</v>
      </c>
    </row>
    <row r="1203" spans="1:35" x14ac:dyDescent="0.2">
      <c r="A1203" s="704" t="s">
        <v>820</v>
      </c>
      <c r="B1203" s="711">
        <v>1</v>
      </c>
      <c r="C1203" s="735">
        <v>1280.1600000000001</v>
      </c>
      <c r="D1203" s="735"/>
      <c r="E1203" s="735"/>
      <c r="F1203" s="735"/>
      <c r="G1203" s="735"/>
      <c r="H1203" s="735"/>
      <c r="I1203" s="735"/>
      <c r="J1203" s="735">
        <v>600</v>
      </c>
      <c r="K1203" s="735">
        <f t="shared" si="734"/>
        <v>1880.16</v>
      </c>
      <c r="L1203" s="735">
        <v>320</v>
      </c>
      <c r="M1203" s="735"/>
      <c r="N1203" s="735">
        <f t="shared" si="718"/>
        <v>320</v>
      </c>
      <c r="O1203" s="735">
        <f t="shared" si="725"/>
        <v>22881.920000000002</v>
      </c>
      <c r="P1203" s="735">
        <f t="shared" si="722"/>
        <v>22881.920000000002</v>
      </c>
      <c r="Q1203" s="711">
        <v>1</v>
      </c>
      <c r="R1203" s="735">
        <v>1280.1600000000001</v>
      </c>
      <c r="S1203" s="735"/>
      <c r="T1203" s="735"/>
      <c r="U1203" s="735"/>
      <c r="V1203" s="735"/>
      <c r="W1203" s="735"/>
      <c r="X1203" s="735"/>
      <c r="Y1203" s="735">
        <v>600</v>
      </c>
      <c r="Z1203" s="735">
        <f t="shared" si="770"/>
        <v>1880.16</v>
      </c>
      <c r="AA1203" s="735">
        <v>320</v>
      </c>
      <c r="AB1203" s="735"/>
      <c r="AC1203" s="735">
        <f t="shared" si="771"/>
        <v>320</v>
      </c>
      <c r="AD1203" s="735">
        <f t="shared" si="772"/>
        <v>22881.920000000002</v>
      </c>
      <c r="AE1203" s="735">
        <f t="shared" si="773"/>
        <v>22881.920000000002</v>
      </c>
      <c r="AF1203" s="735">
        <f t="shared" si="729"/>
        <v>0</v>
      </c>
      <c r="AG1203" s="824">
        <f t="shared" si="775"/>
        <v>0</v>
      </c>
      <c r="AH1203" s="711">
        <v>1</v>
      </c>
      <c r="AI1203" s="735">
        <f t="shared" si="774"/>
        <v>274584.04000000004</v>
      </c>
    </row>
    <row r="1204" spans="1:35" x14ac:dyDescent="0.2">
      <c r="A1204" s="704" t="s">
        <v>812</v>
      </c>
      <c r="B1204" s="711">
        <v>1</v>
      </c>
      <c r="C1204" s="735">
        <v>1200.1500000000001</v>
      </c>
      <c r="D1204" s="735"/>
      <c r="E1204" s="735"/>
      <c r="F1204" s="735"/>
      <c r="G1204" s="735"/>
      <c r="H1204" s="735"/>
      <c r="I1204" s="735"/>
      <c r="J1204" s="735"/>
      <c r="K1204" s="735">
        <f t="shared" si="734"/>
        <v>1200.1500000000001</v>
      </c>
      <c r="L1204" s="735">
        <v>300</v>
      </c>
      <c r="M1204" s="735"/>
      <c r="N1204" s="735">
        <f t="shared" si="718"/>
        <v>300</v>
      </c>
      <c r="O1204" s="735">
        <f t="shared" si="725"/>
        <v>14701.800000000001</v>
      </c>
      <c r="P1204" s="735">
        <f t="shared" si="722"/>
        <v>14701.800000000001</v>
      </c>
      <c r="Q1204" s="711">
        <v>1</v>
      </c>
      <c r="R1204" s="735">
        <v>1200.1500000000001</v>
      </c>
      <c r="S1204" s="735"/>
      <c r="T1204" s="735"/>
      <c r="U1204" s="735"/>
      <c r="V1204" s="735"/>
      <c r="W1204" s="735"/>
      <c r="X1204" s="735"/>
      <c r="Y1204" s="735"/>
      <c r="Z1204" s="735">
        <f t="shared" si="770"/>
        <v>1200.1500000000001</v>
      </c>
      <c r="AA1204" s="735">
        <v>300</v>
      </c>
      <c r="AB1204" s="735"/>
      <c r="AC1204" s="735">
        <f t="shared" si="771"/>
        <v>300</v>
      </c>
      <c r="AD1204" s="735">
        <f t="shared" si="772"/>
        <v>14701.800000000001</v>
      </c>
      <c r="AE1204" s="735">
        <f t="shared" si="773"/>
        <v>14701.800000000001</v>
      </c>
      <c r="AF1204" s="735">
        <f t="shared" si="729"/>
        <v>0</v>
      </c>
      <c r="AG1204" s="824">
        <f t="shared" si="775"/>
        <v>0</v>
      </c>
      <c r="AH1204" s="711">
        <v>1</v>
      </c>
      <c r="AI1204" s="735">
        <f t="shared" si="774"/>
        <v>176422.6</v>
      </c>
    </row>
    <row r="1205" spans="1:35" x14ac:dyDescent="0.2">
      <c r="A1205" s="704" t="s">
        <v>821</v>
      </c>
      <c r="B1205" s="711">
        <v>2</v>
      </c>
      <c r="C1205" s="735">
        <v>1920.2400000000002</v>
      </c>
      <c r="D1205" s="735"/>
      <c r="E1205" s="735"/>
      <c r="F1205" s="735"/>
      <c r="G1205" s="735"/>
      <c r="H1205" s="735"/>
      <c r="I1205" s="735"/>
      <c r="J1205" s="735"/>
      <c r="K1205" s="735">
        <f t="shared" si="734"/>
        <v>1920.2400000000002</v>
      </c>
      <c r="L1205" s="735">
        <v>480</v>
      </c>
      <c r="M1205" s="735"/>
      <c r="N1205" s="735">
        <f t="shared" si="718"/>
        <v>480</v>
      </c>
      <c r="O1205" s="735">
        <f t="shared" si="725"/>
        <v>23522.880000000005</v>
      </c>
      <c r="P1205" s="735">
        <f t="shared" si="722"/>
        <v>23522.880000000005</v>
      </c>
      <c r="Q1205" s="711">
        <v>2</v>
      </c>
      <c r="R1205" s="735">
        <v>1920.2400000000002</v>
      </c>
      <c r="S1205" s="735"/>
      <c r="T1205" s="735"/>
      <c r="U1205" s="735"/>
      <c r="V1205" s="735"/>
      <c r="W1205" s="735"/>
      <c r="X1205" s="735"/>
      <c r="Y1205" s="735"/>
      <c r="Z1205" s="735">
        <f t="shared" si="770"/>
        <v>1920.2400000000002</v>
      </c>
      <c r="AA1205" s="735">
        <v>480</v>
      </c>
      <c r="AB1205" s="735"/>
      <c r="AC1205" s="735">
        <f t="shared" si="771"/>
        <v>480</v>
      </c>
      <c r="AD1205" s="735">
        <f t="shared" si="772"/>
        <v>23522.880000000005</v>
      </c>
      <c r="AE1205" s="735">
        <f t="shared" si="773"/>
        <v>23522.880000000005</v>
      </c>
      <c r="AF1205" s="735">
        <f t="shared" si="729"/>
        <v>0</v>
      </c>
      <c r="AG1205" s="824">
        <f t="shared" si="775"/>
        <v>0</v>
      </c>
      <c r="AH1205" s="711">
        <v>2</v>
      </c>
      <c r="AI1205" s="735">
        <f t="shared" si="774"/>
        <v>282276.56000000006</v>
      </c>
    </row>
    <row r="1206" spans="1:35" x14ac:dyDescent="0.2">
      <c r="A1206" s="704" t="s">
        <v>825</v>
      </c>
      <c r="B1206" s="711">
        <v>1</v>
      </c>
      <c r="C1206" s="735">
        <v>720.09</v>
      </c>
      <c r="D1206" s="735"/>
      <c r="E1206" s="735"/>
      <c r="F1206" s="735"/>
      <c r="G1206" s="735"/>
      <c r="H1206" s="735"/>
      <c r="I1206" s="735"/>
      <c r="J1206" s="735">
        <v>70</v>
      </c>
      <c r="K1206" s="735">
        <f t="shared" si="734"/>
        <v>790.09</v>
      </c>
      <c r="L1206" s="735">
        <v>180</v>
      </c>
      <c r="M1206" s="735"/>
      <c r="N1206" s="735">
        <f t="shared" si="718"/>
        <v>180</v>
      </c>
      <c r="O1206" s="735">
        <f t="shared" si="725"/>
        <v>9661.08</v>
      </c>
      <c r="P1206" s="735">
        <f t="shared" si="722"/>
        <v>9661.08</v>
      </c>
      <c r="Q1206" s="711">
        <v>1</v>
      </c>
      <c r="R1206" s="735">
        <v>720.09</v>
      </c>
      <c r="S1206" s="735"/>
      <c r="T1206" s="735"/>
      <c r="U1206" s="735"/>
      <c r="V1206" s="735"/>
      <c r="W1206" s="735"/>
      <c r="X1206" s="735"/>
      <c r="Y1206" s="735">
        <v>70</v>
      </c>
      <c r="Z1206" s="735">
        <f t="shared" si="770"/>
        <v>790.09</v>
      </c>
      <c r="AA1206" s="735">
        <v>180</v>
      </c>
      <c r="AB1206" s="735"/>
      <c r="AC1206" s="735">
        <f t="shared" si="771"/>
        <v>180</v>
      </c>
      <c r="AD1206" s="735">
        <f t="shared" si="772"/>
        <v>9661.08</v>
      </c>
      <c r="AE1206" s="735">
        <f t="shared" si="773"/>
        <v>9661.08</v>
      </c>
      <c r="AF1206" s="735">
        <f t="shared" si="729"/>
        <v>0</v>
      </c>
      <c r="AG1206" s="824">
        <f t="shared" si="775"/>
        <v>0</v>
      </c>
      <c r="AH1206" s="711">
        <v>1</v>
      </c>
      <c r="AI1206" s="735">
        <f t="shared" si="774"/>
        <v>115933.95999999999</v>
      </c>
    </row>
    <row r="1207" spans="1:35" x14ac:dyDescent="0.2">
      <c r="A1207" s="876" t="s">
        <v>826</v>
      </c>
      <c r="B1207" s="722">
        <f>SUM(B1208:B1209)</f>
        <v>45</v>
      </c>
      <c r="C1207" s="784">
        <f t="shared" ref="C1207:J1207" si="776">SUM(C1208:C1209)</f>
        <v>107053.38000000008</v>
      </c>
      <c r="D1207" s="784"/>
      <c r="E1207" s="784">
        <f t="shared" si="776"/>
        <v>0</v>
      </c>
      <c r="F1207" s="784">
        <f t="shared" si="776"/>
        <v>0</v>
      </c>
      <c r="G1207" s="784">
        <f t="shared" si="776"/>
        <v>0</v>
      </c>
      <c r="H1207" s="784">
        <f t="shared" si="776"/>
        <v>0</v>
      </c>
      <c r="I1207" s="784">
        <f t="shared" si="776"/>
        <v>0</v>
      </c>
      <c r="J1207" s="784">
        <f t="shared" si="776"/>
        <v>32370</v>
      </c>
      <c r="K1207" s="784">
        <f>SUM(K1208:K1209)</f>
        <v>139423.38000000009</v>
      </c>
      <c r="L1207" s="784">
        <f t="shared" ref="L1207" si="777">SUM(L1208:L1209)</f>
        <v>26760</v>
      </c>
      <c r="M1207" s="784"/>
      <c r="N1207" s="784">
        <f t="shared" ref="N1207" si="778">SUM(N1208:N1209)</f>
        <v>26760</v>
      </c>
      <c r="O1207" s="784">
        <f>SUM(O1208:O1209)</f>
        <v>1699840.560000001</v>
      </c>
      <c r="P1207" s="784">
        <f>SUM(P1208:P1209)</f>
        <v>1699840.560000001</v>
      </c>
      <c r="Q1207" s="711">
        <f>SUM(Q1208:Q1209)</f>
        <v>45</v>
      </c>
      <c r="R1207" s="784">
        <f t="shared" ref="R1207" si="779">SUM(R1208:R1209)</f>
        <v>107053.38000000008</v>
      </c>
      <c r="S1207" s="784"/>
      <c r="T1207" s="784">
        <f t="shared" ref="T1207:Y1207" si="780">SUM(T1208:T1209)</f>
        <v>0</v>
      </c>
      <c r="U1207" s="784">
        <f t="shared" si="780"/>
        <v>0</v>
      </c>
      <c r="V1207" s="784">
        <f t="shared" si="780"/>
        <v>0</v>
      </c>
      <c r="W1207" s="784">
        <f t="shared" si="780"/>
        <v>0</v>
      </c>
      <c r="X1207" s="784">
        <f t="shared" si="780"/>
        <v>0</v>
      </c>
      <c r="Y1207" s="784">
        <f t="shared" si="780"/>
        <v>32370</v>
      </c>
      <c r="Z1207" s="784">
        <f>SUM(Z1208:Z1209)</f>
        <v>139423.38000000009</v>
      </c>
      <c r="AA1207" s="784">
        <f t="shared" ref="AA1207" si="781">SUM(AA1208:AA1209)</f>
        <v>26760</v>
      </c>
      <c r="AB1207" s="784"/>
      <c r="AC1207" s="784">
        <f t="shared" ref="AC1207" si="782">SUM(AC1208:AC1209)</f>
        <v>26760</v>
      </c>
      <c r="AD1207" s="784">
        <f>SUM(AD1208:AD1209)</f>
        <v>1699840.560000001</v>
      </c>
      <c r="AE1207" s="784">
        <f>SUM(AE1208:AE1209)</f>
        <v>1699840.560000001</v>
      </c>
      <c r="AF1207" s="735">
        <f t="shared" si="729"/>
        <v>0</v>
      </c>
      <c r="AG1207" s="722">
        <f>SUM(AG1208:AG1209)</f>
        <v>0</v>
      </c>
      <c r="AH1207" s="711">
        <f>SUM(AH1208:AH1209)</f>
        <v>45</v>
      </c>
      <c r="AI1207" s="784">
        <f>SUM(AI1208:AI1209)</f>
        <v>20398131.720000014</v>
      </c>
    </row>
    <row r="1208" spans="1:35" x14ac:dyDescent="0.2">
      <c r="A1208" s="704" t="s">
        <v>823</v>
      </c>
      <c r="B1208" s="711">
        <v>43</v>
      </c>
      <c r="C1208" s="735">
        <v>103212.90000000008</v>
      </c>
      <c r="D1208" s="735"/>
      <c r="E1208" s="735"/>
      <c r="F1208" s="735"/>
      <c r="G1208" s="735"/>
      <c r="H1208" s="735"/>
      <c r="I1208" s="735"/>
      <c r="J1208" s="735">
        <v>32300</v>
      </c>
      <c r="K1208" s="735">
        <f t="shared" si="734"/>
        <v>135512.90000000008</v>
      </c>
      <c r="L1208" s="735">
        <v>25800</v>
      </c>
      <c r="M1208" s="735"/>
      <c r="N1208" s="735">
        <f t="shared" si="718"/>
        <v>25800</v>
      </c>
      <c r="O1208" s="735">
        <f t="shared" si="725"/>
        <v>1651954.800000001</v>
      </c>
      <c r="P1208" s="735">
        <f t="shared" si="722"/>
        <v>1651954.800000001</v>
      </c>
      <c r="Q1208" s="711">
        <v>43</v>
      </c>
      <c r="R1208" s="735">
        <v>103212.90000000008</v>
      </c>
      <c r="S1208" s="735"/>
      <c r="T1208" s="735"/>
      <c r="U1208" s="735"/>
      <c r="V1208" s="735"/>
      <c r="W1208" s="735"/>
      <c r="X1208" s="735"/>
      <c r="Y1208" s="735">
        <v>32300</v>
      </c>
      <c r="Z1208" s="735">
        <f t="shared" ref="Z1208:Z1209" si="783">SUM(R1208:Y1208)</f>
        <v>135512.90000000008</v>
      </c>
      <c r="AA1208" s="735">
        <v>25800</v>
      </c>
      <c r="AB1208" s="735"/>
      <c r="AC1208" s="735">
        <f t="shared" ref="AC1208" si="784">SUM(AA1208:AB1208)</f>
        <v>25800</v>
      </c>
      <c r="AD1208" s="735">
        <f t="shared" ref="AD1208:AD1209" si="785">(Z1208*12)+AC1208</f>
        <v>1651954.800000001</v>
      </c>
      <c r="AE1208" s="735">
        <f t="shared" ref="AE1208:AE1209" si="786">AD1208</f>
        <v>1651954.800000001</v>
      </c>
      <c r="AF1208" s="735">
        <f t="shared" si="729"/>
        <v>0</v>
      </c>
      <c r="AG1208" s="824">
        <f>P1208-AE1208</f>
        <v>0</v>
      </c>
      <c r="AH1208" s="711">
        <v>43</v>
      </c>
      <c r="AI1208" s="735">
        <f t="shared" ref="AI1208:AI1209" si="787">(AE1208*12)+AH1208</f>
        <v>19823500.600000013</v>
      </c>
    </row>
    <row r="1209" spans="1:35" x14ac:dyDescent="0.2">
      <c r="A1209" s="704" t="s">
        <v>801</v>
      </c>
      <c r="B1209" s="711">
        <v>2</v>
      </c>
      <c r="C1209" s="735">
        <v>3840.4800000000005</v>
      </c>
      <c r="D1209" s="735"/>
      <c r="E1209" s="735"/>
      <c r="F1209" s="735"/>
      <c r="G1209" s="735"/>
      <c r="H1209" s="735"/>
      <c r="I1209" s="735"/>
      <c r="J1209" s="735">
        <v>70</v>
      </c>
      <c r="K1209" s="735">
        <f t="shared" si="734"/>
        <v>3910.4800000000005</v>
      </c>
      <c r="L1209" s="735">
        <v>960</v>
      </c>
      <c r="M1209" s="735"/>
      <c r="N1209" s="735">
        <f>SUM(L1209:M1209)</f>
        <v>960</v>
      </c>
      <c r="O1209" s="735">
        <f t="shared" si="725"/>
        <v>47885.760000000009</v>
      </c>
      <c r="P1209" s="735">
        <f t="shared" si="722"/>
        <v>47885.760000000009</v>
      </c>
      <c r="Q1209" s="711">
        <v>2</v>
      </c>
      <c r="R1209" s="735">
        <v>3840.4800000000005</v>
      </c>
      <c r="S1209" s="735"/>
      <c r="T1209" s="735"/>
      <c r="U1209" s="735"/>
      <c r="V1209" s="735"/>
      <c r="W1209" s="735"/>
      <c r="X1209" s="735"/>
      <c r="Y1209" s="735">
        <v>70</v>
      </c>
      <c r="Z1209" s="735">
        <f t="shared" si="783"/>
        <v>3910.4800000000005</v>
      </c>
      <c r="AA1209" s="735">
        <v>960</v>
      </c>
      <c r="AB1209" s="735"/>
      <c r="AC1209" s="735">
        <f>SUM(AA1209:AB1209)</f>
        <v>960</v>
      </c>
      <c r="AD1209" s="735">
        <f t="shared" si="785"/>
        <v>47885.760000000009</v>
      </c>
      <c r="AE1209" s="735">
        <f t="shared" si="786"/>
        <v>47885.760000000009</v>
      </c>
      <c r="AF1209" s="735">
        <f t="shared" si="729"/>
        <v>0</v>
      </c>
      <c r="AG1209" s="824">
        <f t="shared" ref="AG1209:AG1210" si="788">P1209-AE1209</f>
        <v>0</v>
      </c>
      <c r="AH1209" s="711">
        <v>2</v>
      </c>
      <c r="AI1209" s="735">
        <f t="shared" si="787"/>
        <v>574631.12000000011</v>
      </c>
    </row>
    <row r="1210" spans="1:35" x14ac:dyDescent="0.2">
      <c r="A1210" s="874" t="s">
        <v>543</v>
      </c>
      <c r="B1210" s="819">
        <v>22</v>
      </c>
      <c r="C1210" s="820">
        <v>31460</v>
      </c>
      <c r="D1210" s="820"/>
      <c r="E1210" s="820"/>
      <c r="F1210" s="820"/>
      <c r="G1210" s="820"/>
      <c r="H1210" s="820"/>
      <c r="I1210" s="820"/>
      <c r="J1210" s="820">
        <v>210</v>
      </c>
      <c r="K1210" s="820">
        <f>SUM(C1210:J1210)</f>
        <v>31670</v>
      </c>
      <c r="L1210" s="820">
        <v>16000</v>
      </c>
      <c r="M1210" s="820"/>
      <c r="N1210" s="820">
        <f>SUM(L1210:M1210)</f>
        <v>16000</v>
      </c>
      <c r="O1210" s="820">
        <f>(K1210*12)+N1210</f>
        <v>396040</v>
      </c>
      <c r="P1210" s="820">
        <f>O1210</f>
        <v>396040</v>
      </c>
      <c r="Q1210" s="711">
        <v>22</v>
      </c>
      <c r="R1210" s="820">
        <v>31460</v>
      </c>
      <c r="S1210" s="820"/>
      <c r="T1210" s="820"/>
      <c r="U1210" s="820"/>
      <c r="V1210" s="820"/>
      <c r="W1210" s="820"/>
      <c r="X1210" s="820"/>
      <c r="Y1210" s="820">
        <v>210</v>
      </c>
      <c r="Z1210" s="820">
        <f>SUM(R1210:Y1210)</f>
        <v>31670</v>
      </c>
      <c r="AA1210" s="820">
        <v>16000</v>
      </c>
      <c r="AB1210" s="820"/>
      <c r="AC1210" s="820">
        <f>SUM(AA1210:AB1210)</f>
        <v>16000</v>
      </c>
      <c r="AD1210" s="820">
        <f>(Z1210*12)+AC1210</f>
        <v>396040</v>
      </c>
      <c r="AE1210" s="820">
        <f>AD1210</f>
        <v>396040</v>
      </c>
      <c r="AF1210" s="821">
        <f t="shared" si="729"/>
        <v>0</v>
      </c>
      <c r="AG1210" s="824">
        <f t="shared" si="788"/>
        <v>0</v>
      </c>
      <c r="AH1210" s="711">
        <v>22</v>
      </c>
      <c r="AI1210" s="820">
        <f>(AE1210*12)+AH1210</f>
        <v>4752502</v>
      </c>
    </row>
    <row r="1211" spans="1:35" x14ac:dyDescent="0.2">
      <c r="A1211" s="706" t="s">
        <v>169</v>
      </c>
      <c r="B1211" s="743">
        <f>B751+B775+B1145+B1210</f>
        <v>1591</v>
      </c>
      <c r="C1211" s="742">
        <f>C751+C775+C1145+C1210</f>
        <v>1802515.0354143325</v>
      </c>
      <c r="D1211" s="742"/>
      <c r="E1211" s="742"/>
      <c r="F1211" s="742"/>
      <c r="G1211" s="742"/>
      <c r="H1211" s="742"/>
      <c r="I1211" s="742"/>
      <c r="J1211" s="742"/>
      <c r="K1211" s="742">
        <f>K751+K775+K1145+K1210</f>
        <v>3559092.9599999972</v>
      </c>
      <c r="L1211" s="742">
        <f>L751+L775+L1145+L1210</f>
        <v>706180</v>
      </c>
      <c r="M1211" s="742"/>
      <c r="N1211" s="742">
        <f>N751+N775+N1145+N1210</f>
        <v>706180</v>
      </c>
      <c r="O1211" s="742">
        <f>O751+O775+O1145+O1210</f>
        <v>57263764.560000204</v>
      </c>
      <c r="P1211" s="742">
        <f>P751+P775+P1145+P1210</f>
        <v>57380778.960000202</v>
      </c>
      <c r="Q1211" s="743">
        <f>Q751+Q775+Q1145+Q1210</f>
        <v>1592</v>
      </c>
      <c r="R1211" s="742">
        <f>R751+R775+R1145+R1210</f>
        <v>1805411.4954143325</v>
      </c>
      <c r="S1211" s="742">
        <f t="shared" ref="S1211:AI1211" si="789">S751+S775+S1145+S1210</f>
        <v>40250</v>
      </c>
      <c r="T1211" s="742">
        <f t="shared" si="789"/>
        <v>0</v>
      </c>
      <c r="U1211" s="742">
        <f t="shared" si="789"/>
        <v>0</v>
      </c>
      <c r="V1211" s="742">
        <f t="shared" si="789"/>
        <v>0</v>
      </c>
      <c r="W1211" s="742">
        <f t="shared" si="789"/>
        <v>0</v>
      </c>
      <c r="X1211" s="742">
        <f t="shared" si="789"/>
        <v>0</v>
      </c>
      <c r="Y1211" s="742">
        <f t="shared" ca="1" si="789"/>
        <v>1805411.4954143325</v>
      </c>
      <c r="Z1211" s="742">
        <f t="shared" ca="1" si="789"/>
        <v>1805411.4954143325</v>
      </c>
      <c r="AA1211" s="742">
        <f t="shared" si="789"/>
        <v>707180</v>
      </c>
      <c r="AB1211" s="742">
        <f t="shared" si="789"/>
        <v>0</v>
      </c>
      <c r="AC1211" s="742">
        <f t="shared" si="789"/>
        <v>707180</v>
      </c>
      <c r="AD1211" s="742">
        <f t="shared" si="789"/>
        <v>57314042.080000199</v>
      </c>
      <c r="AE1211" s="742">
        <f t="shared" si="789"/>
        <v>57431056.480000198</v>
      </c>
      <c r="AF1211" s="742">
        <f t="shared" si="789"/>
        <v>50277.520000000004</v>
      </c>
      <c r="AG1211" s="826">
        <f>AG751+AG775+AG1145+AG1210</f>
        <v>50277.520000000004</v>
      </c>
      <c r="AH1211" s="743">
        <f t="shared" si="789"/>
        <v>1592</v>
      </c>
      <c r="AI1211" s="827">
        <f t="shared" si="789"/>
        <v>689174269.76000237</v>
      </c>
    </row>
    <row r="1212" spans="1:35" x14ac:dyDescent="0.2">
      <c r="B1212" s="17"/>
      <c r="C1212" s="17"/>
      <c r="D1212" s="17"/>
      <c r="E1212" s="17"/>
      <c r="F1212" s="17"/>
      <c r="G1212" s="17"/>
      <c r="H1212" s="17"/>
      <c r="I1212" s="17"/>
      <c r="J1212" s="17"/>
      <c r="K1212" s="17"/>
      <c r="L1212" s="17"/>
      <c r="M1212" s="17"/>
      <c r="N1212" s="17"/>
      <c r="O1212" s="17"/>
      <c r="P1212" s="17"/>
      <c r="R1212" s="17"/>
      <c r="S1212" s="17"/>
      <c r="T1212" s="17"/>
      <c r="U1212" s="17"/>
      <c r="V1212" s="17"/>
      <c r="W1212" s="17"/>
      <c r="X1212" s="17"/>
      <c r="Y1212" s="17"/>
      <c r="Z1212" s="17"/>
      <c r="AA1212" s="17"/>
      <c r="AB1212" s="17"/>
      <c r="AC1212" s="17"/>
      <c r="AD1212" s="17"/>
      <c r="AE1212" s="17"/>
      <c r="AF1212" s="17"/>
      <c r="AG1212" s="17"/>
      <c r="AH1212" s="17"/>
      <c r="AI1212" s="17"/>
    </row>
    <row r="1213" spans="1:35" x14ac:dyDescent="0.2">
      <c r="B1213" s="17"/>
      <c r="C1213" s="17"/>
      <c r="D1213" s="17"/>
      <c r="E1213" s="17"/>
      <c r="F1213" s="17"/>
      <c r="G1213" s="17"/>
      <c r="H1213" s="17"/>
      <c r="I1213" s="17"/>
      <c r="J1213" s="17"/>
      <c r="K1213" s="17"/>
      <c r="L1213" s="17"/>
      <c r="M1213" s="17"/>
      <c r="N1213" s="17"/>
      <c r="O1213" s="17"/>
      <c r="P1213" s="17"/>
      <c r="R1213" s="17"/>
      <c r="S1213" s="17"/>
      <c r="T1213" s="17"/>
      <c r="U1213" s="17"/>
      <c r="V1213" s="17"/>
      <c r="W1213" s="17"/>
      <c r="X1213" s="17"/>
      <c r="Y1213" s="17"/>
      <c r="Z1213" s="17"/>
      <c r="AA1213" s="17"/>
      <c r="AB1213" s="17"/>
      <c r="AC1213" s="17"/>
      <c r="AD1213" s="17"/>
      <c r="AE1213" s="17"/>
      <c r="AF1213" s="17"/>
      <c r="AG1213" s="17"/>
      <c r="AH1213" s="17"/>
      <c r="AI1213" s="17"/>
    </row>
    <row r="1214" spans="1:35" x14ac:dyDescent="0.2">
      <c r="A1214" s="706" t="s">
        <v>530</v>
      </c>
      <c r="B1214" s="743"/>
      <c r="C1214" s="742"/>
      <c r="D1214" s="742"/>
      <c r="E1214" s="742"/>
      <c r="F1214" s="742"/>
      <c r="G1214" s="742"/>
      <c r="H1214" s="742"/>
      <c r="I1214" s="742"/>
      <c r="J1214" s="742"/>
      <c r="K1214" s="742"/>
      <c r="L1214" s="742"/>
      <c r="M1214" s="742"/>
      <c r="N1214" s="742"/>
      <c r="O1214" s="742"/>
      <c r="P1214" s="742"/>
      <c r="Q1214" s="712"/>
      <c r="R1214" s="742"/>
      <c r="S1214" s="742"/>
      <c r="T1214" s="742"/>
      <c r="U1214" s="742"/>
      <c r="V1214" s="742"/>
      <c r="W1214" s="742"/>
      <c r="X1214" s="742"/>
      <c r="Y1214" s="742"/>
      <c r="Z1214" s="742"/>
      <c r="AA1214" s="742"/>
      <c r="AB1214" s="742"/>
      <c r="AC1214" s="742"/>
      <c r="AD1214" s="742"/>
      <c r="AE1214" s="742"/>
      <c r="AF1214" s="742"/>
      <c r="AG1214" s="743"/>
      <c r="AH1214" s="743"/>
      <c r="AI1214" s="742"/>
    </row>
    <row r="1215" spans="1:35" ht="12.75" customHeight="1" x14ac:dyDescent="0.2">
      <c r="A1215" s="1485" t="s">
        <v>644</v>
      </c>
      <c r="B1215" s="1487" t="s">
        <v>645</v>
      </c>
      <c r="C1215" s="1487"/>
      <c r="D1215" s="1487"/>
      <c r="E1215" s="1487"/>
      <c r="F1215" s="1487"/>
      <c r="G1215" s="1487"/>
      <c r="H1215" s="1487"/>
      <c r="I1215" s="1487"/>
      <c r="J1215" s="1487"/>
      <c r="K1215" s="1487"/>
      <c r="L1215" s="1487"/>
      <c r="M1215" s="1487"/>
      <c r="N1215" s="1487"/>
      <c r="O1215" s="1487"/>
      <c r="P1215" s="1487"/>
      <c r="Q1215" s="1487" t="s">
        <v>646</v>
      </c>
      <c r="R1215" s="1487"/>
      <c r="S1215" s="1487"/>
      <c r="T1215" s="1487"/>
      <c r="U1215" s="1487"/>
      <c r="V1215" s="1487"/>
      <c r="W1215" s="1487"/>
      <c r="X1215" s="1487"/>
      <c r="Y1215" s="1487"/>
      <c r="Z1215" s="1487"/>
      <c r="AA1215" s="1487"/>
      <c r="AB1215" s="1487"/>
      <c r="AC1215" s="1487"/>
      <c r="AD1215" s="1487"/>
      <c r="AE1215" s="1487"/>
      <c r="AF1215" s="1487" t="s">
        <v>647</v>
      </c>
      <c r="AG1215" s="1487"/>
      <c r="AH1215" s="1487" t="s">
        <v>648</v>
      </c>
      <c r="AI1215" s="1487"/>
    </row>
    <row r="1216" spans="1:35" ht="120" customHeight="1" x14ac:dyDescent="0.2">
      <c r="A1216" s="1485"/>
      <c r="B1216" s="691" t="s">
        <v>649</v>
      </c>
      <c r="C1216" s="692" t="s">
        <v>650</v>
      </c>
      <c r="D1216" s="692" t="s">
        <v>684</v>
      </c>
      <c r="E1216" s="692" t="s">
        <v>652</v>
      </c>
      <c r="F1216" s="692" t="s">
        <v>653</v>
      </c>
      <c r="G1216" s="692" t="s">
        <v>654</v>
      </c>
      <c r="H1216" s="692" t="s">
        <v>655</v>
      </c>
      <c r="I1216" s="692" t="s">
        <v>656</v>
      </c>
      <c r="J1216" s="692" t="s">
        <v>657</v>
      </c>
      <c r="K1216" s="692" t="s">
        <v>658</v>
      </c>
      <c r="L1216" s="692" t="s">
        <v>659</v>
      </c>
      <c r="M1216" s="692" t="s">
        <v>660</v>
      </c>
      <c r="N1216" s="692" t="s">
        <v>661</v>
      </c>
      <c r="O1216" s="692" t="s">
        <v>662</v>
      </c>
      <c r="P1216" s="692" t="s">
        <v>685</v>
      </c>
      <c r="Q1216" s="691" t="s">
        <v>649</v>
      </c>
      <c r="R1216" s="692" t="s">
        <v>650</v>
      </c>
      <c r="S1216" s="692" t="s">
        <v>651</v>
      </c>
      <c r="T1216" s="692" t="s">
        <v>652</v>
      </c>
      <c r="U1216" s="692" t="s">
        <v>653</v>
      </c>
      <c r="V1216" s="692" t="s">
        <v>654</v>
      </c>
      <c r="W1216" s="692" t="s">
        <v>655</v>
      </c>
      <c r="X1216" s="692" t="s">
        <v>656</v>
      </c>
      <c r="Y1216" s="692" t="s">
        <v>657</v>
      </c>
      <c r="Z1216" s="692" t="s">
        <v>658</v>
      </c>
      <c r="AA1216" s="692" t="s">
        <v>659</v>
      </c>
      <c r="AB1216" s="692" t="s">
        <v>660</v>
      </c>
      <c r="AC1216" s="692" t="s">
        <v>661</v>
      </c>
      <c r="AD1216" s="692" t="s">
        <v>662</v>
      </c>
      <c r="AE1216" s="692" t="s">
        <v>686</v>
      </c>
      <c r="AF1216" s="692" t="s">
        <v>664</v>
      </c>
      <c r="AG1216" s="691" t="s">
        <v>665</v>
      </c>
      <c r="AH1216" s="691" t="s">
        <v>649</v>
      </c>
      <c r="AI1216" s="692" t="s">
        <v>687</v>
      </c>
    </row>
    <row r="1217" spans="1:35" x14ac:dyDescent="0.2">
      <c r="A1217" s="1485"/>
      <c r="B1217" s="555" t="s">
        <v>667</v>
      </c>
      <c r="C1217" s="733" t="s">
        <v>668</v>
      </c>
      <c r="D1217" s="733" t="s">
        <v>669</v>
      </c>
      <c r="E1217" s="733" t="s">
        <v>670</v>
      </c>
      <c r="F1217" s="734" t="s">
        <v>671</v>
      </c>
      <c r="G1217" s="734" t="s">
        <v>672</v>
      </c>
      <c r="H1217" s="734" t="s">
        <v>673</v>
      </c>
      <c r="I1217" s="734" t="s">
        <v>674</v>
      </c>
      <c r="J1217" s="734" t="s">
        <v>675</v>
      </c>
      <c r="K1217" s="734" t="s">
        <v>676</v>
      </c>
      <c r="L1217" s="734" t="s">
        <v>677</v>
      </c>
      <c r="M1217" s="734" t="s">
        <v>678</v>
      </c>
      <c r="N1217" s="734" t="s">
        <v>679</v>
      </c>
      <c r="O1217" s="734" t="s">
        <v>680</v>
      </c>
      <c r="P1217" s="734" t="s">
        <v>681</v>
      </c>
      <c r="Q1217" s="555" t="s">
        <v>667</v>
      </c>
      <c r="R1217" s="733" t="s">
        <v>668</v>
      </c>
      <c r="S1217" s="733" t="s">
        <v>669</v>
      </c>
      <c r="T1217" s="733" t="s">
        <v>670</v>
      </c>
      <c r="U1217" s="734" t="s">
        <v>671</v>
      </c>
      <c r="V1217" s="734" t="s">
        <v>672</v>
      </c>
      <c r="W1217" s="734" t="s">
        <v>673</v>
      </c>
      <c r="X1217" s="734" t="s">
        <v>674</v>
      </c>
      <c r="Y1217" s="734" t="s">
        <v>675</v>
      </c>
      <c r="Z1217" s="734" t="s">
        <v>676</v>
      </c>
      <c r="AA1217" s="734" t="s">
        <v>677</v>
      </c>
      <c r="AB1217" s="734" t="s">
        <v>678</v>
      </c>
      <c r="AC1217" s="734" t="s">
        <v>679</v>
      </c>
      <c r="AD1217" s="734" t="s">
        <v>680</v>
      </c>
      <c r="AE1217" s="734" t="s">
        <v>681</v>
      </c>
      <c r="AF1217" s="733"/>
      <c r="AG1217" s="555"/>
      <c r="AH1217" s="555"/>
      <c r="AI1217" s="733"/>
    </row>
    <row r="1218" spans="1:35" x14ac:dyDescent="0.2">
      <c r="A1218" s="875" t="s">
        <v>688</v>
      </c>
      <c r="B1218" s="722"/>
      <c r="C1218" s="784"/>
      <c r="D1218" s="784"/>
      <c r="E1218" s="784"/>
      <c r="F1218" s="784"/>
      <c r="G1218" s="784"/>
      <c r="H1218" s="784"/>
      <c r="I1218" s="784"/>
      <c r="J1218" s="784"/>
      <c r="K1218" s="784"/>
      <c r="L1218" s="784"/>
      <c r="M1218" s="784"/>
      <c r="N1218" s="784"/>
      <c r="O1218" s="784"/>
      <c r="P1218" s="784"/>
      <c r="Q1218" s="722"/>
      <c r="R1218" s="784"/>
      <c r="S1218" s="784"/>
      <c r="T1218" s="784"/>
      <c r="U1218" s="784"/>
      <c r="V1218" s="784"/>
      <c r="W1218" s="784"/>
      <c r="X1218" s="784"/>
      <c r="Y1218" s="784"/>
      <c r="Z1218" s="784"/>
      <c r="AA1218" s="784"/>
      <c r="AB1218" s="784"/>
      <c r="AC1218" s="784"/>
      <c r="AD1218" s="784"/>
      <c r="AE1218" s="784"/>
      <c r="AF1218" s="784"/>
      <c r="AG1218" s="722"/>
      <c r="AH1218" s="722"/>
      <c r="AI1218" s="784"/>
    </row>
    <row r="1219" spans="1:35" x14ac:dyDescent="0.2">
      <c r="A1219" s="875" t="s">
        <v>531</v>
      </c>
      <c r="B1219" s="722"/>
      <c r="C1219" s="784"/>
      <c r="D1219" s="784"/>
      <c r="E1219" s="784"/>
      <c r="F1219" s="784"/>
      <c r="G1219" s="784"/>
      <c r="H1219" s="784"/>
      <c r="I1219" s="784"/>
      <c r="J1219" s="784"/>
      <c r="K1219" s="784"/>
      <c r="L1219" s="784"/>
      <c r="M1219" s="784"/>
      <c r="N1219" s="784"/>
      <c r="O1219" s="784"/>
      <c r="P1219" s="784"/>
      <c r="Q1219" s="722"/>
      <c r="R1219" s="784"/>
      <c r="S1219" s="784"/>
      <c r="T1219" s="784"/>
      <c r="U1219" s="784"/>
      <c r="V1219" s="784"/>
      <c r="W1219" s="784"/>
      <c r="X1219" s="784"/>
      <c r="Y1219" s="784"/>
      <c r="Z1219" s="784"/>
      <c r="AA1219" s="784"/>
      <c r="AB1219" s="784"/>
      <c r="AC1219" s="784"/>
      <c r="AD1219" s="784"/>
      <c r="AE1219" s="784"/>
      <c r="AF1219" s="784"/>
      <c r="AG1219" s="722"/>
      <c r="AH1219" s="722"/>
      <c r="AI1219" s="784"/>
    </row>
    <row r="1220" spans="1:35" x14ac:dyDescent="0.2">
      <c r="A1220" s="60" t="s">
        <v>436</v>
      </c>
      <c r="B1220" s="711">
        <v>2</v>
      </c>
      <c r="C1220" s="735">
        <v>2543.79</v>
      </c>
      <c r="D1220" s="735">
        <v>1100</v>
      </c>
      <c r="E1220" s="735">
        <v>0</v>
      </c>
      <c r="F1220" s="735">
        <v>0</v>
      </c>
      <c r="G1220" s="735">
        <v>0</v>
      </c>
      <c r="H1220" s="735">
        <v>0</v>
      </c>
      <c r="I1220" s="735">
        <v>0</v>
      </c>
      <c r="J1220" s="735">
        <v>0</v>
      </c>
      <c r="K1220" s="735">
        <f>SUM(C1220:J1220)</f>
        <v>3643.79</v>
      </c>
      <c r="L1220" s="735">
        <v>1000</v>
      </c>
      <c r="M1220" s="735">
        <v>0</v>
      </c>
      <c r="N1220" s="735">
        <f>SUM(L1220:M1220)</f>
        <v>1000</v>
      </c>
      <c r="O1220" s="735">
        <f>+K1220*12+N1220</f>
        <v>44725.479999999996</v>
      </c>
      <c r="P1220" s="735">
        <f>+O1220*B1220</f>
        <v>89450.959999999992</v>
      </c>
      <c r="Q1220" s="711">
        <v>2</v>
      </c>
      <c r="R1220" s="735">
        <v>2543.79</v>
      </c>
      <c r="S1220" s="735">
        <v>1210</v>
      </c>
      <c r="T1220" s="735">
        <v>0</v>
      </c>
      <c r="U1220" s="735">
        <v>0</v>
      </c>
      <c r="V1220" s="735">
        <v>0</v>
      </c>
      <c r="W1220" s="735">
        <v>0</v>
      </c>
      <c r="X1220" s="735">
        <v>0</v>
      </c>
      <c r="Y1220" s="735">
        <v>0</v>
      </c>
      <c r="Z1220" s="735">
        <f>SUM(R1220:Y1220)</f>
        <v>3753.79</v>
      </c>
      <c r="AA1220" s="735">
        <v>1000</v>
      </c>
      <c r="AB1220" s="735">
        <v>0</v>
      </c>
      <c r="AC1220" s="735">
        <f>SUM(AA1220:AB1220)</f>
        <v>1000</v>
      </c>
      <c r="AD1220" s="735">
        <f>+Z1220*12+AC1220</f>
        <v>46045.479999999996</v>
      </c>
      <c r="AE1220" s="735">
        <f>+AD1220*Q1220</f>
        <v>92090.959999999992</v>
      </c>
      <c r="AF1220" s="735">
        <f>+K1220-AD1220</f>
        <v>-42401.689999999995</v>
      </c>
      <c r="AG1220" s="828">
        <f>+L1220-AE1220</f>
        <v>-91090.959999999992</v>
      </c>
      <c r="AH1220" s="711">
        <v>2</v>
      </c>
      <c r="AI1220" s="735">
        <v>91850.959999999992</v>
      </c>
    </row>
    <row r="1221" spans="1:35" x14ac:dyDescent="0.2">
      <c r="A1221" s="60" t="s">
        <v>741</v>
      </c>
      <c r="B1221" s="711">
        <v>1</v>
      </c>
      <c r="C1221" s="735">
        <v>2261.39</v>
      </c>
      <c r="D1221" s="735">
        <v>1100</v>
      </c>
      <c r="E1221" s="735">
        <v>0</v>
      </c>
      <c r="F1221" s="735">
        <v>0</v>
      </c>
      <c r="G1221" s="735">
        <v>0</v>
      </c>
      <c r="H1221" s="735">
        <v>0</v>
      </c>
      <c r="I1221" s="735">
        <v>0</v>
      </c>
      <c r="J1221" s="735">
        <v>0</v>
      </c>
      <c r="K1221" s="735">
        <f t="shared" ref="K1221:K1284" si="790">SUM(C1221:J1221)</f>
        <v>3361.39</v>
      </c>
      <c r="L1221" s="735">
        <v>1000</v>
      </c>
      <c r="M1221" s="735">
        <v>0</v>
      </c>
      <c r="N1221" s="735">
        <f>SUM(L1221:M1221)</f>
        <v>1000</v>
      </c>
      <c r="O1221" s="735">
        <f>+K1221*12+N1221</f>
        <v>41336.68</v>
      </c>
      <c r="P1221" s="735">
        <f>+O1221*B1221</f>
        <v>41336.68</v>
      </c>
      <c r="Q1221" s="711">
        <v>1</v>
      </c>
      <c r="R1221" s="735">
        <v>2261.39</v>
      </c>
      <c r="S1221" s="735">
        <v>1210</v>
      </c>
      <c r="T1221" s="735">
        <v>0</v>
      </c>
      <c r="U1221" s="735">
        <v>0</v>
      </c>
      <c r="V1221" s="735">
        <v>0</v>
      </c>
      <c r="W1221" s="735">
        <v>0</v>
      </c>
      <c r="X1221" s="735">
        <v>0</v>
      </c>
      <c r="Y1221" s="735">
        <v>0</v>
      </c>
      <c r="Z1221" s="735">
        <f>SUM(R1221:Y1221)</f>
        <v>3471.39</v>
      </c>
      <c r="AA1221" s="735">
        <v>1000</v>
      </c>
      <c r="AB1221" s="735">
        <v>0</v>
      </c>
      <c r="AC1221" s="735">
        <f>SUM(AA1221:AB1221)</f>
        <v>1000</v>
      </c>
      <c r="AD1221" s="735">
        <f>+Z1221*12+AC1221</f>
        <v>42656.68</v>
      </c>
      <c r="AE1221" s="735">
        <f>+AD1221*Q1221</f>
        <v>42656.68</v>
      </c>
      <c r="AF1221" s="735">
        <f>+K1221-AD1221</f>
        <v>-39295.29</v>
      </c>
      <c r="AG1221" s="828">
        <f>+L1221-AE1221</f>
        <v>-41656.68</v>
      </c>
      <c r="AH1221" s="711">
        <v>1</v>
      </c>
      <c r="AI1221" s="735">
        <v>42536.68</v>
      </c>
    </row>
    <row r="1222" spans="1:35" x14ac:dyDescent="0.2">
      <c r="A1222" s="875" t="s">
        <v>385</v>
      </c>
      <c r="B1222" s="722"/>
      <c r="C1222" s="784"/>
      <c r="D1222" s="784"/>
      <c r="E1222" s="784"/>
      <c r="F1222" s="784"/>
      <c r="G1222" s="784"/>
      <c r="H1222" s="784"/>
      <c r="I1222" s="784"/>
      <c r="J1222" s="784"/>
      <c r="K1222" s="784"/>
      <c r="L1222" s="784"/>
      <c r="M1222" s="784"/>
      <c r="N1222" s="784"/>
      <c r="O1222" s="784"/>
      <c r="P1222" s="784"/>
      <c r="Q1222" s="722"/>
      <c r="R1222" s="784"/>
      <c r="S1222" s="784"/>
      <c r="T1222" s="784"/>
      <c r="U1222" s="784"/>
      <c r="V1222" s="784"/>
      <c r="W1222" s="784"/>
      <c r="X1222" s="784"/>
      <c r="Y1222" s="784"/>
      <c r="Z1222" s="784"/>
      <c r="AA1222" s="784"/>
      <c r="AB1222" s="784"/>
      <c r="AC1222" s="784"/>
      <c r="AD1222" s="784"/>
      <c r="AE1222" s="784"/>
      <c r="AF1222" s="784"/>
      <c r="AG1222" s="722"/>
      <c r="AH1222" s="722"/>
      <c r="AI1222" s="784"/>
    </row>
    <row r="1223" spans="1:35" x14ac:dyDescent="0.2">
      <c r="A1223" s="60" t="s">
        <v>408</v>
      </c>
      <c r="B1223" s="711">
        <v>5</v>
      </c>
      <c r="C1223" s="735">
        <v>2068.4</v>
      </c>
      <c r="D1223" s="735">
        <v>1000</v>
      </c>
      <c r="E1223" s="735">
        <v>0</v>
      </c>
      <c r="F1223" s="735">
        <v>0</v>
      </c>
      <c r="G1223" s="735">
        <v>0</v>
      </c>
      <c r="H1223" s="735">
        <v>0</v>
      </c>
      <c r="I1223" s="735">
        <v>0</v>
      </c>
      <c r="J1223" s="735">
        <v>0</v>
      </c>
      <c r="K1223" s="735">
        <f t="shared" si="790"/>
        <v>3068.4</v>
      </c>
      <c r="L1223" s="735">
        <v>1000</v>
      </c>
      <c r="M1223" s="735">
        <v>0</v>
      </c>
      <c r="N1223" s="735">
        <f>SUM(L1223:M1223)</f>
        <v>1000</v>
      </c>
      <c r="O1223" s="735">
        <f>+K1223*12+N1223</f>
        <v>37820.800000000003</v>
      </c>
      <c r="P1223" s="735">
        <f>+O1223*B1223</f>
        <v>189104</v>
      </c>
      <c r="Q1223" s="711">
        <v>5</v>
      </c>
      <c r="R1223" s="735">
        <v>2068.4</v>
      </c>
      <c r="S1223" s="735">
        <v>1110</v>
      </c>
      <c r="T1223" s="735">
        <v>0</v>
      </c>
      <c r="U1223" s="735">
        <v>0</v>
      </c>
      <c r="V1223" s="735">
        <v>0</v>
      </c>
      <c r="W1223" s="735">
        <v>0</v>
      </c>
      <c r="X1223" s="735">
        <v>0</v>
      </c>
      <c r="Y1223" s="735">
        <v>0</v>
      </c>
      <c r="Z1223" s="735">
        <f>SUM(R1223:Y1223)</f>
        <v>3178.4</v>
      </c>
      <c r="AA1223" s="735">
        <v>1000</v>
      </c>
      <c r="AB1223" s="735">
        <v>0</v>
      </c>
      <c r="AC1223" s="735">
        <f>SUM(AA1223:AB1223)</f>
        <v>1000</v>
      </c>
      <c r="AD1223" s="735">
        <f>+Z1223*12+AC1223</f>
        <v>39140.800000000003</v>
      </c>
      <c r="AE1223" s="735">
        <f>+AD1223*Q1223</f>
        <v>195704</v>
      </c>
      <c r="AF1223" s="735">
        <f>+K1223-AD1223</f>
        <v>-36072.400000000001</v>
      </c>
      <c r="AG1223" s="828">
        <f>+L1223-AE1223</f>
        <v>-194704</v>
      </c>
      <c r="AH1223" s="711">
        <v>5</v>
      </c>
      <c r="AI1223" s="735">
        <v>195104</v>
      </c>
    </row>
    <row r="1224" spans="1:35" x14ac:dyDescent="0.2">
      <c r="A1224" s="875" t="s">
        <v>389</v>
      </c>
      <c r="B1224" s="722"/>
      <c r="C1224" s="784"/>
      <c r="D1224" s="784"/>
      <c r="E1224" s="784"/>
      <c r="F1224" s="784"/>
      <c r="G1224" s="784"/>
      <c r="H1224" s="784"/>
      <c r="I1224" s="784"/>
      <c r="J1224" s="784"/>
      <c r="K1224" s="784"/>
      <c r="L1224" s="784"/>
      <c r="M1224" s="784"/>
      <c r="N1224" s="784"/>
      <c r="O1224" s="784"/>
      <c r="P1224" s="784"/>
      <c r="Q1224" s="722"/>
      <c r="R1224" s="784"/>
      <c r="S1224" s="784"/>
      <c r="T1224" s="784"/>
      <c r="U1224" s="784"/>
      <c r="V1224" s="784"/>
      <c r="W1224" s="784"/>
      <c r="X1224" s="784"/>
      <c r="Y1224" s="784"/>
      <c r="Z1224" s="784"/>
      <c r="AA1224" s="784"/>
      <c r="AB1224" s="784"/>
      <c r="AC1224" s="784"/>
      <c r="AD1224" s="784"/>
      <c r="AE1224" s="784"/>
      <c r="AF1224" s="784"/>
      <c r="AG1224" s="722"/>
      <c r="AH1224" s="722"/>
      <c r="AI1224" s="784"/>
    </row>
    <row r="1225" spans="1:35" x14ac:dyDescent="0.2">
      <c r="A1225" s="60" t="s">
        <v>392</v>
      </c>
      <c r="B1225" s="711">
        <v>1</v>
      </c>
      <c r="C1225" s="735">
        <v>1512.49</v>
      </c>
      <c r="D1225" s="735">
        <v>850</v>
      </c>
      <c r="E1225" s="735">
        <v>0</v>
      </c>
      <c r="F1225" s="735">
        <v>0</v>
      </c>
      <c r="G1225" s="735">
        <v>0</v>
      </c>
      <c r="H1225" s="735">
        <v>0</v>
      </c>
      <c r="I1225" s="735">
        <v>0</v>
      </c>
      <c r="J1225" s="735">
        <v>0</v>
      </c>
      <c r="K1225" s="735">
        <f t="shared" si="790"/>
        <v>2362.4899999999998</v>
      </c>
      <c r="L1225" s="735">
        <v>1000</v>
      </c>
      <c r="M1225" s="735">
        <v>0</v>
      </c>
      <c r="N1225" s="735">
        <f t="shared" ref="N1225:N1230" si="791">SUM(L1225:M1225)</f>
        <v>1000</v>
      </c>
      <c r="O1225" s="735">
        <f t="shared" ref="O1225:O1226" si="792">+K1225*12+N1225</f>
        <v>29349.879999999997</v>
      </c>
      <c r="P1225" s="735">
        <f t="shared" ref="P1225:P1226" si="793">+O1225*B1225</f>
        <v>29349.879999999997</v>
      </c>
      <c r="Q1225" s="711">
        <v>1</v>
      </c>
      <c r="R1225" s="735">
        <v>1512.49</v>
      </c>
      <c r="S1225" s="735">
        <v>1070</v>
      </c>
      <c r="T1225" s="735">
        <v>0</v>
      </c>
      <c r="U1225" s="735">
        <v>0</v>
      </c>
      <c r="V1225" s="735">
        <v>0</v>
      </c>
      <c r="W1225" s="735">
        <v>0</v>
      </c>
      <c r="X1225" s="735">
        <v>0</v>
      </c>
      <c r="Y1225" s="735">
        <v>0</v>
      </c>
      <c r="Z1225" s="735">
        <f t="shared" ref="Z1225:Z1230" si="794">SUM(R1225:Y1225)</f>
        <v>2582.4899999999998</v>
      </c>
      <c r="AA1225" s="735">
        <v>1000</v>
      </c>
      <c r="AB1225" s="735">
        <v>0</v>
      </c>
      <c r="AC1225" s="735">
        <f t="shared" ref="AC1225:AC1226" si="795">SUM(AA1225:AB1225)</f>
        <v>1000</v>
      </c>
      <c r="AD1225" s="735">
        <f t="shared" ref="AD1225:AD1226" si="796">+Z1225*12+AC1225</f>
        <v>31989.879999999997</v>
      </c>
      <c r="AE1225" s="735">
        <f t="shared" ref="AE1225:AE1226" si="797">+AD1225*Q1225</f>
        <v>31989.879999999997</v>
      </c>
      <c r="AF1225" s="735">
        <f>+K1225-AD1225</f>
        <v>-29627.39</v>
      </c>
      <c r="AG1225" s="828">
        <f t="shared" ref="AG1225:AG1226" si="798">+L1225-AE1225</f>
        <v>-30989.879999999997</v>
      </c>
      <c r="AH1225" s="711">
        <v>1</v>
      </c>
      <c r="AI1225" s="735">
        <v>30549.879999999997</v>
      </c>
    </row>
    <row r="1226" spans="1:35" x14ac:dyDescent="0.2">
      <c r="A1226" s="60" t="s">
        <v>409</v>
      </c>
      <c r="B1226" s="711">
        <v>9</v>
      </c>
      <c r="C1226" s="735">
        <v>1486.28</v>
      </c>
      <c r="D1226" s="735">
        <v>850</v>
      </c>
      <c r="E1226" s="735">
        <v>0</v>
      </c>
      <c r="F1226" s="735">
        <v>0</v>
      </c>
      <c r="G1226" s="735">
        <v>0</v>
      </c>
      <c r="H1226" s="735">
        <v>0</v>
      </c>
      <c r="I1226" s="735">
        <v>0</v>
      </c>
      <c r="J1226" s="735">
        <v>0</v>
      </c>
      <c r="K1226" s="735">
        <f t="shared" si="790"/>
        <v>2336.2799999999997</v>
      </c>
      <c r="L1226" s="735">
        <v>1000</v>
      </c>
      <c r="M1226" s="735">
        <v>0</v>
      </c>
      <c r="N1226" s="735">
        <f t="shared" si="791"/>
        <v>1000</v>
      </c>
      <c r="O1226" s="735">
        <f t="shared" si="792"/>
        <v>29035.359999999997</v>
      </c>
      <c r="P1226" s="735">
        <f t="shared" si="793"/>
        <v>261318.23999999996</v>
      </c>
      <c r="Q1226" s="711">
        <v>9</v>
      </c>
      <c r="R1226" s="735">
        <v>1486.28</v>
      </c>
      <c r="S1226" s="735">
        <v>1070</v>
      </c>
      <c r="T1226" s="735">
        <v>0</v>
      </c>
      <c r="U1226" s="735">
        <v>0</v>
      </c>
      <c r="V1226" s="735">
        <v>0</v>
      </c>
      <c r="W1226" s="735">
        <v>0</v>
      </c>
      <c r="X1226" s="735">
        <v>0</v>
      </c>
      <c r="Y1226" s="735">
        <v>0</v>
      </c>
      <c r="Z1226" s="735">
        <f t="shared" si="794"/>
        <v>2556.2799999999997</v>
      </c>
      <c r="AA1226" s="735">
        <v>1000</v>
      </c>
      <c r="AB1226" s="735">
        <v>0</v>
      </c>
      <c r="AC1226" s="735">
        <f t="shared" si="795"/>
        <v>1000</v>
      </c>
      <c r="AD1226" s="735">
        <f t="shared" si="796"/>
        <v>31675.359999999997</v>
      </c>
      <c r="AE1226" s="735">
        <f t="shared" si="797"/>
        <v>285078.24</v>
      </c>
      <c r="AF1226" s="735">
        <f>+K1226-AD1226</f>
        <v>-29339.079999999998</v>
      </c>
      <c r="AG1226" s="828">
        <f t="shared" si="798"/>
        <v>-284078.24</v>
      </c>
      <c r="AH1226" s="711">
        <v>9</v>
      </c>
      <c r="AI1226" s="735">
        <v>272118.24</v>
      </c>
    </row>
    <row r="1227" spans="1:35" x14ac:dyDescent="0.2">
      <c r="A1227" s="875" t="s">
        <v>393</v>
      </c>
      <c r="B1227" s="722"/>
      <c r="C1227" s="784"/>
      <c r="D1227" s="784"/>
      <c r="E1227" s="784"/>
      <c r="F1227" s="784"/>
      <c r="G1227" s="784"/>
      <c r="H1227" s="784"/>
      <c r="I1227" s="784"/>
      <c r="J1227" s="784"/>
      <c r="K1227" s="784"/>
      <c r="L1227" s="784"/>
      <c r="M1227" s="784"/>
      <c r="N1227" s="784"/>
      <c r="O1227" s="784"/>
      <c r="P1227" s="784"/>
      <c r="Q1227" s="722"/>
      <c r="R1227" s="784"/>
      <c r="S1227" s="784"/>
      <c r="T1227" s="784"/>
      <c r="U1227" s="784"/>
      <c r="V1227" s="784"/>
      <c r="W1227" s="784"/>
      <c r="X1227" s="784"/>
      <c r="Y1227" s="784"/>
      <c r="Z1227" s="784"/>
      <c r="AA1227" s="784"/>
      <c r="AB1227" s="784"/>
      <c r="AC1227" s="784"/>
      <c r="AD1227" s="784"/>
      <c r="AE1227" s="784"/>
      <c r="AF1227" s="784"/>
      <c r="AG1227" s="722"/>
      <c r="AH1227" s="722"/>
      <c r="AI1227" s="784"/>
    </row>
    <row r="1228" spans="1:35" x14ac:dyDescent="0.2">
      <c r="A1228" s="60" t="s">
        <v>394</v>
      </c>
      <c r="B1228" s="711">
        <v>1</v>
      </c>
      <c r="C1228" s="735">
        <v>1425.29</v>
      </c>
      <c r="D1228" s="735">
        <v>850</v>
      </c>
      <c r="E1228" s="735">
        <v>0</v>
      </c>
      <c r="F1228" s="735">
        <v>0</v>
      </c>
      <c r="G1228" s="735">
        <v>0</v>
      </c>
      <c r="H1228" s="735">
        <v>0</v>
      </c>
      <c r="I1228" s="735">
        <v>0</v>
      </c>
      <c r="J1228" s="735">
        <v>0</v>
      </c>
      <c r="K1228" s="735">
        <f t="shared" si="790"/>
        <v>2275.29</v>
      </c>
      <c r="L1228" s="735">
        <v>1000</v>
      </c>
      <c r="M1228" s="735">
        <v>0</v>
      </c>
      <c r="N1228" s="735">
        <f t="shared" si="791"/>
        <v>1000</v>
      </c>
      <c r="O1228" s="735">
        <f t="shared" ref="O1228:O1230" si="799">+K1228*12+N1228</f>
        <v>28303.48</v>
      </c>
      <c r="P1228" s="735">
        <f t="shared" ref="P1228:P1230" si="800">+O1228*B1228</f>
        <v>28303.48</v>
      </c>
      <c r="Q1228" s="711">
        <v>1</v>
      </c>
      <c r="R1228" s="735">
        <v>1425.29</v>
      </c>
      <c r="S1228" s="735">
        <v>1070</v>
      </c>
      <c r="T1228" s="735">
        <v>0</v>
      </c>
      <c r="U1228" s="735">
        <v>0</v>
      </c>
      <c r="V1228" s="735">
        <v>0</v>
      </c>
      <c r="W1228" s="735">
        <v>0</v>
      </c>
      <c r="X1228" s="735">
        <v>0</v>
      </c>
      <c r="Y1228" s="735">
        <v>0</v>
      </c>
      <c r="Z1228" s="735">
        <f t="shared" si="794"/>
        <v>2495.29</v>
      </c>
      <c r="AA1228" s="735">
        <v>1000</v>
      </c>
      <c r="AB1228" s="735">
        <v>0</v>
      </c>
      <c r="AC1228" s="735">
        <f t="shared" ref="AC1228:AC1230" si="801">SUM(AA1228:AB1228)</f>
        <v>1000</v>
      </c>
      <c r="AD1228" s="735">
        <f t="shared" ref="AD1228:AD1230" si="802">+Z1228*12+AC1228</f>
        <v>30943.48</v>
      </c>
      <c r="AE1228" s="735">
        <f t="shared" ref="AE1228:AE1230" si="803">+AD1228*Q1228</f>
        <v>30943.48</v>
      </c>
      <c r="AF1228" s="735">
        <f t="shared" ref="AF1228:AG1230" si="804">+K1228-AD1228</f>
        <v>-28668.19</v>
      </c>
      <c r="AG1228" s="828">
        <f t="shared" si="804"/>
        <v>-29943.48</v>
      </c>
      <c r="AH1228" s="711">
        <v>1</v>
      </c>
      <c r="AI1228" s="735">
        <v>29503.48</v>
      </c>
    </row>
    <row r="1229" spans="1:35" x14ac:dyDescent="0.2">
      <c r="A1229" s="60" t="s">
        <v>443</v>
      </c>
      <c r="B1229" s="711">
        <v>2</v>
      </c>
      <c r="C1229" s="735">
        <v>786.96</v>
      </c>
      <c r="D1229" s="735">
        <v>850</v>
      </c>
      <c r="E1229" s="735">
        <v>0</v>
      </c>
      <c r="F1229" s="735">
        <v>0</v>
      </c>
      <c r="G1229" s="735">
        <v>0</v>
      </c>
      <c r="H1229" s="735">
        <v>0</v>
      </c>
      <c r="I1229" s="735">
        <v>0</v>
      </c>
      <c r="J1229" s="735">
        <v>0</v>
      </c>
      <c r="K1229" s="735">
        <f t="shared" si="790"/>
        <v>1636.96</v>
      </c>
      <c r="L1229" s="735">
        <v>1000</v>
      </c>
      <c r="M1229" s="735">
        <v>0</v>
      </c>
      <c r="N1229" s="735">
        <f t="shared" si="791"/>
        <v>1000</v>
      </c>
      <c r="O1229" s="735">
        <f t="shared" si="799"/>
        <v>20643.52</v>
      </c>
      <c r="P1229" s="735">
        <f t="shared" si="800"/>
        <v>41287.040000000001</v>
      </c>
      <c r="Q1229" s="711">
        <v>2</v>
      </c>
      <c r="R1229" s="735">
        <v>786.96</v>
      </c>
      <c r="S1229" s="735">
        <v>1070</v>
      </c>
      <c r="T1229" s="735">
        <v>0</v>
      </c>
      <c r="U1229" s="735">
        <v>0</v>
      </c>
      <c r="V1229" s="735">
        <v>0</v>
      </c>
      <c r="W1229" s="735">
        <v>0</v>
      </c>
      <c r="X1229" s="735">
        <v>0</v>
      </c>
      <c r="Y1229" s="735">
        <v>0</v>
      </c>
      <c r="Z1229" s="735">
        <f t="shared" si="794"/>
        <v>1856.96</v>
      </c>
      <c r="AA1229" s="735">
        <v>1000</v>
      </c>
      <c r="AB1229" s="735">
        <v>0</v>
      </c>
      <c r="AC1229" s="735">
        <f t="shared" si="801"/>
        <v>1000</v>
      </c>
      <c r="AD1229" s="735">
        <f t="shared" si="802"/>
        <v>23283.52</v>
      </c>
      <c r="AE1229" s="735">
        <f t="shared" si="803"/>
        <v>46567.040000000001</v>
      </c>
      <c r="AF1229" s="735">
        <f t="shared" si="804"/>
        <v>-21646.560000000001</v>
      </c>
      <c r="AG1229" s="828">
        <f t="shared" si="804"/>
        <v>-45567.040000000001</v>
      </c>
      <c r="AH1229" s="711">
        <v>2</v>
      </c>
      <c r="AI1229" s="735">
        <v>49353.2</v>
      </c>
    </row>
    <row r="1230" spans="1:35" x14ac:dyDescent="0.2">
      <c r="A1230" s="60" t="s">
        <v>410</v>
      </c>
      <c r="B1230" s="711">
        <v>3</v>
      </c>
      <c r="C1230" s="735">
        <v>769.43</v>
      </c>
      <c r="D1230" s="735">
        <v>850</v>
      </c>
      <c r="E1230" s="735">
        <v>0</v>
      </c>
      <c r="F1230" s="735">
        <v>0</v>
      </c>
      <c r="G1230" s="735">
        <v>0</v>
      </c>
      <c r="H1230" s="735">
        <v>0</v>
      </c>
      <c r="I1230" s="735">
        <v>0</v>
      </c>
      <c r="J1230" s="735">
        <v>0</v>
      </c>
      <c r="K1230" s="735">
        <f t="shared" si="790"/>
        <v>1619.4299999999998</v>
      </c>
      <c r="L1230" s="735">
        <v>1000</v>
      </c>
      <c r="M1230" s="735">
        <v>0</v>
      </c>
      <c r="N1230" s="735">
        <f t="shared" si="791"/>
        <v>1000</v>
      </c>
      <c r="O1230" s="735">
        <f t="shared" si="799"/>
        <v>20433.159999999996</v>
      </c>
      <c r="P1230" s="735">
        <f t="shared" si="800"/>
        <v>61299.479999999989</v>
      </c>
      <c r="Q1230" s="711">
        <v>3</v>
      </c>
      <c r="R1230" s="735">
        <v>769.43</v>
      </c>
      <c r="S1230" s="735">
        <v>1070</v>
      </c>
      <c r="T1230" s="735">
        <v>0</v>
      </c>
      <c r="U1230" s="735">
        <v>0</v>
      </c>
      <c r="V1230" s="735">
        <v>0</v>
      </c>
      <c r="W1230" s="735">
        <v>0</v>
      </c>
      <c r="X1230" s="735">
        <v>0</v>
      </c>
      <c r="Y1230" s="735">
        <v>0</v>
      </c>
      <c r="Z1230" s="735">
        <f t="shared" si="794"/>
        <v>1839.4299999999998</v>
      </c>
      <c r="AA1230" s="735">
        <v>1000</v>
      </c>
      <c r="AB1230" s="735">
        <v>0</v>
      </c>
      <c r="AC1230" s="735">
        <f t="shared" si="801"/>
        <v>1000</v>
      </c>
      <c r="AD1230" s="735">
        <f t="shared" si="802"/>
        <v>23073.159999999996</v>
      </c>
      <c r="AE1230" s="735">
        <f t="shared" si="803"/>
        <v>69219.479999999981</v>
      </c>
      <c r="AF1230" s="735">
        <f t="shared" si="804"/>
        <v>-21453.729999999996</v>
      </c>
      <c r="AG1230" s="828">
        <f t="shared" si="804"/>
        <v>-68219.479999999981</v>
      </c>
      <c r="AH1230" s="711">
        <v>3</v>
      </c>
      <c r="AI1230" s="735">
        <v>71302.080000000002</v>
      </c>
    </row>
    <row r="1231" spans="1:35" ht="24" x14ac:dyDescent="0.2">
      <c r="A1231" s="875" t="s">
        <v>827</v>
      </c>
      <c r="B1231" s="722"/>
      <c r="C1231" s="784"/>
      <c r="D1231" s="784"/>
      <c r="E1231" s="784"/>
      <c r="F1231" s="784"/>
      <c r="G1231" s="784"/>
      <c r="H1231" s="784"/>
      <c r="I1231" s="784"/>
      <c r="J1231" s="784"/>
      <c r="K1231" s="784"/>
      <c r="L1231" s="784"/>
      <c r="M1231" s="784"/>
      <c r="N1231" s="784"/>
      <c r="O1231" s="784"/>
      <c r="P1231" s="784"/>
      <c r="Q1231" s="722"/>
      <c r="R1231" s="784"/>
      <c r="S1231" s="784"/>
      <c r="T1231" s="784"/>
      <c r="U1231" s="784"/>
      <c r="V1231" s="784"/>
      <c r="W1231" s="784"/>
      <c r="X1231" s="784"/>
      <c r="Y1231" s="784"/>
      <c r="Z1231" s="784"/>
      <c r="AA1231" s="784"/>
      <c r="AB1231" s="784"/>
      <c r="AC1231" s="784"/>
      <c r="AD1231" s="784"/>
      <c r="AE1231" s="784"/>
      <c r="AF1231" s="784"/>
      <c r="AG1231" s="722"/>
      <c r="AH1231" s="722"/>
      <c r="AI1231" s="784"/>
    </row>
    <row r="1232" spans="1:35" x14ac:dyDescent="0.2">
      <c r="A1232" s="875" t="s">
        <v>702</v>
      </c>
      <c r="B1232" s="722"/>
      <c r="C1232" s="784"/>
      <c r="D1232" s="784"/>
      <c r="E1232" s="784"/>
      <c r="F1232" s="784"/>
      <c r="G1232" s="784"/>
      <c r="H1232" s="784"/>
      <c r="I1232" s="784"/>
      <c r="J1232" s="784"/>
      <c r="K1232" s="784"/>
      <c r="L1232" s="784"/>
      <c r="M1232" s="784"/>
      <c r="N1232" s="784"/>
      <c r="O1232" s="784"/>
      <c r="P1232" s="784"/>
      <c r="Q1232" s="722"/>
      <c r="R1232" s="784"/>
      <c r="S1232" s="784"/>
      <c r="T1232" s="784"/>
      <c r="U1232" s="784"/>
      <c r="V1232" s="784"/>
      <c r="W1232" s="784"/>
      <c r="X1232" s="784"/>
      <c r="Y1232" s="784"/>
      <c r="Z1232" s="784"/>
      <c r="AA1232" s="784"/>
      <c r="AB1232" s="784"/>
      <c r="AC1232" s="784"/>
      <c r="AD1232" s="784"/>
      <c r="AE1232" s="784"/>
      <c r="AF1232" s="784"/>
      <c r="AG1232" s="722"/>
      <c r="AH1232" s="722"/>
      <c r="AI1232" s="784"/>
    </row>
    <row r="1233" spans="1:35" x14ac:dyDescent="0.2">
      <c r="A1233" s="60" t="s">
        <v>828</v>
      </c>
      <c r="B1233" s="711">
        <v>1</v>
      </c>
      <c r="C1233" s="735">
        <v>4666.8999999999996</v>
      </c>
      <c r="D1233" s="735">
        <v>0</v>
      </c>
      <c r="E1233" s="735">
        <v>0</v>
      </c>
      <c r="F1233" s="735">
        <v>0</v>
      </c>
      <c r="G1233" s="735">
        <v>0</v>
      </c>
      <c r="H1233" s="735">
        <v>0</v>
      </c>
      <c r="I1233" s="735">
        <v>0</v>
      </c>
      <c r="J1233" s="735">
        <v>4000</v>
      </c>
      <c r="K1233" s="735">
        <f t="shared" si="790"/>
        <v>8666.9</v>
      </c>
      <c r="L1233" s="735">
        <v>1000</v>
      </c>
      <c r="M1233" s="735">
        <v>0</v>
      </c>
      <c r="N1233" s="735">
        <f t="shared" ref="N1233:N1297" si="805">SUM(L1233:M1233)</f>
        <v>1000</v>
      </c>
      <c r="O1233" s="735">
        <f t="shared" ref="O1233:O1242" si="806">+K1233*12+N1233</f>
        <v>105002.79999999999</v>
      </c>
      <c r="P1233" s="735">
        <f t="shared" ref="P1233:P1242" si="807">+O1233*B1233</f>
        <v>105002.79999999999</v>
      </c>
      <c r="Q1233" s="711">
        <v>1</v>
      </c>
      <c r="R1233" s="735">
        <v>4666.8999999999996</v>
      </c>
      <c r="S1233" s="735">
        <v>0</v>
      </c>
      <c r="T1233" s="735">
        <v>0</v>
      </c>
      <c r="U1233" s="735">
        <v>0</v>
      </c>
      <c r="V1233" s="735">
        <v>0</v>
      </c>
      <c r="W1233" s="735">
        <v>0</v>
      </c>
      <c r="X1233" s="735">
        <v>0</v>
      </c>
      <c r="Y1233" s="735">
        <v>0</v>
      </c>
      <c r="Z1233" s="735">
        <f t="shared" ref="Z1233:Z1297" si="808">SUM(R1233:Y1233)</f>
        <v>4666.8999999999996</v>
      </c>
      <c r="AA1233" s="735">
        <v>1000</v>
      </c>
      <c r="AB1233" s="735">
        <v>0</v>
      </c>
      <c r="AC1233" s="735">
        <f t="shared" ref="AC1233:AC1242" si="809">SUM(AA1233:AB1233)</f>
        <v>1000</v>
      </c>
      <c r="AD1233" s="735">
        <f t="shared" ref="AD1233:AD1242" si="810">+Z1233*12+AC1233</f>
        <v>57002.799999999996</v>
      </c>
      <c r="AE1233" s="735">
        <f t="shared" ref="AE1233:AE1242" si="811">+AD1233*Q1233</f>
        <v>57002.799999999996</v>
      </c>
      <c r="AF1233" s="735">
        <f t="shared" ref="AF1233:AG1242" si="812">+K1233-AD1233</f>
        <v>-48335.899999999994</v>
      </c>
      <c r="AG1233" s="828">
        <f t="shared" si="812"/>
        <v>-56002.799999999996</v>
      </c>
      <c r="AH1233" s="711">
        <v>1</v>
      </c>
      <c r="AI1233" s="735">
        <v>113402.79999999999</v>
      </c>
    </row>
    <row r="1234" spans="1:35" x14ac:dyDescent="0.2">
      <c r="A1234" s="60" t="s">
        <v>829</v>
      </c>
      <c r="B1234" s="711">
        <v>1</v>
      </c>
      <c r="C1234" s="735">
        <v>3466.84</v>
      </c>
      <c r="D1234" s="735">
        <v>0</v>
      </c>
      <c r="E1234" s="735">
        <v>0</v>
      </c>
      <c r="F1234" s="735">
        <v>0</v>
      </c>
      <c r="G1234" s="735">
        <v>0</v>
      </c>
      <c r="H1234" s="735">
        <v>0</v>
      </c>
      <c r="I1234" s="735">
        <v>0</v>
      </c>
      <c r="J1234" s="735">
        <v>2500</v>
      </c>
      <c r="K1234" s="735">
        <f t="shared" si="790"/>
        <v>5966.84</v>
      </c>
      <c r="L1234" s="735">
        <v>1000</v>
      </c>
      <c r="M1234" s="735">
        <v>0</v>
      </c>
      <c r="N1234" s="735">
        <f t="shared" si="805"/>
        <v>1000</v>
      </c>
      <c r="O1234" s="735">
        <f t="shared" si="806"/>
        <v>72602.080000000002</v>
      </c>
      <c r="P1234" s="735">
        <f t="shared" si="807"/>
        <v>72602.080000000002</v>
      </c>
      <c r="Q1234" s="711">
        <v>1</v>
      </c>
      <c r="R1234" s="735">
        <v>3466.84</v>
      </c>
      <c r="S1234" s="735">
        <v>0</v>
      </c>
      <c r="T1234" s="735">
        <v>0</v>
      </c>
      <c r="U1234" s="735">
        <v>0</v>
      </c>
      <c r="V1234" s="735">
        <v>0</v>
      </c>
      <c r="W1234" s="735">
        <v>0</v>
      </c>
      <c r="X1234" s="735">
        <v>0</v>
      </c>
      <c r="Y1234" s="735">
        <v>0</v>
      </c>
      <c r="Z1234" s="735">
        <f t="shared" si="808"/>
        <v>3466.84</v>
      </c>
      <c r="AA1234" s="735">
        <v>1000</v>
      </c>
      <c r="AB1234" s="735">
        <v>0</v>
      </c>
      <c r="AC1234" s="735">
        <f t="shared" si="809"/>
        <v>1000</v>
      </c>
      <c r="AD1234" s="735">
        <f t="shared" si="810"/>
        <v>42602.080000000002</v>
      </c>
      <c r="AE1234" s="735">
        <f t="shared" si="811"/>
        <v>42602.080000000002</v>
      </c>
      <c r="AF1234" s="735">
        <f t="shared" si="812"/>
        <v>-36635.240000000005</v>
      </c>
      <c r="AG1234" s="828">
        <f t="shared" si="812"/>
        <v>-41602.080000000002</v>
      </c>
      <c r="AH1234" s="711">
        <v>1</v>
      </c>
      <c r="AI1234" s="735">
        <v>78843.28</v>
      </c>
    </row>
    <row r="1235" spans="1:35" x14ac:dyDescent="0.2">
      <c r="A1235" s="877" t="s">
        <v>829</v>
      </c>
      <c r="B1235" s="829">
        <v>1</v>
      </c>
      <c r="C1235" s="830">
        <v>3466.84</v>
      </c>
      <c r="D1235" s="830">
        <v>0</v>
      </c>
      <c r="E1235" s="830">
        <v>0</v>
      </c>
      <c r="F1235" s="830">
        <v>0</v>
      </c>
      <c r="G1235" s="830">
        <v>0</v>
      </c>
      <c r="H1235" s="830">
        <v>0</v>
      </c>
      <c r="I1235" s="830">
        <v>0</v>
      </c>
      <c r="J1235" s="830">
        <v>1520.13</v>
      </c>
      <c r="K1235" s="830">
        <f t="shared" si="790"/>
        <v>4986.97</v>
      </c>
      <c r="L1235" s="830">
        <v>1000</v>
      </c>
      <c r="M1235" s="830">
        <v>0</v>
      </c>
      <c r="N1235" s="830">
        <f t="shared" si="805"/>
        <v>1000</v>
      </c>
      <c r="O1235" s="830">
        <f t="shared" si="806"/>
        <v>60843.64</v>
      </c>
      <c r="P1235" s="830">
        <f t="shared" si="807"/>
        <v>60843.64</v>
      </c>
      <c r="Q1235" s="829">
        <v>1</v>
      </c>
      <c r="R1235" s="830">
        <v>3466.84</v>
      </c>
      <c r="S1235" s="830">
        <v>0</v>
      </c>
      <c r="T1235" s="830">
        <v>0</v>
      </c>
      <c r="U1235" s="830">
        <v>0</v>
      </c>
      <c r="V1235" s="830">
        <v>0</v>
      </c>
      <c r="W1235" s="830">
        <v>0</v>
      </c>
      <c r="X1235" s="830">
        <v>0</v>
      </c>
      <c r="Y1235" s="830">
        <v>0</v>
      </c>
      <c r="Z1235" s="830">
        <f t="shared" si="808"/>
        <v>3466.84</v>
      </c>
      <c r="AA1235" s="830">
        <v>1000</v>
      </c>
      <c r="AB1235" s="830">
        <v>0</v>
      </c>
      <c r="AC1235" s="830">
        <f t="shared" si="809"/>
        <v>1000</v>
      </c>
      <c r="AD1235" s="830">
        <f t="shared" si="810"/>
        <v>42602.080000000002</v>
      </c>
      <c r="AE1235" s="830">
        <f t="shared" si="811"/>
        <v>42602.080000000002</v>
      </c>
      <c r="AF1235" s="830">
        <f t="shared" si="812"/>
        <v>-37615.11</v>
      </c>
      <c r="AG1235" s="831">
        <f t="shared" si="812"/>
        <v>-41602.080000000002</v>
      </c>
      <c r="AH1235" s="829">
        <v>1</v>
      </c>
      <c r="AI1235" s="830">
        <v>56162.080000000002</v>
      </c>
    </row>
    <row r="1236" spans="1:35" x14ac:dyDescent="0.2">
      <c r="A1236" s="60" t="s">
        <v>830</v>
      </c>
      <c r="B1236" s="711">
        <v>1</v>
      </c>
      <c r="C1236" s="735">
        <v>2400.12</v>
      </c>
      <c r="D1236" s="735">
        <v>0</v>
      </c>
      <c r="E1236" s="735">
        <v>0</v>
      </c>
      <c r="F1236" s="735">
        <v>0</v>
      </c>
      <c r="G1236" s="735">
        <v>0</v>
      </c>
      <c r="H1236" s="735">
        <v>0</v>
      </c>
      <c r="I1236" s="735">
        <v>0</v>
      </c>
      <c r="J1236" s="735">
        <v>1520.13</v>
      </c>
      <c r="K1236" s="735">
        <f t="shared" si="790"/>
        <v>3920.25</v>
      </c>
      <c r="L1236" s="735">
        <v>1000</v>
      </c>
      <c r="M1236" s="735">
        <v>0</v>
      </c>
      <c r="N1236" s="735">
        <f t="shared" si="805"/>
        <v>1000</v>
      </c>
      <c r="O1236" s="735">
        <f t="shared" si="806"/>
        <v>48043</v>
      </c>
      <c r="P1236" s="735">
        <f t="shared" si="807"/>
        <v>48043</v>
      </c>
      <c r="Q1236" s="711">
        <v>1</v>
      </c>
      <c r="R1236" s="735">
        <v>2400.12</v>
      </c>
      <c r="S1236" s="735">
        <v>0</v>
      </c>
      <c r="T1236" s="735">
        <v>0</v>
      </c>
      <c r="U1236" s="735">
        <v>0</v>
      </c>
      <c r="V1236" s="735">
        <v>0</v>
      </c>
      <c r="W1236" s="735">
        <v>0</v>
      </c>
      <c r="X1236" s="735">
        <v>0</v>
      </c>
      <c r="Y1236" s="735">
        <v>0</v>
      </c>
      <c r="Z1236" s="735">
        <f t="shared" si="808"/>
        <v>2400.12</v>
      </c>
      <c r="AA1236" s="735">
        <v>1000</v>
      </c>
      <c r="AB1236" s="735">
        <v>0</v>
      </c>
      <c r="AC1236" s="735">
        <f t="shared" si="809"/>
        <v>1000</v>
      </c>
      <c r="AD1236" s="735">
        <f t="shared" si="810"/>
        <v>29801.439999999999</v>
      </c>
      <c r="AE1236" s="735">
        <f t="shared" si="811"/>
        <v>29801.439999999999</v>
      </c>
      <c r="AF1236" s="735">
        <f t="shared" si="812"/>
        <v>-25881.19</v>
      </c>
      <c r="AG1236" s="828">
        <f t="shared" si="812"/>
        <v>-28801.439999999999</v>
      </c>
      <c r="AH1236" s="711">
        <v>1</v>
      </c>
      <c r="AI1236" s="735">
        <v>52481.919999999998</v>
      </c>
    </row>
    <row r="1237" spans="1:35" x14ac:dyDescent="0.2">
      <c r="A1237" s="60" t="s">
        <v>830</v>
      </c>
      <c r="B1237" s="711">
        <v>2</v>
      </c>
      <c r="C1237" s="735">
        <v>2400.12</v>
      </c>
      <c r="D1237" s="735">
        <v>0</v>
      </c>
      <c r="E1237" s="735">
        <v>0</v>
      </c>
      <c r="F1237" s="735">
        <v>0</v>
      </c>
      <c r="G1237" s="735">
        <v>0</v>
      </c>
      <c r="H1237" s="735">
        <v>0</v>
      </c>
      <c r="I1237" s="735">
        <v>0</v>
      </c>
      <c r="J1237" s="735">
        <v>1920.13</v>
      </c>
      <c r="K1237" s="735">
        <f t="shared" si="790"/>
        <v>4320.25</v>
      </c>
      <c r="L1237" s="735">
        <v>1000</v>
      </c>
      <c r="M1237" s="735">
        <v>0</v>
      </c>
      <c r="N1237" s="735">
        <f t="shared" si="805"/>
        <v>1000</v>
      </c>
      <c r="O1237" s="735">
        <f t="shared" si="806"/>
        <v>52843</v>
      </c>
      <c r="P1237" s="735">
        <f t="shared" si="807"/>
        <v>105686</v>
      </c>
      <c r="Q1237" s="711">
        <v>2</v>
      </c>
      <c r="R1237" s="735">
        <v>2400.12</v>
      </c>
      <c r="S1237" s="735">
        <v>0</v>
      </c>
      <c r="T1237" s="735">
        <v>0</v>
      </c>
      <c r="U1237" s="735">
        <v>0</v>
      </c>
      <c r="V1237" s="735">
        <v>0</v>
      </c>
      <c r="W1237" s="735">
        <v>0</v>
      </c>
      <c r="X1237" s="735">
        <v>0</v>
      </c>
      <c r="Y1237" s="735">
        <v>0</v>
      </c>
      <c r="Z1237" s="735">
        <f t="shared" si="808"/>
        <v>2400.12</v>
      </c>
      <c r="AA1237" s="735">
        <v>1000</v>
      </c>
      <c r="AB1237" s="735">
        <v>0</v>
      </c>
      <c r="AC1237" s="735">
        <f t="shared" si="809"/>
        <v>1000</v>
      </c>
      <c r="AD1237" s="735">
        <f t="shared" si="810"/>
        <v>29801.439999999999</v>
      </c>
      <c r="AE1237" s="735">
        <f t="shared" si="811"/>
        <v>59602.879999999997</v>
      </c>
      <c r="AF1237" s="735">
        <f t="shared" si="812"/>
        <v>-25481.19</v>
      </c>
      <c r="AG1237" s="828">
        <f t="shared" si="812"/>
        <v>-58602.879999999997</v>
      </c>
      <c r="AH1237" s="711">
        <v>2</v>
      </c>
      <c r="AI1237" s="735">
        <v>114563.84</v>
      </c>
    </row>
    <row r="1238" spans="1:35" x14ac:dyDescent="0.2">
      <c r="A1238" s="60" t="s">
        <v>830</v>
      </c>
      <c r="B1238" s="711">
        <v>1</v>
      </c>
      <c r="C1238" s="735">
        <v>2400.12</v>
      </c>
      <c r="D1238" s="735">
        <v>0</v>
      </c>
      <c r="E1238" s="735">
        <v>0</v>
      </c>
      <c r="F1238" s="735">
        <v>0</v>
      </c>
      <c r="G1238" s="735">
        <v>0</v>
      </c>
      <c r="H1238" s="735">
        <v>0</v>
      </c>
      <c r="I1238" s="735">
        <v>0</v>
      </c>
      <c r="J1238" s="735">
        <v>1470.13</v>
      </c>
      <c r="K1238" s="735">
        <f t="shared" si="790"/>
        <v>3870.25</v>
      </c>
      <c r="L1238" s="735">
        <v>1000</v>
      </c>
      <c r="M1238" s="735">
        <v>0</v>
      </c>
      <c r="N1238" s="735">
        <f t="shared" si="805"/>
        <v>1000</v>
      </c>
      <c r="O1238" s="735">
        <f t="shared" si="806"/>
        <v>47443</v>
      </c>
      <c r="P1238" s="735">
        <f t="shared" si="807"/>
        <v>47443</v>
      </c>
      <c r="Q1238" s="711">
        <v>1</v>
      </c>
      <c r="R1238" s="735">
        <v>2400.12</v>
      </c>
      <c r="S1238" s="735">
        <v>0</v>
      </c>
      <c r="T1238" s="735">
        <v>0</v>
      </c>
      <c r="U1238" s="735">
        <v>0</v>
      </c>
      <c r="V1238" s="735">
        <v>0</v>
      </c>
      <c r="W1238" s="735">
        <v>0</v>
      </c>
      <c r="X1238" s="735">
        <v>0</v>
      </c>
      <c r="Y1238" s="735">
        <v>0</v>
      </c>
      <c r="Z1238" s="735">
        <f t="shared" si="808"/>
        <v>2400.12</v>
      </c>
      <c r="AA1238" s="735">
        <v>1000</v>
      </c>
      <c r="AB1238" s="735">
        <v>0</v>
      </c>
      <c r="AC1238" s="735">
        <f t="shared" si="809"/>
        <v>1000</v>
      </c>
      <c r="AD1238" s="735">
        <f t="shared" si="810"/>
        <v>29801.439999999999</v>
      </c>
      <c r="AE1238" s="735">
        <f t="shared" si="811"/>
        <v>29801.439999999999</v>
      </c>
      <c r="AF1238" s="735">
        <f t="shared" si="812"/>
        <v>-25931.19</v>
      </c>
      <c r="AG1238" s="828">
        <f t="shared" si="812"/>
        <v>-28801.439999999999</v>
      </c>
      <c r="AH1238" s="711">
        <v>1</v>
      </c>
      <c r="AI1238" s="735">
        <v>51881.919999999998</v>
      </c>
    </row>
    <row r="1239" spans="1:35" x14ac:dyDescent="0.2">
      <c r="A1239" s="60" t="s">
        <v>831</v>
      </c>
      <c r="B1239" s="711">
        <v>1</v>
      </c>
      <c r="C1239" s="735">
        <v>2200.11</v>
      </c>
      <c r="D1239" s="735">
        <v>0</v>
      </c>
      <c r="E1239" s="735">
        <v>0</v>
      </c>
      <c r="F1239" s="735">
        <v>0</v>
      </c>
      <c r="G1239" s="735">
        <v>0</v>
      </c>
      <c r="H1239" s="735">
        <v>0</v>
      </c>
      <c r="I1239" s="735">
        <v>0</v>
      </c>
      <c r="J1239" s="735">
        <v>1400.12</v>
      </c>
      <c r="K1239" s="735">
        <f t="shared" si="790"/>
        <v>3600.23</v>
      </c>
      <c r="L1239" s="735">
        <v>1000</v>
      </c>
      <c r="M1239" s="735">
        <v>0</v>
      </c>
      <c r="N1239" s="735">
        <f t="shared" si="805"/>
        <v>1000</v>
      </c>
      <c r="O1239" s="735">
        <f t="shared" si="806"/>
        <v>44202.76</v>
      </c>
      <c r="P1239" s="735">
        <f t="shared" si="807"/>
        <v>44202.76</v>
      </c>
      <c r="Q1239" s="711">
        <v>1</v>
      </c>
      <c r="R1239" s="735">
        <v>2200.11</v>
      </c>
      <c r="S1239" s="735">
        <v>0</v>
      </c>
      <c r="T1239" s="735">
        <v>0</v>
      </c>
      <c r="U1239" s="735">
        <v>0</v>
      </c>
      <c r="V1239" s="735">
        <v>0</v>
      </c>
      <c r="W1239" s="735">
        <v>0</v>
      </c>
      <c r="X1239" s="735">
        <v>0</v>
      </c>
      <c r="Y1239" s="735">
        <v>0</v>
      </c>
      <c r="Z1239" s="735">
        <f t="shared" si="808"/>
        <v>2200.11</v>
      </c>
      <c r="AA1239" s="735">
        <v>1000</v>
      </c>
      <c r="AB1239" s="735">
        <v>0</v>
      </c>
      <c r="AC1239" s="735">
        <f t="shared" si="809"/>
        <v>1000</v>
      </c>
      <c r="AD1239" s="735">
        <f t="shared" si="810"/>
        <v>27401.32</v>
      </c>
      <c r="AE1239" s="735">
        <f t="shared" si="811"/>
        <v>27401.32</v>
      </c>
      <c r="AF1239" s="735">
        <f t="shared" si="812"/>
        <v>-23801.09</v>
      </c>
      <c r="AG1239" s="828">
        <f t="shared" si="812"/>
        <v>-26401.32</v>
      </c>
      <c r="AH1239" s="711">
        <v>1</v>
      </c>
      <c r="AI1239" s="735">
        <v>48201.760000000002</v>
      </c>
    </row>
    <row r="1240" spans="1:35" x14ac:dyDescent="0.2">
      <c r="A1240" s="60" t="s">
        <v>831</v>
      </c>
      <c r="B1240" s="711">
        <v>2</v>
      </c>
      <c r="C1240" s="735">
        <v>2200.11</v>
      </c>
      <c r="D1240" s="735">
        <v>0</v>
      </c>
      <c r="E1240" s="735">
        <v>0</v>
      </c>
      <c r="F1240" s="735">
        <v>0</v>
      </c>
      <c r="G1240" s="735">
        <v>0</v>
      </c>
      <c r="H1240" s="735">
        <v>0</v>
      </c>
      <c r="I1240" s="735">
        <v>0</v>
      </c>
      <c r="J1240" s="735">
        <v>1850.12</v>
      </c>
      <c r="K1240" s="735">
        <f t="shared" si="790"/>
        <v>4050.23</v>
      </c>
      <c r="L1240" s="735">
        <v>1000</v>
      </c>
      <c r="M1240" s="735">
        <v>0</v>
      </c>
      <c r="N1240" s="735">
        <f t="shared" si="805"/>
        <v>1000</v>
      </c>
      <c r="O1240" s="735">
        <f t="shared" si="806"/>
        <v>49602.76</v>
      </c>
      <c r="P1240" s="735">
        <f t="shared" si="807"/>
        <v>99205.52</v>
      </c>
      <c r="Q1240" s="711">
        <v>2</v>
      </c>
      <c r="R1240" s="735">
        <v>2200.11</v>
      </c>
      <c r="S1240" s="735">
        <v>0</v>
      </c>
      <c r="T1240" s="735">
        <v>0</v>
      </c>
      <c r="U1240" s="735">
        <v>0</v>
      </c>
      <c r="V1240" s="735">
        <v>0</v>
      </c>
      <c r="W1240" s="735">
        <v>0</v>
      </c>
      <c r="X1240" s="735">
        <v>0</v>
      </c>
      <c r="Y1240" s="735">
        <v>0</v>
      </c>
      <c r="Z1240" s="735">
        <f t="shared" si="808"/>
        <v>2200.11</v>
      </c>
      <c r="AA1240" s="735">
        <v>1000</v>
      </c>
      <c r="AB1240" s="735">
        <v>0</v>
      </c>
      <c r="AC1240" s="735">
        <f t="shared" si="809"/>
        <v>1000</v>
      </c>
      <c r="AD1240" s="735">
        <f t="shared" si="810"/>
        <v>27401.32</v>
      </c>
      <c r="AE1240" s="735">
        <f t="shared" si="811"/>
        <v>54802.64</v>
      </c>
      <c r="AF1240" s="735">
        <f t="shared" si="812"/>
        <v>-23351.09</v>
      </c>
      <c r="AG1240" s="828">
        <f t="shared" si="812"/>
        <v>-53802.64</v>
      </c>
      <c r="AH1240" s="711">
        <v>2</v>
      </c>
      <c r="AI1240" s="735">
        <v>107203.51999999999</v>
      </c>
    </row>
    <row r="1241" spans="1:35" x14ac:dyDescent="0.2">
      <c r="A1241" s="60" t="s">
        <v>831</v>
      </c>
      <c r="B1241" s="711">
        <v>1</v>
      </c>
      <c r="C1241" s="735">
        <v>2200.11</v>
      </c>
      <c r="D1241" s="735">
        <v>0</v>
      </c>
      <c r="E1241" s="735">
        <v>0</v>
      </c>
      <c r="F1241" s="735">
        <v>0</v>
      </c>
      <c r="G1241" s="735">
        <v>0</v>
      </c>
      <c r="H1241" s="735">
        <v>0</v>
      </c>
      <c r="I1241" s="735">
        <v>0</v>
      </c>
      <c r="J1241" s="735">
        <v>1800.12</v>
      </c>
      <c r="K1241" s="735">
        <f t="shared" si="790"/>
        <v>4000.23</v>
      </c>
      <c r="L1241" s="735">
        <v>1000</v>
      </c>
      <c r="M1241" s="735">
        <v>0</v>
      </c>
      <c r="N1241" s="735">
        <f t="shared" si="805"/>
        <v>1000</v>
      </c>
      <c r="O1241" s="735">
        <f t="shared" si="806"/>
        <v>49002.76</v>
      </c>
      <c r="P1241" s="735">
        <f t="shared" si="807"/>
        <v>49002.76</v>
      </c>
      <c r="Q1241" s="711">
        <v>1</v>
      </c>
      <c r="R1241" s="735">
        <v>2200.11</v>
      </c>
      <c r="S1241" s="735">
        <v>0</v>
      </c>
      <c r="T1241" s="735">
        <v>0</v>
      </c>
      <c r="U1241" s="735">
        <v>0</v>
      </c>
      <c r="V1241" s="735">
        <v>0</v>
      </c>
      <c r="W1241" s="735">
        <v>0</v>
      </c>
      <c r="X1241" s="735">
        <v>0</v>
      </c>
      <c r="Y1241" s="735">
        <v>0</v>
      </c>
      <c r="Z1241" s="735">
        <f t="shared" si="808"/>
        <v>2200.11</v>
      </c>
      <c r="AA1241" s="735">
        <v>1000</v>
      </c>
      <c r="AB1241" s="735">
        <v>0</v>
      </c>
      <c r="AC1241" s="735">
        <f t="shared" si="809"/>
        <v>1000</v>
      </c>
      <c r="AD1241" s="735">
        <f t="shared" si="810"/>
        <v>27401.32</v>
      </c>
      <c r="AE1241" s="735">
        <f t="shared" si="811"/>
        <v>27401.32</v>
      </c>
      <c r="AF1241" s="735">
        <f t="shared" si="812"/>
        <v>-23401.09</v>
      </c>
      <c r="AG1241" s="828">
        <f t="shared" si="812"/>
        <v>-26401.32</v>
      </c>
      <c r="AH1241" s="711">
        <v>1</v>
      </c>
      <c r="AI1241" s="735">
        <v>53001.759999999995</v>
      </c>
    </row>
    <row r="1242" spans="1:35" x14ac:dyDescent="0.2">
      <c r="A1242" s="60" t="s">
        <v>831</v>
      </c>
      <c r="B1242" s="711">
        <v>1</v>
      </c>
      <c r="C1242" s="735">
        <v>2200.11</v>
      </c>
      <c r="D1242" s="735">
        <v>0</v>
      </c>
      <c r="E1242" s="735">
        <v>0</v>
      </c>
      <c r="F1242" s="735">
        <v>0</v>
      </c>
      <c r="G1242" s="735">
        <v>0</v>
      </c>
      <c r="H1242" s="735">
        <v>0</v>
      </c>
      <c r="I1242" s="735">
        <v>0</v>
      </c>
      <c r="J1242" s="735">
        <v>2150.12</v>
      </c>
      <c r="K1242" s="735">
        <f t="shared" si="790"/>
        <v>4350.2299999999996</v>
      </c>
      <c r="L1242" s="735">
        <v>1000</v>
      </c>
      <c r="M1242" s="735">
        <v>0</v>
      </c>
      <c r="N1242" s="735">
        <f t="shared" si="805"/>
        <v>1000</v>
      </c>
      <c r="O1242" s="735">
        <f t="shared" si="806"/>
        <v>53202.759999999995</v>
      </c>
      <c r="P1242" s="735">
        <f t="shared" si="807"/>
        <v>53202.759999999995</v>
      </c>
      <c r="Q1242" s="711">
        <v>1</v>
      </c>
      <c r="R1242" s="735">
        <v>2200.11</v>
      </c>
      <c r="S1242" s="735">
        <v>0</v>
      </c>
      <c r="T1242" s="735">
        <v>0</v>
      </c>
      <c r="U1242" s="735">
        <v>0</v>
      </c>
      <c r="V1242" s="735">
        <v>0</v>
      </c>
      <c r="W1242" s="735">
        <v>0</v>
      </c>
      <c r="X1242" s="735">
        <v>0</v>
      </c>
      <c r="Y1242" s="735">
        <v>0</v>
      </c>
      <c r="Z1242" s="735">
        <f t="shared" si="808"/>
        <v>2200.11</v>
      </c>
      <c r="AA1242" s="735">
        <v>1000</v>
      </c>
      <c r="AB1242" s="735">
        <v>0</v>
      </c>
      <c r="AC1242" s="735">
        <f t="shared" si="809"/>
        <v>1000</v>
      </c>
      <c r="AD1242" s="735">
        <f t="shared" si="810"/>
        <v>27401.32</v>
      </c>
      <c r="AE1242" s="735">
        <f t="shared" si="811"/>
        <v>27401.32</v>
      </c>
      <c r="AF1242" s="735">
        <f t="shared" si="812"/>
        <v>-23051.09</v>
      </c>
      <c r="AG1242" s="828">
        <f t="shared" si="812"/>
        <v>-26401.32</v>
      </c>
      <c r="AH1242" s="711">
        <v>1</v>
      </c>
      <c r="AI1242" s="735">
        <v>57201.760000000009</v>
      </c>
    </row>
    <row r="1243" spans="1:35" x14ac:dyDescent="0.2">
      <c r="A1243" s="875" t="s">
        <v>832</v>
      </c>
      <c r="B1243" s="722"/>
      <c r="C1243" s="784"/>
      <c r="D1243" s="784"/>
      <c r="E1243" s="784"/>
      <c r="F1243" s="784"/>
      <c r="G1243" s="784"/>
      <c r="H1243" s="784"/>
      <c r="I1243" s="784"/>
      <c r="J1243" s="784"/>
      <c r="K1243" s="784"/>
      <c r="L1243" s="784"/>
      <c r="M1243" s="784"/>
      <c r="N1243" s="784"/>
      <c r="O1243" s="784"/>
      <c r="P1243" s="784"/>
      <c r="Q1243" s="722"/>
      <c r="R1243" s="784"/>
      <c r="S1243" s="784"/>
      <c r="T1243" s="784"/>
      <c r="U1243" s="784"/>
      <c r="V1243" s="784"/>
      <c r="W1243" s="784"/>
      <c r="X1243" s="784"/>
      <c r="Y1243" s="784"/>
      <c r="Z1243" s="784"/>
      <c r="AA1243" s="784"/>
      <c r="AB1243" s="784"/>
      <c r="AC1243" s="784"/>
      <c r="AD1243" s="784"/>
      <c r="AE1243" s="784"/>
      <c r="AF1243" s="784"/>
      <c r="AG1243" s="722"/>
      <c r="AH1243" s="722"/>
      <c r="AI1243" s="784"/>
    </row>
    <row r="1244" spans="1:35" x14ac:dyDescent="0.2">
      <c r="A1244" s="877" t="s">
        <v>833</v>
      </c>
      <c r="B1244" s="829">
        <v>1</v>
      </c>
      <c r="C1244" s="830">
        <v>3524.44</v>
      </c>
      <c r="D1244" s="830">
        <v>0</v>
      </c>
      <c r="E1244" s="830">
        <v>0</v>
      </c>
      <c r="F1244" s="830">
        <v>0</v>
      </c>
      <c r="G1244" s="830">
        <v>0</v>
      </c>
      <c r="H1244" s="830">
        <v>0</v>
      </c>
      <c r="I1244" s="830">
        <v>0</v>
      </c>
      <c r="J1244" s="830">
        <v>1500</v>
      </c>
      <c r="K1244" s="830">
        <f t="shared" si="790"/>
        <v>5024.4400000000005</v>
      </c>
      <c r="L1244" s="830">
        <v>1000</v>
      </c>
      <c r="M1244" s="830">
        <v>0</v>
      </c>
      <c r="N1244" s="830">
        <f t="shared" si="805"/>
        <v>1000</v>
      </c>
      <c r="O1244" s="830">
        <f t="shared" ref="O1244:O1248" si="813">+K1244*12+N1244</f>
        <v>61293.280000000006</v>
      </c>
      <c r="P1244" s="830">
        <f t="shared" ref="P1244:P1248" si="814">+O1244*B1244</f>
        <v>61293.280000000006</v>
      </c>
      <c r="Q1244" s="829">
        <v>1</v>
      </c>
      <c r="R1244" s="830">
        <v>3524.44</v>
      </c>
      <c r="S1244" s="830">
        <v>0</v>
      </c>
      <c r="T1244" s="830">
        <v>0</v>
      </c>
      <c r="U1244" s="830">
        <v>0</v>
      </c>
      <c r="V1244" s="830">
        <v>0</v>
      </c>
      <c r="W1244" s="830">
        <v>0</v>
      </c>
      <c r="X1244" s="830">
        <v>0</v>
      </c>
      <c r="Y1244" s="830">
        <v>0</v>
      </c>
      <c r="Z1244" s="830">
        <f t="shared" si="808"/>
        <v>3524.44</v>
      </c>
      <c r="AA1244" s="830">
        <v>1000</v>
      </c>
      <c r="AB1244" s="830">
        <v>0</v>
      </c>
      <c r="AC1244" s="830">
        <f t="shared" ref="AC1244:AC1248" si="815">SUM(AA1244:AB1244)</f>
        <v>1000</v>
      </c>
      <c r="AD1244" s="830">
        <f t="shared" ref="AD1244:AD1248" si="816">+Z1244*12+AC1244</f>
        <v>43293.279999999999</v>
      </c>
      <c r="AE1244" s="830">
        <f t="shared" ref="AE1244:AE1248" si="817">+AD1244*Q1244</f>
        <v>43293.279999999999</v>
      </c>
      <c r="AF1244" s="830">
        <f t="shared" ref="AF1244:AG1248" si="818">+K1244-AD1244</f>
        <v>-38268.839999999997</v>
      </c>
      <c r="AG1244" s="831">
        <f t="shared" si="818"/>
        <v>-42293.279999999999</v>
      </c>
      <c r="AH1244" s="829">
        <v>1</v>
      </c>
      <c r="AI1244" s="830">
        <v>74202.399999999994</v>
      </c>
    </row>
    <row r="1245" spans="1:35" x14ac:dyDescent="0.2">
      <c r="A1245" s="60" t="s">
        <v>829</v>
      </c>
      <c r="B1245" s="711">
        <v>1</v>
      </c>
      <c r="C1245" s="735">
        <v>3466.84</v>
      </c>
      <c r="D1245" s="735">
        <v>0</v>
      </c>
      <c r="E1245" s="735">
        <v>0</v>
      </c>
      <c r="F1245" s="735">
        <v>0</v>
      </c>
      <c r="G1245" s="735">
        <v>0</v>
      </c>
      <c r="H1245" s="735">
        <v>0</v>
      </c>
      <c r="I1245" s="735">
        <v>0</v>
      </c>
      <c r="J1245" s="735">
        <v>1500</v>
      </c>
      <c r="K1245" s="735">
        <f t="shared" si="790"/>
        <v>4966.84</v>
      </c>
      <c r="L1245" s="735">
        <v>1000</v>
      </c>
      <c r="M1245" s="735">
        <v>0</v>
      </c>
      <c r="N1245" s="735">
        <f t="shared" si="805"/>
        <v>1000</v>
      </c>
      <c r="O1245" s="735">
        <f t="shared" si="813"/>
        <v>60602.080000000002</v>
      </c>
      <c r="P1245" s="735">
        <f t="shared" si="814"/>
        <v>60602.080000000002</v>
      </c>
      <c r="Q1245" s="711">
        <v>1</v>
      </c>
      <c r="R1245" s="735">
        <v>3466.84</v>
      </c>
      <c r="S1245" s="735">
        <v>0</v>
      </c>
      <c r="T1245" s="735">
        <v>0</v>
      </c>
      <c r="U1245" s="735">
        <v>0</v>
      </c>
      <c r="V1245" s="735">
        <v>0</v>
      </c>
      <c r="W1245" s="735">
        <v>0</v>
      </c>
      <c r="X1245" s="735">
        <v>0</v>
      </c>
      <c r="Y1245" s="735">
        <v>0</v>
      </c>
      <c r="Z1245" s="735">
        <f t="shared" si="808"/>
        <v>3466.84</v>
      </c>
      <c r="AA1245" s="735">
        <v>1000</v>
      </c>
      <c r="AB1245" s="735">
        <v>0</v>
      </c>
      <c r="AC1245" s="735">
        <f t="shared" si="815"/>
        <v>1000</v>
      </c>
      <c r="AD1245" s="735">
        <f t="shared" si="816"/>
        <v>42602.080000000002</v>
      </c>
      <c r="AE1245" s="735">
        <f t="shared" si="817"/>
        <v>42602.080000000002</v>
      </c>
      <c r="AF1245" s="735">
        <f t="shared" si="818"/>
        <v>-37635.240000000005</v>
      </c>
      <c r="AG1245" s="828">
        <f t="shared" si="818"/>
        <v>-41602.080000000002</v>
      </c>
      <c r="AH1245" s="711">
        <v>1</v>
      </c>
      <c r="AI1245" s="735">
        <v>66843.28</v>
      </c>
    </row>
    <row r="1246" spans="1:35" x14ac:dyDescent="0.2">
      <c r="A1246" s="60" t="s">
        <v>830</v>
      </c>
      <c r="B1246" s="711">
        <v>4</v>
      </c>
      <c r="C1246" s="735">
        <v>2400.12</v>
      </c>
      <c r="D1246" s="735">
        <v>0</v>
      </c>
      <c r="E1246" s="735">
        <v>0</v>
      </c>
      <c r="F1246" s="735">
        <v>0</v>
      </c>
      <c r="G1246" s="735">
        <v>0</v>
      </c>
      <c r="H1246" s="735">
        <v>0</v>
      </c>
      <c r="I1246" s="735">
        <v>0</v>
      </c>
      <c r="J1246" s="735">
        <v>1810.13</v>
      </c>
      <c r="K1246" s="735">
        <f t="shared" si="790"/>
        <v>4210.25</v>
      </c>
      <c r="L1246" s="735">
        <v>1000</v>
      </c>
      <c r="M1246" s="735">
        <v>0</v>
      </c>
      <c r="N1246" s="735">
        <f t="shared" si="805"/>
        <v>1000</v>
      </c>
      <c r="O1246" s="735">
        <f t="shared" si="813"/>
        <v>51523</v>
      </c>
      <c r="P1246" s="735">
        <f t="shared" si="814"/>
        <v>206092</v>
      </c>
      <c r="Q1246" s="711">
        <v>4</v>
      </c>
      <c r="R1246" s="735">
        <v>2400.12</v>
      </c>
      <c r="S1246" s="735">
        <v>0</v>
      </c>
      <c r="T1246" s="735">
        <v>0</v>
      </c>
      <c r="U1246" s="735">
        <v>0</v>
      </c>
      <c r="V1246" s="735">
        <v>0</v>
      </c>
      <c r="W1246" s="735">
        <v>0</v>
      </c>
      <c r="X1246" s="735">
        <v>0</v>
      </c>
      <c r="Y1246" s="735">
        <v>0</v>
      </c>
      <c r="Z1246" s="735">
        <f t="shared" si="808"/>
        <v>2400.12</v>
      </c>
      <c r="AA1246" s="735">
        <v>1000</v>
      </c>
      <c r="AB1246" s="735">
        <v>0</v>
      </c>
      <c r="AC1246" s="735">
        <f t="shared" si="815"/>
        <v>1000</v>
      </c>
      <c r="AD1246" s="735">
        <f t="shared" si="816"/>
        <v>29801.439999999999</v>
      </c>
      <c r="AE1246" s="735">
        <f t="shared" si="817"/>
        <v>119205.75999999999</v>
      </c>
      <c r="AF1246" s="735">
        <f t="shared" si="818"/>
        <v>-25591.19</v>
      </c>
      <c r="AG1246" s="828">
        <f t="shared" si="818"/>
        <v>-118205.75999999999</v>
      </c>
      <c r="AH1246" s="711">
        <v>4</v>
      </c>
      <c r="AI1246" s="735">
        <v>223847.67999999999</v>
      </c>
    </row>
    <row r="1247" spans="1:35" x14ac:dyDescent="0.2">
      <c r="A1247" s="877" t="s">
        <v>831</v>
      </c>
      <c r="B1247" s="829">
        <v>1</v>
      </c>
      <c r="C1247" s="830">
        <v>2200.11</v>
      </c>
      <c r="D1247" s="830">
        <v>0</v>
      </c>
      <c r="E1247" s="830">
        <v>0</v>
      </c>
      <c r="F1247" s="830">
        <v>0</v>
      </c>
      <c r="G1247" s="830">
        <v>0</v>
      </c>
      <c r="H1247" s="830">
        <v>0</v>
      </c>
      <c r="I1247" s="830">
        <v>0</v>
      </c>
      <c r="J1247" s="830">
        <v>0</v>
      </c>
      <c r="K1247" s="830">
        <f t="shared" si="790"/>
        <v>2200.11</v>
      </c>
      <c r="L1247" s="830">
        <v>1000</v>
      </c>
      <c r="M1247" s="830">
        <v>0</v>
      </c>
      <c r="N1247" s="830">
        <f t="shared" si="805"/>
        <v>1000</v>
      </c>
      <c r="O1247" s="830">
        <f t="shared" si="813"/>
        <v>27401.32</v>
      </c>
      <c r="P1247" s="830">
        <f t="shared" si="814"/>
        <v>27401.32</v>
      </c>
      <c r="Q1247" s="829">
        <v>1</v>
      </c>
      <c r="R1247" s="830">
        <v>2200.11</v>
      </c>
      <c r="S1247" s="830">
        <v>0</v>
      </c>
      <c r="T1247" s="830">
        <v>0</v>
      </c>
      <c r="U1247" s="830">
        <v>0</v>
      </c>
      <c r="V1247" s="830">
        <v>0</v>
      </c>
      <c r="W1247" s="830">
        <v>0</v>
      </c>
      <c r="X1247" s="830">
        <v>0</v>
      </c>
      <c r="Y1247" s="830">
        <v>0</v>
      </c>
      <c r="Z1247" s="830">
        <f t="shared" si="808"/>
        <v>2200.11</v>
      </c>
      <c r="AA1247" s="830">
        <v>1000</v>
      </c>
      <c r="AB1247" s="830">
        <v>0</v>
      </c>
      <c r="AC1247" s="830">
        <f t="shared" si="815"/>
        <v>1000</v>
      </c>
      <c r="AD1247" s="830">
        <f t="shared" si="816"/>
        <v>27401.32</v>
      </c>
      <c r="AE1247" s="830">
        <f t="shared" si="817"/>
        <v>27401.32</v>
      </c>
      <c r="AF1247" s="830">
        <f t="shared" si="818"/>
        <v>-25201.21</v>
      </c>
      <c r="AG1247" s="831">
        <f t="shared" si="818"/>
        <v>-26401.32</v>
      </c>
      <c r="AH1247" s="829">
        <v>1</v>
      </c>
      <c r="AI1247" s="830">
        <v>27401.32</v>
      </c>
    </row>
    <row r="1248" spans="1:35" x14ac:dyDescent="0.2">
      <c r="A1248" s="60" t="s">
        <v>834</v>
      </c>
      <c r="B1248" s="711">
        <v>1</v>
      </c>
      <c r="C1248" s="735">
        <v>2000.1</v>
      </c>
      <c r="D1248" s="735">
        <v>0</v>
      </c>
      <c r="E1248" s="735">
        <v>0</v>
      </c>
      <c r="F1248" s="735">
        <v>0</v>
      </c>
      <c r="G1248" s="735">
        <v>0</v>
      </c>
      <c r="H1248" s="735">
        <v>0</v>
      </c>
      <c r="I1248" s="735">
        <v>0</v>
      </c>
      <c r="J1248" s="735">
        <v>1670.1100000000001</v>
      </c>
      <c r="K1248" s="735">
        <f t="shared" si="790"/>
        <v>3670.21</v>
      </c>
      <c r="L1248" s="735">
        <v>1000</v>
      </c>
      <c r="M1248" s="735">
        <v>0</v>
      </c>
      <c r="N1248" s="735">
        <f t="shared" si="805"/>
        <v>1000</v>
      </c>
      <c r="O1248" s="735">
        <f t="shared" si="813"/>
        <v>45042.520000000004</v>
      </c>
      <c r="P1248" s="735">
        <f t="shared" si="814"/>
        <v>45042.520000000004</v>
      </c>
      <c r="Q1248" s="711">
        <v>1</v>
      </c>
      <c r="R1248" s="735">
        <v>2000.1</v>
      </c>
      <c r="S1248" s="735">
        <v>0</v>
      </c>
      <c r="T1248" s="735">
        <v>0</v>
      </c>
      <c r="U1248" s="735">
        <v>0</v>
      </c>
      <c r="V1248" s="735">
        <v>0</v>
      </c>
      <c r="W1248" s="735">
        <v>0</v>
      </c>
      <c r="X1248" s="735">
        <v>0</v>
      </c>
      <c r="Y1248" s="735">
        <v>0</v>
      </c>
      <c r="Z1248" s="735">
        <f t="shared" si="808"/>
        <v>2000.1</v>
      </c>
      <c r="AA1248" s="735">
        <v>1000</v>
      </c>
      <c r="AB1248" s="735">
        <v>0</v>
      </c>
      <c r="AC1248" s="735">
        <f t="shared" si="815"/>
        <v>1000</v>
      </c>
      <c r="AD1248" s="735">
        <f t="shared" si="816"/>
        <v>25001.199999999997</v>
      </c>
      <c r="AE1248" s="735">
        <f t="shared" si="817"/>
        <v>25001.199999999997</v>
      </c>
      <c r="AF1248" s="735">
        <f t="shared" si="818"/>
        <v>-21330.989999999998</v>
      </c>
      <c r="AG1248" s="828">
        <f t="shared" si="818"/>
        <v>-24001.199999999997</v>
      </c>
      <c r="AH1248" s="711">
        <v>1</v>
      </c>
      <c r="AI1248" s="735">
        <v>48601.599999999999</v>
      </c>
    </row>
    <row r="1249" spans="1:35" x14ac:dyDescent="0.2">
      <c r="A1249" s="875" t="s">
        <v>835</v>
      </c>
      <c r="B1249" s="722"/>
      <c r="C1249" s="784"/>
      <c r="D1249" s="784"/>
      <c r="E1249" s="784"/>
      <c r="F1249" s="784"/>
      <c r="G1249" s="784"/>
      <c r="H1249" s="784"/>
      <c r="I1249" s="784"/>
      <c r="J1249" s="784"/>
      <c r="K1249" s="784"/>
      <c r="L1249" s="784"/>
      <c r="M1249" s="784"/>
      <c r="N1249" s="784"/>
      <c r="O1249" s="784"/>
      <c r="P1249" s="784"/>
      <c r="Q1249" s="722"/>
      <c r="R1249" s="784"/>
      <c r="S1249" s="784"/>
      <c r="T1249" s="784"/>
      <c r="U1249" s="784"/>
      <c r="V1249" s="784"/>
      <c r="W1249" s="784"/>
      <c r="X1249" s="784"/>
      <c r="Y1249" s="784"/>
      <c r="Z1249" s="784"/>
      <c r="AA1249" s="784"/>
      <c r="AB1249" s="784"/>
      <c r="AC1249" s="784"/>
      <c r="AD1249" s="784"/>
      <c r="AE1249" s="784"/>
      <c r="AF1249" s="784"/>
      <c r="AG1249" s="722"/>
      <c r="AH1249" s="722"/>
      <c r="AI1249" s="784"/>
    </row>
    <row r="1250" spans="1:35" x14ac:dyDescent="0.2">
      <c r="A1250" s="60" t="s">
        <v>834</v>
      </c>
      <c r="B1250" s="711">
        <v>1</v>
      </c>
      <c r="C1250" s="735">
        <v>2666.8</v>
      </c>
      <c r="D1250" s="735">
        <v>0</v>
      </c>
      <c r="E1250" s="735">
        <v>0</v>
      </c>
      <c r="F1250" s="735">
        <v>0</v>
      </c>
      <c r="G1250" s="735">
        <v>0</v>
      </c>
      <c r="H1250" s="735">
        <v>0</v>
      </c>
      <c r="I1250" s="735">
        <v>0</v>
      </c>
      <c r="J1250" s="735">
        <v>250</v>
      </c>
      <c r="K1250" s="735">
        <f t="shared" si="790"/>
        <v>2916.8</v>
      </c>
      <c r="L1250" s="735">
        <v>1000</v>
      </c>
      <c r="M1250" s="735">
        <v>0</v>
      </c>
      <c r="N1250" s="735">
        <f t="shared" si="805"/>
        <v>1000</v>
      </c>
      <c r="O1250" s="735">
        <f t="shared" ref="O1250" si="819">+K1250*12+N1250</f>
        <v>36001.600000000006</v>
      </c>
      <c r="P1250" s="735">
        <f t="shared" ref="P1250" si="820">+O1250*B1250</f>
        <v>36001.600000000006</v>
      </c>
      <c r="Q1250" s="711">
        <v>1</v>
      </c>
      <c r="R1250" s="735">
        <v>2666.8</v>
      </c>
      <c r="S1250" s="735">
        <v>0</v>
      </c>
      <c r="T1250" s="735">
        <v>0</v>
      </c>
      <c r="U1250" s="735">
        <v>0</v>
      </c>
      <c r="V1250" s="735">
        <v>0</v>
      </c>
      <c r="W1250" s="735">
        <v>0</v>
      </c>
      <c r="X1250" s="735">
        <v>0</v>
      </c>
      <c r="Y1250" s="735">
        <v>0</v>
      </c>
      <c r="Z1250" s="735">
        <f t="shared" si="808"/>
        <v>2666.8</v>
      </c>
      <c r="AA1250" s="735">
        <v>1000</v>
      </c>
      <c r="AB1250" s="735">
        <v>0</v>
      </c>
      <c r="AC1250" s="735">
        <f t="shared" ref="AC1250" si="821">SUM(AA1250:AB1250)</f>
        <v>1000</v>
      </c>
      <c r="AD1250" s="735">
        <f t="shared" ref="AD1250" si="822">+Z1250*12+AC1250</f>
        <v>33001.600000000006</v>
      </c>
      <c r="AE1250" s="735">
        <f t="shared" ref="AE1250" si="823">+AD1250*Q1250</f>
        <v>33001.600000000006</v>
      </c>
      <c r="AF1250" s="735">
        <f t="shared" ref="AF1250:AG1250" si="824">+K1250-AD1250</f>
        <v>-30084.800000000007</v>
      </c>
      <c r="AG1250" s="828">
        <f t="shared" si="824"/>
        <v>-32001.600000000006</v>
      </c>
      <c r="AH1250" s="711">
        <v>1</v>
      </c>
      <c r="AI1250" s="735">
        <v>41201.599999999999</v>
      </c>
    </row>
    <row r="1251" spans="1:35" x14ac:dyDescent="0.2">
      <c r="A1251" s="875" t="s">
        <v>836</v>
      </c>
      <c r="B1251" s="722"/>
      <c r="C1251" s="784"/>
      <c r="D1251" s="784"/>
      <c r="E1251" s="784"/>
      <c r="F1251" s="784"/>
      <c r="G1251" s="784"/>
      <c r="H1251" s="784"/>
      <c r="I1251" s="784"/>
      <c r="J1251" s="784"/>
      <c r="K1251" s="784"/>
      <c r="L1251" s="784"/>
      <c r="M1251" s="784"/>
      <c r="N1251" s="784"/>
      <c r="O1251" s="784"/>
      <c r="P1251" s="784"/>
      <c r="Q1251" s="722"/>
      <c r="R1251" s="784"/>
      <c r="S1251" s="784"/>
      <c r="T1251" s="784"/>
      <c r="U1251" s="784"/>
      <c r="V1251" s="784"/>
      <c r="W1251" s="784"/>
      <c r="X1251" s="784"/>
      <c r="Y1251" s="784"/>
      <c r="Z1251" s="784"/>
      <c r="AA1251" s="784"/>
      <c r="AB1251" s="784"/>
      <c r="AC1251" s="784"/>
      <c r="AD1251" s="784"/>
      <c r="AE1251" s="784"/>
      <c r="AF1251" s="784"/>
      <c r="AG1251" s="722"/>
      <c r="AH1251" s="722"/>
      <c r="AI1251" s="784"/>
    </row>
    <row r="1252" spans="1:35" x14ac:dyDescent="0.2">
      <c r="A1252" s="60" t="s">
        <v>837</v>
      </c>
      <c r="B1252" s="711">
        <v>1</v>
      </c>
      <c r="C1252" s="735">
        <v>2200.11</v>
      </c>
      <c r="D1252" s="735">
        <v>0</v>
      </c>
      <c r="E1252" s="735">
        <v>0</v>
      </c>
      <c r="F1252" s="735">
        <v>0</v>
      </c>
      <c r="G1252" s="735">
        <v>0</v>
      </c>
      <c r="H1252" s="735">
        <v>0</v>
      </c>
      <c r="I1252" s="735">
        <v>0</v>
      </c>
      <c r="J1252" s="735">
        <v>200</v>
      </c>
      <c r="K1252" s="735">
        <f t="shared" si="790"/>
        <v>2400.11</v>
      </c>
      <c r="L1252" s="735">
        <v>1000</v>
      </c>
      <c r="M1252" s="735">
        <v>0</v>
      </c>
      <c r="N1252" s="735">
        <f t="shared" si="805"/>
        <v>1000</v>
      </c>
      <c r="O1252" s="735">
        <f t="shared" ref="O1252" si="825">+K1252*12+N1252</f>
        <v>29801.32</v>
      </c>
      <c r="P1252" s="735">
        <f t="shared" ref="P1252" si="826">+O1252*B1252</f>
        <v>29801.32</v>
      </c>
      <c r="Q1252" s="711">
        <v>1</v>
      </c>
      <c r="R1252" s="735">
        <v>2200.11</v>
      </c>
      <c r="S1252" s="735">
        <v>0</v>
      </c>
      <c r="T1252" s="735">
        <v>0</v>
      </c>
      <c r="U1252" s="735">
        <v>0</v>
      </c>
      <c r="V1252" s="735">
        <v>0</v>
      </c>
      <c r="W1252" s="735">
        <v>0</v>
      </c>
      <c r="X1252" s="735">
        <v>0</v>
      </c>
      <c r="Y1252" s="735">
        <v>0</v>
      </c>
      <c r="Z1252" s="735">
        <f t="shared" si="808"/>
        <v>2200.11</v>
      </c>
      <c r="AA1252" s="735">
        <v>1000</v>
      </c>
      <c r="AB1252" s="735">
        <v>0</v>
      </c>
      <c r="AC1252" s="735">
        <f t="shared" ref="AC1252" si="827">SUM(AA1252:AB1252)</f>
        <v>1000</v>
      </c>
      <c r="AD1252" s="735">
        <f t="shared" ref="AD1252" si="828">+Z1252*12+AC1252</f>
        <v>27401.32</v>
      </c>
      <c r="AE1252" s="735">
        <f t="shared" ref="AE1252" si="829">+AD1252*Q1252</f>
        <v>27401.32</v>
      </c>
      <c r="AF1252" s="735">
        <f>+K1252-AD1252</f>
        <v>-25001.21</v>
      </c>
      <c r="AG1252" s="828">
        <f>+L1252-AE1252</f>
        <v>-26401.32</v>
      </c>
      <c r="AH1252" s="711">
        <v>1</v>
      </c>
      <c r="AI1252" s="735">
        <v>33761.32</v>
      </c>
    </row>
    <row r="1253" spans="1:35" x14ac:dyDescent="0.2">
      <c r="A1253" s="875" t="s">
        <v>838</v>
      </c>
      <c r="B1253" s="722"/>
      <c r="C1253" s="784"/>
      <c r="D1253" s="784"/>
      <c r="E1253" s="784"/>
      <c r="F1253" s="784"/>
      <c r="G1253" s="784"/>
      <c r="H1253" s="784"/>
      <c r="I1253" s="784"/>
      <c r="J1253" s="784"/>
      <c r="K1253" s="784"/>
      <c r="L1253" s="784"/>
      <c r="M1253" s="784"/>
      <c r="N1253" s="784"/>
      <c r="O1253" s="784"/>
      <c r="P1253" s="784"/>
      <c r="Q1253" s="722"/>
      <c r="R1253" s="784"/>
      <c r="S1253" s="784"/>
      <c r="T1253" s="784"/>
      <c r="U1253" s="784"/>
      <c r="V1253" s="784"/>
      <c r="W1253" s="784"/>
      <c r="X1253" s="784"/>
      <c r="Y1253" s="784"/>
      <c r="Z1253" s="784"/>
      <c r="AA1253" s="784"/>
      <c r="AB1253" s="784"/>
      <c r="AC1253" s="784"/>
      <c r="AD1253" s="784"/>
      <c r="AE1253" s="784"/>
      <c r="AF1253" s="784"/>
      <c r="AG1253" s="722"/>
      <c r="AH1253" s="722"/>
      <c r="AI1253" s="784"/>
    </row>
    <row r="1254" spans="1:35" x14ac:dyDescent="0.2">
      <c r="A1254" s="60" t="s">
        <v>839</v>
      </c>
      <c r="B1254" s="711">
        <v>1</v>
      </c>
      <c r="C1254" s="735">
        <v>2400.12</v>
      </c>
      <c r="D1254" s="735">
        <v>0</v>
      </c>
      <c r="E1254" s="735">
        <v>0</v>
      </c>
      <c r="F1254" s="735">
        <v>0</v>
      </c>
      <c r="G1254" s="735">
        <v>0</v>
      </c>
      <c r="H1254" s="735">
        <v>0</v>
      </c>
      <c r="I1254" s="735">
        <v>0</v>
      </c>
      <c r="J1254" s="735">
        <v>250</v>
      </c>
      <c r="K1254" s="735">
        <f t="shared" si="790"/>
        <v>2650.12</v>
      </c>
      <c r="L1254" s="735">
        <v>1000</v>
      </c>
      <c r="M1254" s="735">
        <v>0</v>
      </c>
      <c r="N1254" s="735">
        <f t="shared" si="805"/>
        <v>1000</v>
      </c>
      <c r="O1254" s="735">
        <f t="shared" ref="O1254:O1258" si="830">+K1254*12+N1254</f>
        <v>32801.440000000002</v>
      </c>
      <c r="P1254" s="735">
        <f t="shared" ref="P1254:P1258" si="831">+O1254*B1254</f>
        <v>32801.440000000002</v>
      </c>
      <c r="Q1254" s="711">
        <v>1</v>
      </c>
      <c r="R1254" s="735">
        <v>2400.12</v>
      </c>
      <c r="S1254" s="735">
        <v>0</v>
      </c>
      <c r="T1254" s="735">
        <v>0</v>
      </c>
      <c r="U1254" s="735">
        <v>0</v>
      </c>
      <c r="V1254" s="735">
        <v>0</v>
      </c>
      <c r="W1254" s="735">
        <v>0</v>
      </c>
      <c r="X1254" s="735">
        <v>0</v>
      </c>
      <c r="Y1254" s="735">
        <v>0</v>
      </c>
      <c r="Z1254" s="735">
        <f t="shared" si="808"/>
        <v>2400.12</v>
      </c>
      <c r="AA1254" s="735">
        <v>1000</v>
      </c>
      <c r="AB1254" s="735">
        <v>0</v>
      </c>
      <c r="AC1254" s="735">
        <f t="shared" ref="AC1254:AC1258" si="832">SUM(AA1254:AB1254)</f>
        <v>1000</v>
      </c>
      <c r="AD1254" s="735">
        <f t="shared" ref="AD1254:AD1258" si="833">+Z1254*12+AC1254</f>
        <v>29801.439999999999</v>
      </c>
      <c r="AE1254" s="735">
        <f t="shared" ref="AE1254:AE1258" si="834">+AD1254*Q1254</f>
        <v>29801.439999999999</v>
      </c>
      <c r="AF1254" s="735">
        <f t="shared" ref="AF1254:AG1258" si="835">+K1254-AD1254</f>
        <v>-27151.32</v>
      </c>
      <c r="AG1254" s="828">
        <f t="shared" si="835"/>
        <v>-28801.439999999999</v>
      </c>
      <c r="AH1254" s="711">
        <v>1</v>
      </c>
      <c r="AI1254" s="735">
        <v>37121.440000000002</v>
      </c>
    </row>
    <row r="1255" spans="1:35" x14ac:dyDescent="0.2">
      <c r="A1255" s="60" t="s">
        <v>837</v>
      </c>
      <c r="B1255" s="711">
        <v>2</v>
      </c>
      <c r="C1255" s="735">
        <v>2200.11</v>
      </c>
      <c r="D1255" s="735">
        <v>0</v>
      </c>
      <c r="E1255" s="735">
        <v>0</v>
      </c>
      <c r="F1255" s="735">
        <v>0</v>
      </c>
      <c r="G1255" s="735">
        <v>0</v>
      </c>
      <c r="H1255" s="735">
        <v>0</v>
      </c>
      <c r="I1255" s="735">
        <v>0</v>
      </c>
      <c r="J1255" s="735">
        <v>250</v>
      </c>
      <c r="K1255" s="735">
        <f t="shared" si="790"/>
        <v>2450.11</v>
      </c>
      <c r="L1255" s="735">
        <v>1000</v>
      </c>
      <c r="M1255" s="735">
        <v>0</v>
      </c>
      <c r="N1255" s="735">
        <f t="shared" si="805"/>
        <v>1000</v>
      </c>
      <c r="O1255" s="735">
        <f t="shared" si="830"/>
        <v>30401.32</v>
      </c>
      <c r="P1255" s="735">
        <f t="shared" si="831"/>
        <v>60802.64</v>
      </c>
      <c r="Q1255" s="711">
        <v>2</v>
      </c>
      <c r="R1255" s="735">
        <v>2200.11</v>
      </c>
      <c r="S1255" s="735">
        <v>0</v>
      </c>
      <c r="T1255" s="735">
        <v>0</v>
      </c>
      <c r="U1255" s="735">
        <v>0</v>
      </c>
      <c r="V1255" s="735">
        <v>0</v>
      </c>
      <c r="W1255" s="735">
        <v>0</v>
      </c>
      <c r="X1255" s="735">
        <v>0</v>
      </c>
      <c r="Y1255" s="735">
        <v>0</v>
      </c>
      <c r="Z1255" s="735">
        <f t="shared" si="808"/>
        <v>2200.11</v>
      </c>
      <c r="AA1255" s="735">
        <v>1000</v>
      </c>
      <c r="AB1255" s="735">
        <v>0</v>
      </c>
      <c r="AC1255" s="735">
        <f t="shared" si="832"/>
        <v>1000</v>
      </c>
      <c r="AD1255" s="735">
        <f t="shared" si="833"/>
        <v>27401.32</v>
      </c>
      <c r="AE1255" s="735">
        <f t="shared" si="834"/>
        <v>54802.64</v>
      </c>
      <c r="AF1255" s="735">
        <f t="shared" si="835"/>
        <v>-24951.21</v>
      </c>
      <c r="AG1255" s="828">
        <f t="shared" si="835"/>
        <v>-53802.64</v>
      </c>
      <c r="AH1255" s="711">
        <v>2</v>
      </c>
      <c r="AI1255" s="735">
        <v>68722.64</v>
      </c>
    </row>
    <row r="1256" spans="1:35" x14ac:dyDescent="0.2">
      <c r="A1256" s="60" t="s">
        <v>840</v>
      </c>
      <c r="B1256" s="711">
        <v>1</v>
      </c>
      <c r="C1256" s="735">
        <v>2000.1</v>
      </c>
      <c r="D1256" s="735">
        <v>0</v>
      </c>
      <c r="E1256" s="735">
        <v>0</v>
      </c>
      <c r="F1256" s="735">
        <v>0</v>
      </c>
      <c r="G1256" s="735">
        <v>0</v>
      </c>
      <c r="H1256" s="735">
        <v>0</v>
      </c>
      <c r="I1256" s="735">
        <v>0</v>
      </c>
      <c r="J1256" s="735">
        <v>950</v>
      </c>
      <c r="K1256" s="735">
        <f t="shared" si="790"/>
        <v>2950.1</v>
      </c>
      <c r="L1256" s="735">
        <v>1000</v>
      </c>
      <c r="M1256" s="735">
        <v>0</v>
      </c>
      <c r="N1256" s="735">
        <f t="shared" si="805"/>
        <v>1000</v>
      </c>
      <c r="O1256" s="735">
        <f t="shared" si="830"/>
        <v>36401.199999999997</v>
      </c>
      <c r="P1256" s="735">
        <f t="shared" si="831"/>
        <v>36401.199999999997</v>
      </c>
      <c r="Q1256" s="711">
        <v>1</v>
      </c>
      <c r="R1256" s="735">
        <v>2000.1</v>
      </c>
      <c r="S1256" s="735">
        <v>0</v>
      </c>
      <c r="T1256" s="735">
        <v>0</v>
      </c>
      <c r="U1256" s="735">
        <v>0</v>
      </c>
      <c r="V1256" s="735">
        <v>0</v>
      </c>
      <c r="W1256" s="735">
        <v>0</v>
      </c>
      <c r="X1256" s="735">
        <v>0</v>
      </c>
      <c r="Y1256" s="735">
        <v>0</v>
      </c>
      <c r="Z1256" s="735">
        <f t="shared" si="808"/>
        <v>2000.1</v>
      </c>
      <c r="AA1256" s="735">
        <v>1000</v>
      </c>
      <c r="AB1256" s="735">
        <v>0</v>
      </c>
      <c r="AC1256" s="735">
        <f t="shared" si="832"/>
        <v>1000</v>
      </c>
      <c r="AD1256" s="735">
        <f t="shared" si="833"/>
        <v>25001.199999999997</v>
      </c>
      <c r="AE1256" s="735">
        <f t="shared" si="834"/>
        <v>25001.199999999997</v>
      </c>
      <c r="AF1256" s="735">
        <f t="shared" si="835"/>
        <v>-22051.1</v>
      </c>
      <c r="AG1256" s="828">
        <f t="shared" si="835"/>
        <v>-24001.199999999997</v>
      </c>
      <c r="AH1256" s="711">
        <v>1</v>
      </c>
      <c r="AI1256" s="735">
        <v>40001.199999999997</v>
      </c>
    </row>
    <row r="1257" spans="1:35" x14ac:dyDescent="0.2">
      <c r="A1257" s="60" t="s">
        <v>840</v>
      </c>
      <c r="B1257" s="711">
        <v>1</v>
      </c>
      <c r="C1257" s="735">
        <v>2000.1</v>
      </c>
      <c r="D1257" s="735">
        <v>0</v>
      </c>
      <c r="E1257" s="735">
        <v>0</v>
      </c>
      <c r="F1257" s="735">
        <v>0</v>
      </c>
      <c r="G1257" s="735">
        <v>0</v>
      </c>
      <c r="H1257" s="735">
        <v>0</v>
      </c>
      <c r="I1257" s="735">
        <v>0</v>
      </c>
      <c r="J1257" s="735">
        <v>890</v>
      </c>
      <c r="K1257" s="735">
        <f t="shared" si="790"/>
        <v>2890.1</v>
      </c>
      <c r="L1257" s="735">
        <v>1000</v>
      </c>
      <c r="M1257" s="735">
        <v>0</v>
      </c>
      <c r="N1257" s="735">
        <f t="shared" si="805"/>
        <v>1000</v>
      </c>
      <c r="O1257" s="735">
        <f t="shared" si="830"/>
        <v>35681.199999999997</v>
      </c>
      <c r="P1257" s="735">
        <f t="shared" si="831"/>
        <v>35681.199999999997</v>
      </c>
      <c r="Q1257" s="711">
        <v>1</v>
      </c>
      <c r="R1257" s="735">
        <v>2000.1</v>
      </c>
      <c r="S1257" s="735">
        <v>0</v>
      </c>
      <c r="T1257" s="735">
        <v>0</v>
      </c>
      <c r="U1257" s="735">
        <v>0</v>
      </c>
      <c r="V1257" s="735">
        <v>0</v>
      </c>
      <c r="W1257" s="735">
        <v>0</v>
      </c>
      <c r="X1257" s="735">
        <v>0</v>
      </c>
      <c r="Y1257" s="735">
        <v>0</v>
      </c>
      <c r="Z1257" s="735">
        <f t="shared" si="808"/>
        <v>2000.1</v>
      </c>
      <c r="AA1257" s="735">
        <v>1000</v>
      </c>
      <c r="AB1257" s="735">
        <v>0</v>
      </c>
      <c r="AC1257" s="735">
        <f t="shared" si="832"/>
        <v>1000</v>
      </c>
      <c r="AD1257" s="735">
        <f t="shared" si="833"/>
        <v>25001.199999999997</v>
      </c>
      <c r="AE1257" s="735">
        <f t="shared" si="834"/>
        <v>25001.199999999997</v>
      </c>
      <c r="AF1257" s="735">
        <f t="shared" si="835"/>
        <v>-22111.1</v>
      </c>
      <c r="AG1257" s="828">
        <f t="shared" si="835"/>
        <v>-24001.199999999997</v>
      </c>
      <c r="AH1257" s="711">
        <v>1</v>
      </c>
      <c r="AI1257" s="735">
        <v>39281.199999999997</v>
      </c>
    </row>
    <row r="1258" spans="1:35" x14ac:dyDescent="0.2">
      <c r="A1258" s="877" t="s">
        <v>840</v>
      </c>
      <c r="B1258" s="829">
        <v>1</v>
      </c>
      <c r="C1258" s="830">
        <v>2000.1</v>
      </c>
      <c r="D1258" s="830">
        <v>0</v>
      </c>
      <c r="E1258" s="830">
        <v>0</v>
      </c>
      <c r="F1258" s="830">
        <v>0</v>
      </c>
      <c r="G1258" s="830">
        <v>0</v>
      </c>
      <c r="H1258" s="830">
        <v>0</v>
      </c>
      <c r="I1258" s="830">
        <v>0</v>
      </c>
      <c r="J1258" s="830">
        <v>250</v>
      </c>
      <c r="K1258" s="830">
        <f t="shared" si="790"/>
        <v>2250.1</v>
      </c>
      <c r="L1258" s="830">
        <v>1000</v>
      </c>
      <c r="M1258" s="830">
        <v>0</v>
      </c>
      <c r="N1258" s="830">
        <f t="shared" si="805"/>
        <v>1000</v>
      </c>
      <c r="O1258" s="830">
        <f t="shared" si="830"/>
        <v>28001.199999999997</v>
      </c>
      <c r="P1258" s="830">
        <f t="shared" si="831"/>
        <v>28001.199999999997</v>
      </c>
      <c r="Q1258" s="829">
        <v>1</v>
      </c>
      <c r="R1258" s="830">
        <v>2000.1</v>
      </c>
      <c r="S1258" s="830">
        <v>0</v>
      </c>
      <c r="T1258" s="830">
        <v>0</v>
      </c>
      <c r="U1258" s="830">
        <v>0</v>
      </c>
      <c r="V1258" s="830">
        <v>0</v>
      </c>
      <c r="W1258" s="830">
        <v>0</v>
      </c>
      <c r="X1258" s="830">
        <v>0</v>
      </c>
      <c r="Y1258" s="830">
        <v>0</v>
      </c>
      <c r="Z1258" s="830">
        <f t="shared" si="808"/>
        <v>2000.1</v>
      </c>
      <c r="AA1258" s="830">
        <v>1000</v>
      </c>
      <c r="AB1258" s="830">
        <v>0</v>
      </c>
      <c r="AC1258" s="830">
        <f t="shared" si="832"/>
        <v>1000</v>
      </c>
      <c r="AD1258" s="830">
        <f t="shared" si="833"/>
        <v>25001.199999999997</v>
      </c>
      <c r="AE1258" s="830">
        <f t="shared" si="834"/>
        <v>25001.199999999997</v>
      </c>
      <c r="AF1258" s="830">
        <f t="shared" si="835"/>
        <v>-22751.1</v>
      </c>
      <c r="AG1258" s="831">
        <f t="shared" si="835"/>
        <v>-24001.199999999997</v>
      </c>
      <c r="AH1258" s="829">
        <v>1</v>
      </c>
      <c r="AI1258" s="830">
        <v>31601.199999999997</v>
      </c>
    </row>
    <row r="1259" spans="1:35" x14ac:dyDescent="0.2">
      <c r="A1259" s="875" t="s">
        <v>841</v>
      </c>
      <c r="B1259" s="722"/>
      <c r="C1259" s="784"/>
      <c r="D1259" s="784"/>
      <c r="E1259" s="784"/>
      <c r="F1259" s="784"/>
      <c r="G1259" s="784"/>
      <c r="H1259" s="784"/>
      <c r="I1259" s="784"/>
      <c r="J1259" s="784"/>
      <c r="K1259" s="784"/>
      <c r="L1259" s="784"/>
      <c r="M1259" s="784"/>
      <c r="N1259" s="784"/>
      <c r="O1259" s="784"/>
      <c r="P1259" s="784"/>
      <c r="Q1259" s="722"/>
      <c r="R1259" s="784"/>
      <c r="S1259" s="784"/>
      <c r="T1259" s="784"/>
      <c r="U1259" s="784"/>
      <c r="V1259" s="784"/>
      <c r="W1259" s="784"/>
      <c r="X1259" s="784"/>
      <c r="Y1259" s="784"/>
      <c r="Z1259" s="784"/>
      <c r="AA1259" s="784"/>
      <c r="AB1259" s="784"/>
      <c r="AC1259" s="784"/>
      <c r="AD1259" s="784"/>
      <c r="AE1259" s="784"/>
      <c r="AF1259" s="784"/>
      <c r="AG1259" s="722"/>
      <c r="AH1259" s="722"/>
      <c r="AI1259" s="784"/>
    </row>
    <row r="1260" spans="1:35" x14ac:dyDescent="0.2">
      <c r="A1260" s="877" t="s">
        <v>842</v>
      </c>
      <c r="B1260" s="829">
        <v>1</v>
      </c>
      <c r="C1260" s="830">
        <v>2400.12</v>
      </c>
      <c r="D1260" s="830">
        <v>0</v>
      </c>
      <c r="E1260" s="830">
        <v>0</v>
      </c>
      <c r="F1260" s="830">
        <v>0</v>
      </c>
      <c r="G1260" s="830">
        <v>0</v>
      </c>
      <c r="H1260" s="830">
        <v>0</v>
      </c>
      <c r="I1260" s="830">
        <v>0</v>
      </c>
      <c r="J1260" s="830">
        <v>650</v>
      </c>
      <c r="K1260" s="830">
        <f t="shared" si="790"/>
        <v>3050.12</v>
      </c>
      <c r="L1260" s="830">
        <v>1000</v>
      </c>
      <c r="M1260" s="830">
        <v>0</v>
      </c>
      <c r="N1260" s="830">
        <f t="shared" si="805"/>
        <v>1000</v>
      </c>
      <c r="O1260" s="830">
        <f t="shared" ref="O1260:O1267" si="836">+K1260*12+N1260</f>
        <v>37601.440000000002</v>
      </c>
      <c r="P1260" s="830">
        <f t="shared" ref="P1260:P1267" si="837">+O1260*B1260</f>
        <v>37601.440000000002</v>
      </c>
      <c r="Q1260" s="829">
        <v>1</v>
      </c>
      <c r="R1260" s="830">
        <v>2400.12</v>
      </c>
      <c r="S1260" s="830">
        <v>0</v>
      </c>
      <c r="T1260" s="830">
        <v>0</v>
      </c>
      <c r="U1260" s="830">
        <v>0</v>
      </c>
      <c r="V1260" s="830">
        <v>0</v>
      </c>
      <c r="W1260" s="830">
        <v>0</v>
      </c>
      <c r="X1260" s="830">
        <v>0</v>
      </c>
      <c r="Y1260" s="830">
        <v>0</v>
      </c>
      <c r="Z1260" s="735">
        <f t="shared" si="808"/>
        <v>2400.12</v>
      </c>
      <c r="AA1260" s="830">
        <v>1000</v>
      </c>
      <c r="AB1260" s="830">
        <v>0</v>
      </c>
      <c r="AC1260" s="830">
        <f t="shared" ref="AC1260:AC1267" si="838">SUM(AA1260:AB1260)</f>
        <v>1000</v>
      </c>
      <c r="AD1260" s="830">
        <f t="shared" ref="AD1260:AD1267" si="839">+Z1260*12+AC1260</f>
        <v>29801.439999999999</v>
      </c>
      <c r="AE1260" s="830">
        <f t="shared" ref="AE1260:AE1267" si="840">+AD1260*Q1260</f>
        <v>29801.439999999999</v>
      </c>
      <c r="AF1260" s="735">
        <f t="shared" ref="AF1260:AG1267" si="841">+K1260-AD1260</f>
        <v>-26751.32</v>
      </c>
      <c r="AG1260" s="828">
        <f t="shared" si="841"/>
        <v>-28801.439999999999</v>
      </c>
      <c r="AH1260" s="829">
        <v>1</v>
      </c>
      <c r="AI1260" s="735">
        <v>44681.56</v>
      </c>
    </row>
    <row r="1261" spans="1:35" x14ac:dyDescent="0.2">
      <c r="A1261" s="60" t="s">
        <v>839</v>
      </c>
      <c r="B1261" s="711">
        <v>1</v>
      </c>
      <c r="C1261" s="735">
        <v>2400.12</v>
      </c>
      <c r="D1261" s="735">
        <v>0</v>
      </c>
      <c r="E1261" s="735">
        <v>0</v>
      </c>
      <c r="F1261" s="735">
        <v>0</v>
      </c>
      <c r="G1261" s="735">
        <v>0</v>
      </c>
      <c r="H1261" s="735">
        <v>0</v>
      </c>
      <c r="I1261" s="735">
        <v>0</v>
      </c>
      <c r="J1261" s="735">
        <v>250</v>
      </c>
      <c r="K1261" s="735">
        <f t="shared" si="790"/>
        <v>2650.12</v>
      </c>
      <c r="L1261" s="735">
        <v>1000</v>
      </c>
      <c r="M1261" s="735">
        <v>0</v>
      </c>
      <c r="N1261" s="735">
        <f t="shared" si="805"/>
        <v>1000</v>
      </c>
      <c r="O1261" s="735">
        <f t="shared" si="836"/>
        <v>32801.440000000002</v>
      </c>
      <c r="P1261" s="735">
        <f t="shared" si="837"/>
        <v>32801.440000000002</v>
      </c>
      <c r="Q1261" s="711">
        <v>1</v>
      </c>
      <c r="R1261" s="735">
        <v>2400.12</v>
      </c>
      <c r="S1261" s="735">
        <v>0</v>
      </c>
      <c r="T1261" s="735">
        <v>0</v>
      </c>
      <c r="U1261" s="735">
        <v>0</v>
      </c>
      <c r="V1261" s="735">
        <v>0</v>
      </c>
      <c r="W1261" s="735">
        <v>0</v>
      </c>
      <c r="X1261" s="735">
        <v>0</v>
      </c>
      <c r="Y1261" s="735">
        <v>0</v>
      </c>
      <c r="Z1261" s="735">
        <f t="shared" si="808"/>
        <v>2400.12</v>
      </c>
      <c r="AA1261" s="735">
        <v>1000</v>
      </c>
      <c r="AB1261" s="735">
        <v>0</v>
      </c>
      <c r="AC1261" s="735">
        <f t="shared" si="838"/>
        <v>1000</v>
      </c>
      <c r="AD1261" s="735">
        <f t="shared" si="839"/>
        <v>29801.439999999999</v>
      </c>
      <c r="AE1261" s="735">
        <f t="shared" si="840"/>
        <v>29801.439999999999</v>
      </c>
      <c r="AF1261" s="735">
        <f t="shared" si="841"/>
        <v>-27151.32</v>
      </c>
      <c r="AG1261" s="828">
        <f t="shared" si="841"/>
        <v>-28801.439999999999</v>
      </c>
      <c r="AH1261" s="711">
        <v>1</v>
      </c>
      <c r="AI1261" s="735">
        <v>37121.440000000002</v>
      </c>
    </row>
    <row r="1262" spans="1:35" x14ac:dyDescent="0.2">
      <c r="A1262" s="60" t="s">
        <v>839</v>
      </c>
      <c r="B1262" s="711">
        <v>1</v>
      </c>
      <c r="C1262" s="735">
        <v>2400.12</v>
      </c>
      <c r="D1262" s="735">
        <v>0</v>
      </c>
      <c r="E1262" s="735">
        <v>0</v>
      </c>
      <c r="F1262" s="735">
        <v>0</v>
      </c>
      <c r="G1262" s="735">
        <v>0</v>
      </c>
      <c r="H1262" s="735">
        <v>0</v>
      </c>
      <c r="I1262" s="735">
        <v>0</v>
      </c>
      <c r="J1262" s="735">
        <v>650</v>
      </c>
      <c r="K1262" s="735">
        <f t="shared" si="790"/>
        <v>3050.12</v>
      </c>
      <c r="L1262" s="735">
        <v>1000</v>
      </c>
      <c r="M1262" s="735">
        <v>0</v>
      </c>
      <c r="N1262" s="735">
        <f t="shared" si="805"/>
        <v>1000</v>
      </c>
      <c r="O1262" s="735">
        <f t="shared" si="836"/>
        <v>37601.440000000002</v>
      </c>
      <c r="P1262" s="735">
        <f t="shared" si="837"/>
        <v>37601.440000000002</v>
      </c>
      <c r="Q1262" s="711">
        <v>1</v>
      </c>
      <c r="R1262" s="735">
        <v>2400.12</v>
      </c>
      <c r="S1262" s="735">
        <v>0</v>
      </c>
      <c r="T1262" s="735">
        <v>0</v>
      </c>
      <c r="U1262" s="735">
        <v>0</v>
      </c>
      <c r="V1262" s="735">
        <v>0</v>
      </c>
      <c r="W1262" s="735">
        <v>0</v>
      </c>
      <c r="X1262" s="735">
        <v>0</v>
      </c>
      <c r="Y1262" s="735">
        <v>0</v>
      </c>
      <c r="Z1262" s="735">
        <f t="shared" si="808"/>
        <v>2400.12</v>
      </c>
      <c r="AA1262" s="735">
        <v>1000</v>
      </c>
      <c r="AB1262" s="735">
        <v>0</v>
      </c>
      <c r="AC1262" s="735">
        <f t="shared" si="838"/>
        <v>1000</v>
      </c>
      <c r="AD1262" s="735">
        <f t="shared" si="839"/>
        <v>29801.439999999999</v>
      </c>
      <c r="AE1262" s="735">
        <f t="shared" si="840"/>
        <v>29801.439999999999</v>
      </c>
      <c r="AF1262" s="735">
        <f t="shared" si="841"/>
        <v>-26751.32</v>
      </c>
      <c r="AG1262" s="828">
        <f t="shared" si="841"/>
        <v>-28801.439999999999</v>
      </c>
      <c r="AH1262" s="711">
        <v>1</v>
      </c>
      <c r="AI1262" s="735">
        <v>41921.440000000002</v>
      </c>
    </row>
    <row r="1263" spans="1:35" x14ac:dyDescent="0.2">
      <c r="A1263" s="60" t="s">
        <v>839</v>
      </c>
      <c r="B1263" s="711">
        <v>1</v>
      </c>
      <c r="C1263" s="735">
        <v>2400.12</v>
      </c>
      <c r="D1263" s="735">
        <v>0</v>
      </c>
      <c r="E1263" s="735">
        <v>0</v>
      </c>
      <c r="F1263" s="735">
        <v>0</v>
      </c>
      <c r="G1263" s="735">
        <v>0</v>
      </c>
      <c r="H1263" s="735">
        <v>0</v>
      </c>
      <c r="I1263" s="735">
        <v>0</v>
      </c>
      <c r="J1263" s="735">
        <v>600</v>
      </c>
      <c r="K1263" s="735">
        <f t="shared" si="790"/>
        <v>3000.12</v>
      </c>
      <c r="L1263" s="735">
        <v>1000</v>
      </c>
      <c r="M1263" s="735">
        <v>0</v>
      </c>
      <c r="N1263" s="735">
        <f t="shared" si="805"/>
        <v>1000</v>
      </c>
      <c r="O1263" s="735">
        <f t="shared" si="836"/>
        <v>37001.440000000002</v>
      </c>
      <c r="P1263" s="735">
        <f t="shared" si="837"/>
        <v>37001.440000000002</v>
      </c>
      <c r="Q1263" s="711">
        <v>1</v>
      </c>
      <c r="R1263" s="735">
        <v>2400.12</v>
      </c>
      <c r="S1263" s="735">
        <v>0</v>
      </c>
      <c r="T1263" s="735">
        <v>0</v>
      </c>
      <c r="U1263" s="735">
        <v>0</v>
      </c>
      <c r="V1263" s="735">
        <v>0</v>
      </c>
      <c r="W1263" s="735">
        <v>0</v>
      </c>
      <c r="X1263" s="735">
        <v>0</v>
      </c>
      <c r="Y1263" s="735">
        <v>0</v>
      </c>
      <c r="Z1263" s="735">
        <f t="shared" si="808"/>
        <v>2400.12</v>
      </c>
      <c r="AA1263" s="735">
        <v>1000</v>
      </c>
      <c r="AB1263" s="735">
        <v>0</v>
      </c>
      <c r="AC1263" s="735">
        <f t="shared" si="838"/>
        <v>1000</v>
      </c>
      <c r="AD1263" s="735">
        <f t="shared" si="839"/>
        <v>29801.439999999999</v>
      </c>
      <c r="AE1263" s="735">
        <f t="shared" si="840"/>
        <v>29801.439999999999</v>
      </c>
      <c r="AF1263" s="735">
        <f t="shared" si="841"/>
        <v>-26801.32</v>
      </c>
      <c r="AG1263" s="828">
        <f t="shared" si="841"/>
        <v>-28801.439999999999</v>
      </c>
      <c r="AH1263" s="711">
        <v>1</v>
      </c>
      <c r="AI1263" s="735">
        <v>41321.440000000002</v>
      </c>
    </row>
    <row r="1264" spans="1:35" x14ac:dyDescent="0.2">
      <c r="A1264" s="60" t="s">
        <v>837</v>
      </c>
      <c r="B1264" s="711">
        <v>8</v>
      </c>
      <c r="C1264" s="735">
        <v>2200.11</v>
      </c>
      <c r="D1264" s="735">
        <v>0</v>
      </c>
      <c r="E1264" s="735">
        <v>0</v>
      </c>
      <c r="F1264" s="735">
        <v>0</v>
      </c>
      <c r="G1264" s="735">
        <v>0</v>
      </c>
      <c r="H1264" s="735">
        <v>0</v>
      </c>
      <c r="I1264" s="735">
        <v>0</v>
      </c>
      <c r="J1264" s="735">
        <v>650</v>
      </c>
      <c r="K1264" s="735">
        <f t="shared" si="790"/>
        <v>2850.11</v>
      </c>
      <c r="L1264" s="735">
        <v>1000</v>
      </c>
      <c r="M1264" s="735">
        <v>0</v>
      </c>
      <c r="N1264" s="735">
        <f t="shared" si="805"/>
        <v>1000</v>
      </c>
      <c r="O1264" s="735">
        <f t="shared" si="836"/>
        <v>35201.32</v>
      </c>
      <c r="P1264" s="735">
        <f t="shared" si="837"/>
        <v>281610.56</v>
      </c>
      <c r="Q1264" s="711">
        <v>8</v>
      </c>
      <c r="R1264" s="735">
        <v>2200.11</v>
      </c>
      <c r="S1264" s="735">
        <v>0</v>
      </c>
      <c r="T1264" s="735">
        <v>0</v>
      </c>
      <c r="U1264" s="735">
        <v>0</v>
      </c>
      <c r="V1264" s="735">
        <v>0</v>
      </c>
      <c r="W1264" s="735">
        <v>0</v>
      </c>
      <c r="X1264" s="735">
        <v>0</v>
      </c>
      <c r="Y1264" s="735">
        <v>0</v>
      </c>
      <c r="Z1264" s="735">
        <f t="shared" si="808"/>
        <v>2200.11</v>
      </c>
      <c r="AA1264" s="735">
        <v>1000</v>
      </c>
      <c r="AB1264" s="735">
        <v>0</v>
      </c>
      <c r="AC1264" s="735">
        <f t="shared" si="838"/>
        <v>1000</v>
      </c>
      <c r="AD1264" s="735">
        <f t="shared" si="839"/>
        <v>27401.32</v>
      </c>
      <c r="AE1264" s="735">
        <f t="shared" si="840"/>
        <v>219210.56</v>
      </c>
      <c r="AF1264" s="735">
        <f t="shared" si="841"/>
        <v>-24551.21</v>
      </c>
      <c r="AG1264" s="828">
        <f t="shared" si="841"/>
        <v>-218210.56</v>
      </c>
      <c r="AH1264" s="711">
        <v>8</v>
      </c>
      <c r="AI1264" s="735">
        <v>313290.56</v>
      </c>
    </row>
    <row r="1265" spans="1:35" x14ac:dyDescent="0.2">
      <c r="A1265" s="60" t="s">
        <v>837</v>
      </c>
      <c r="B1265" s="711">
        <v>3</v>
      </c>
      <c r="C1265" s="735">
        <v>2200.11</v>
      </c>
      <c r="D1265" s="735">
        <v>0</v>
      </c>
      <c r="E1265" s="735">
        <v>0</v>
      </c>
      <c r="F1265" s="735">
        <v>0</v>
      </c>
      <c r="G1265" s="735">
        <v>0</v>
      </c>
      <c r="H1265" s="735">
        <v>0</v>
      </c>
      <c r="I1265" s="735">
        <v>0</v>
      </c>
      <c r="J1265" s="735">
        <v>250</v>
      </c>
      <c r="K1265" s="735">
        <f t="shared" si="790"/>
        <v>2450.11</v>
      </c>
      <c r="L1265" s="735">
        <v>1000</v>
      </c>
      <c r="M1265" s="735">
        <v>0</v>
      </c>
      <c r="N1265" s="735">
        <f t="shared" si="805"/>
        <v>1000</v>
      </c>
      <c r="O1265" s="735">
        <f t="shared" si="836"/>
        <v>30401.32</v>
      </c>
      <c r="P1265" s="735">
        <f t="shared" si="837"/>
        <v>91203.959999999992</v>
      </c>
      <c r="Q1265" s="711">
        <v>3</v>
      </c>
      <c r="R1265" s="735">
        <v>2200.11</v>
      </c>
      <c r="S1265" s="735">
        <v>0</v>
      </c>
      <c r="T1265" s="735">
        <v>0</v>
      </c>
      <c r="U1265" s="735">
        <v>0</v>
      </c>
      <c r="V1265" s="735">
        <v>0</v>
      </c>
      <c r="W1265" s="735">
        <v>0</v>
      </c>
      <c r="X1265" s="735">
        <v>0</v>
      </c>
      <c r="Y1265" s="735">
        <v>0</v>
      </c>
      <c r="Z1265" s="735">
        <f t="shared" si="808"/>
        <v>2200.11</v>
      </c>
      <c r="AA1265" s="735">
        <v>1000</v>
      </c>
      <c r="AB1265" s="735">
        <v>0</v>
      </c>
      <c r="AC1265" s="735">
        <f t="shared" si="838"/>
        <v>1000</v>
      </c>
      <c r="AD1265" s="735">
        <f t="shared" si="839"/>
        <v>27401.32</v>
      </c>
      <c r="AE1265" s="735">
        <f t="shared" si="840"/>
        <v>82203.959999999992</v>
      </c>
      <c r="AF1265" s="735">
        <f t="shared" si="841"/>
        <v>-24951.21</v>
      </c>
      <c r="AG1265" s="828">
        <f t="shared" si="841"/>
        <v>-81203.959999999992</v>
      </c>
      <c r="AH1265" s="711">
        <v>3</v>
      </c>
      <c r="AI1265" s="735">
        <v>103083.95999999999</v>
      </c>
    </row>
    <row r="1266" spans="1:35" x14ac:dyDescent="0.2">
      <c r="A1266" s="60" t="s">
        <v>840</v>
      </c>
      <c r="B1266" s="711">
        <v>1</v>
      </c>
      <c r="C1266" s="735">
        <v>2000.1</v>
      </c>
      <c r="D1266" s="735">
        <v>0</v>
      </c>
      <c r="E1266" s="735">
        <v>0</v>
      </c>
      <c r="F1266" s="735">
        <v>0</v>
      </c>
      <c r="G1266" s="735">
        <v>0</v>
      </c>
      <c r="H1266" s="735">
        <v>0</v>
      </c>
      <c r="I1266" s="735">
        <v>0</v>
      </c>
      <c r="J1266" s="735">
        <v>650</v>
      </c>
      <c r="K1266" s="735">
        <f t="shared" si="790"/>
        <v>2650.1</v>
      </c>
      <c r="L1266" s="735">
        <v>1000</v>
      </c>
      <c r="M1266" s="735">
        <v>0</v>
      </c>
      <c r="N1266" s="735">
        <f t="shared" si="805"/>
        <v>1000</v>
      </c>
      <c r="O1266" s="735">
        <f t="shared" si="836"/>
        <v>32801.199999999997</v>
      </c>
      <c r="P1266" s="735">
        <f t="shared" si="837"/>
        <v>32801.199999999997</v>
      </c>
      <c r="Q1266" s="711">
        <v>1</v>
      </c>
      <c r="R1266" s="735">
        <v>2000.1</v>
      </c>
      <c r="S1266" s="735">
        <v>0</v>
      </c>
      <c r="T1266" s="735">
        <v>0</v>
      </c>
      <c r="U1266" s="735">
        <v>0</v>
      </c>
      <c r="V1266" s="735">
        <v>0</v>
      </c>
      <c r="W1266" s="735">
        <v>0</v>
      </c>
      <c r="X1266" s="735">
        <v>0</v>
      </c>
      <c r="Y1266" s="735">
        <v>0</v>
      </c>
      <c r="Z1266" s="735">
        <f t="shared" si="808"/>
        <v>2000.1</v>
      </c>
      <c r="AA1266" s="735">
        <v>1000</v>
      </c>
      <c r="AB1266" s="735">
        <v>0</v>
      </c>
      <c r="AC1266" s="735">
        <f t="shared" si="838"/>
        <v>1000</v>
      </c>
      <c r="AD1266" s="735">
        <f t="shared" si="839"/>
        <v>25001.199999999997</v>
      </c>
      <c r="AE1266" s="735">
        <f t="shared" si="840"/>
        <v>25001.199999999997</v>
      </c>
      <c r="AF1266" s="735">
        <f t="shared" si="841"/>
        <v>-22351.1</v>
      </c>
      <c r="AG1266" s="828">
        <f t="shared" si="841"/>
        <v>-24001.199999999997</v>
      </c>
      <c r="AH1266" s="711">
        <v>1</v>
      </c>
      <c r="AI1266" s="735">
        <v>36401.199999999997</v>
      </c>
    </row>
    <row r="1267" spans="1:35" ht="24" x14ac:dyDescent="0.2">
      <c r="A1267" s="60" t="s">
        <v>843</v>
      </c>
      <c r="B1267" s="711">
        <v>1</v>
      </c>
      <c r="C1267" s="735">
        <v>1430</v>
      </c>
      <c r="D1267" s="735">
        <v>0</v>
      </c>
      <c r="E1267" s="735">
        <v>0</v>
      </c>
      <c r="F1267" s="735">
        <v>0</v>
      </c>
      <c r="G1267" s="735">
        <v>0</v>
      </c>
      <c r="H1267" s="735">
        <v>0</v>
      </c>
      <c r="I1267" s="735">
        <v>0</v>
      </c>
      <c r="J1267" s="735">
        <v>250</v>
      </c>
      <c r="K1267" s="735">
        <f t="shared" si="790"/>
        <v>1680</v>
      </c>
      <c r="L1267" s="735">
        <v>1000</v>
      </c>
      <c r="M1267" s="735">
        <v>0</v>
      </c>
      <c r="N1267" s="735">
        <f t="shared" si="805"/>
        <v>1000</v>
      </c>
      <c r="O1267" s="735">
        <f t="shared" si="836"/>
        <v>21160</v>
      </c>
      <c r="P1267" s="735">
        <f t="shared" si="837"/>
        <v>21160</v>
      </c>
      <c r="Q1267" s="711">
        <v>1</v>
      </c>
      <c r="R1267" s="735">
        <v>1430</v>
      </c>
      <c r="S1267" s="735">
        <v>0</v>
      </c>
      <c r="T1267" s="735">
        <v>0</v>
      </c>
      <c r="U1267" s="735">
        <v>0</v>
      </c>
      <c r="V1267" s="735">
        <v>0</v>
      </c>
      <c r="W1267" s="735">
        <v>0</v>
      </c>
      <c r="X1267" s="735">
        <v>0</v>
      </c>
      <c r="Y1267" s="735">
        <v>0</v>
      </c>
      <c r="Z1267" s="735">
        <f t="shared" si="808"/>
        <v>1430</v>
      </c>
      <c r="AA1267" s="735">
        <v>1000</v>
      </c>
      <c r="AB1267" s="735">
        <v>0</v>
      </c>
      <c r="AC1267" s="735">
        <f t="shared" si="838"/>
        <v>1000</v>
      </c>
      <c r="AD1267" s="735">
        <f t="shared" si="839"/>
        <v>18160</v>
      </c>
      <c r="AE1267" s="735">
        <f t="shared" si="840"/>
        <v>18160</v>
      </c>
      <c r="AF1267" s="735">
        <f t="shared" si="841"/>
        <v>-16480</v>
      </c>
      <c r="AG1267" s="828">
        <f t="shared" si="841"/>
        <v>-17160</v>
      </c>
      <c r="AH1267" s="711">
        <v>1</v>
      </c>
      <c r="AI1267" s="735">
        <v>21160</v>
      </c>
    </row>
    <row r="1268" spans="1:35" x14ac:dyDescent="0.2">
      <c r="A1268" s="875" t="s">
        <v>844</v>
      </c>
      <c r="B1268" s="722"/>
      <c r="C1268" s="784"/>
      <c r="D1268" s="784"/>
      <c r="E1268" s="784"/>
      <c r="F1268" s="784"/>
      <c r="G1268" s="784"/>
      <c r="H1268" s="784"/>
      <c r="I1268" s="784"/>
      <c r="J1268" s="784"/>
      <c r="K1268" s="784"/>
      <c r="L1268" s="784"/>
      <c r="M1268" s="784"/>
      <c r="N1268" s="784"/>
      <c r="O1268" s="784"/>
      <c r="P1268" s="784"/>
      <c r="Q1268" s="722"/>
      <c r="R1268" s="784"/>
      <c r="S1268" s="784"/>
      <c r="T1268" s="784"/>
      <c r="U1268" s="784"/>
      <c r="V1268" s="784"/>
      <c r="W1268" s="784"/>
      <c r="X1268" s="784"/>
      <c r="Y1268" s="784"/>
      <c r="Z1268" s="784"/>
      <c r="AA1268" s="784"/>
      <c r="AB1268" s="784"/>
      <c r="AC1268" s="784"/>
      <c r="AD1268" s="784"/>
      <c r="AE1268" s="784"/>
      <c r="AF1268" s="784"/>
      <c r="AG1268" s="722"/>
      <c r="AH1268" s="722"/>
      <c r="AI1268" s="784"/>
    </row>
    <row r="1269" spans="1:35" x14ac:dyDescent="0.2">
      <c r="A1269" s="60" t="s">
        <v>839</v>
      </c>
      <c r="B1269" s="711">
        <v>1</v>
      </c>
      <c r="C1269" s="735">
        <v>2400.12</v>
      </c>
      <c r="D1269" s="735">
        <v>0</v>
      </c>
      <c r="E1269" s="735">
        <v>0</v>
      </c>
      <c r="F1269" s="735">
        <v>0</v>
      </c>
      <c r="G1269" s="735">
        <v>0</v>
      </c>
      <c r="H1269" s="735">
        <v>0</v>
      </c>
      <c r="I1269" s="735">
        <v>0</v>
      </c>
      <c r="J1269" s="735">
        <v>200</v>
      </c>
      <c r="K1269" s="735">
        <f t="shared" si="790"/>
        <v>2600.12</v>
      </c>
      <c r="L1269" s="735">
        <v>1000</v>
      </c>
      <c r="M1269" s="735">
        <v>0</v>
      </c>
      <c r="N1269" s="735">
        <f t="shared" si="805"/>
        <v>1000</v>
      </c>
      <c r="O1269" s="735">
        <f t="shared" ref="O1269:O1270" si="842">+K1269*12+N1269</f>
        <v>32201.439999999999</v>
      </c>
      <c r="P1269" s="735">
        <f t="shared" ref="P1269:P1270" si="843">+O1269*B1269</f>
        <v>32201.439999999999</v>
      </c>
      <c r="Q1269" s="711">
        <v>1</v>
      </c>
      <c r="R1269" s="735">
        <v>2400.12</v>
      </c>
      <c r="S1269" s="735">
        <v>0</v>
      </c>
      <c r="T1269" s="735">
        <v>0</v>
      </c>
      <c r="U1269" s="735">
        <v>0</v>
      </c>
      <c r="V1269" s="735">
        <v>0</v>
      </c>
      <c r="W1269" s="735">
        <v>0</v>
      </c>
      <c r="X1269" s="735">
        <v>0</v>
      </c>
      <c r="Y1269" s="735">
        <v>0</v>
      </c>
      <c r="Z1269" s="735">
        <f t="shared" si="808"/>
        <v>2400.12</v>
      </c>
      <c r="AA1269" s="735">
        <v>1000</v>
      </c>
      <c r="AB1269" s="735">
        <v>0</v>
      </c>
      <c r="AC1269" s="735">
        <f t="shared" ref="AC1269:AC1270" si="844">SUM(AA1269:AB1269)</f>
        <v>1000</v>
      </c>
      <c r="AD1269" s="735">
        <f t="shared" ref="AD1269:AD1270" si="845">+Z1269*12+AC1269</f>
        <v>29801.439999999999</v>
      </c>
      <c r="AE1269" s="735">
        <f t="shared" ref="AE1269:AE1270" si="846">+AD1269*Q1269</f>
        <v>29801.439999999999</v>
      </c>
      <c r="AF1269" s="735">
        <f t="shared" ref="AF1269:AG1270" si="847">+K1269-AD1269</f>
        <v>-27201.32</v>
      </c>
      <c r="AG1269" s="828">
        <f t="shared" si="847"/>
        <v>-28801.439999999999</v>
      </c>
      <c r="AH1269" s="711">
        <v>1</v>
      </c>
      <c r="AI1269" s="735">
        <v>36521.440000000002</v>
      </c>
    </row>
    <row r="1270" spans="1:35" x14ac:dyDescent="0.2">
      <c r="A1270" s="60" t="s">
        <v>837</v>
      </c>
      <c r="B1270" s="711">
        <v>2</v>
      </c>
      <c r="C1270" s="735">
        <v>2200.11</v>
      </c>
      <c r="D1270" s="735">
        <v>0</v>
      </c>
      <c r="E1270" s="735">
        <v>0</v>
      </c>
      <c r="F1270" s="735">
        <v>0</v>
      </c>
      <c r="G1270" s="735">
        <v>0</v>
      </c>
      <c r="H1270" s="735">
        <v>0</v>
      </c>
      <c r="I1270" s="735">
        <v>0</v>
      </c>
      <c r="J1270" s="735">
        <v>200</v>
      </c>
      <c r="K1270" s="735">
        <f t="shared" si="790"/>
        <v>2400.11</v>
      </c>
      <c r="L1270" s="735">
        <v>1000</v>
      </c>
      <c r="M1270" s="735">
        <v>0</v>
      </c>
      <c r="N1270" s="735">
        <f t="shared" si="805"/>
        <v>1000</v>
      </c>
      <c r="O1270" s="735">
        <f t="shared" si="842"/>
        <v>29801.32</v>
      </c>
      <c r="P1270" s="735">
        <f t="shared" si="843"/>
        <v>59602.64</v>
      </c>
      <c r="Q1270" s="711">
        <v>2</v>
      </c>
      <c r="R1270" s="735">
        <v>2200.11</v>
      </c>
      <c r="S1270" s="735">
        <v>0</v>
      </c>
      <c r="T1270" s="735">
        <v>0</v>
      </c>
      <c r="U1270" s="735">
        <v>0</v>
      </c>
      <c r="V1270" s="735">
        <v>0</v>
      </c>
      <c r="W1270" s="735">
        <v>0</v>
      </c>
      <c r="X1270" s="735">
        <v>0</v>
      </c>
      <c r="Y1270" s="735">
        <v>0</v>
      </c>
      <c r="Z1270" s="735">
        <f t="shared" si="808"/>
        <v>2200.11</v>
      </c>
      <c r="AA1270" s="735">
        <v>1000</v>
      </c>
      <c r="AB1270" s="735">
        <v>0</v>
      </c>
      <c r="AC1270" s="735">
        <f t="shared" si="844"/>
        <v>1000</v>
      </c>
      <c r="AD1270" s="735">
        <f t="shared" si="845"/>
        <v>27401.32</v>
      </c>
      <c r="AE1270" s="735">
        <f t="shared" si="846"/>
        <v>54802.64</v>
      </c>
      <c r="AF1270" s="735">
        <f t="shared" si="847"/>
        <v>-25001.21</v>
      </c>
      <c r="AG1270" s="828">
        <f t="shared" si="847"/>
        <v>-53802.64</v>
      </c>
      <c r="AH1270" s="711">
        <v>2</v>
      </c>
      <c r="AI1270" s="735">
        <v>67522.64</v>
      </c>
    </row>
    <row r="1271" spans="1:35" x14ac:dyDescent="0.2">
      <c r="A1271" s="875" t="s">
        <v>845</v>
      </c>
      <c r="B1271" s="722"/>
      <c r="C1271" s="784"/>
      <c r="D1271" s="784"/>
      <c r="E1271" s="784"/>
      <c r="F1271" s="784"/>
      <c r="G1271" s="784"/>
      <c r="H1271" s="784"/>
      <c r="I1271" s="784"/>
      <c r="J1271" s="784"/>
      <c r="K1271" s="784"/>
      <c r="L1271" s="784"/>
      <c r="M1271" s="784"/>
      <c r="N1271" s="784"/>
      <c r="O1271" s="784"/>
      <c r="P1271" s="784"/>
      <c r="Q1271" s="722"/>
      <c r="R1271" s="784"/>
      <c r="S1271" s="784"/>
      <c r="T1271" s="784"/>
      <c r="U1271" s="784"/>
      <c r="V1271" s="784"/>
      <c r="W1271" s="784"/>
      <c r="X1271" s="784"/>
      <c r="Y1271" s="784"/>
      <c r="Z1271" s="784"/>
      <c r="AA1271" s="784"/>
      <c r="AB1271" s="784"/>
      <c r="AC1271" s="784"/>
      <c r="AD1271" s="784"/>
      <c r="AE1271" s="784"/>
      <c r="AF1271" s="784"/>
      <c r="AG1271" s="722"/>
      <c r="AH1271" s="722"/>
      <c r="AI1271" s="784"/>
    </row>
    <row r="1272" spans="1:35" x14ac:dyDescent="0.2">
      <c r="A1272" s="60" t="s">
        <v>846</v>
      </c>
      <c r="B1272" s="711">
        <v>1</v>
      </c>
      <c r="C1272" s="735">
        <v>2666.8</v>
      </c>
      <c r="D1272" s="735">
        <v>0</v>
      </c>
      <c r="E1272" s="735">
        <v>0</v>
      </c>
      <c r="F1272" s="735">
        <v>0</v>
      </c>
      <c r="G1272" s="735">
        <v>0</v>
      </c>
      <c r="H1272" s="735">
        <v>0</v>
      </c>
      <c r="I1272" s="735">
        <v>0</v>
      </c>
      <c r="J1272" s="735">
        <v>0</v>
      </c>
      <c r="K1272" s="735">
        <f t="shared" si="790"/>
        <v>2666.8</v>
      </c>
      <c r="L1272" s="735">
        <v>600</v>
      </c>
      <c r="M1272" s="735">
        <v>0</v>
      </c>
      <c r="N1272" s="735">
        <f t="shared" si="805"/>
        <v>600</v>
      </c>
      <c r="O1272" s="735">
        <f t="shared" ref="O1272:O1276" si="848">+K1272*12+N1272</f>
        <v>32601.600000000002</v>
      </c>
      <c r="P1272" s="735">
        <f t="shared" ref="P1272:P1276" si="849">+O1272*B1272</f>
        <v>32601.600000000002</v>
      </c>
      <c r="Q1272" s="711">
        <v>1</v>
      </c>
      <c r="R1272" s="735">
        <v>2666.8</v>
      </c>
      <c r="S1272" s="735">
        <v>0</v>
      </c>
      <c r="T1272" s="735">
        <v>0</v>
      </c>
      <c r="U1272" s="735">
        <v>0</v>
      </c>
      <c r="V1272" s="735">
        <v>0</v>
      </c>
      <c r="W1272" s="735">
        <v>0</v>
      </c>
      <c r="X1272" s="735">
        <v>0</v>
      </c>
      <c r="Y1272" s="735">
        <v>0</v>
      </c>
      <c r="Z1272" s="735">
        <f t="shared" si="808"/>
        <v>2666.8</v>
      </c>
      <c r="AA1272" s="735">
        <v>600</v>
      </c>
      <c r="AB1272" s="735">
        <v>0</v>
      </c>
      <c r="AC1272" s="735">
        <f t="shared" ref="AC1272:AC1276" si="850">SUM(AA1272:AB1272)</f>
        <v>600</v>
      </c>
      <c r="AD1272" s="735">
        <f t="shared" ref="AD1272:AD1276" si="851">+Z1272*12+AC1272</f>
        <v>32601.600000000002</v>
      </c>
      <c r="AE1272" s="735">
        <f t="shared" ref="AE1272:AE1276" si="852">+AD1272*Q1272</f>
        <v>32601.600000000002</v>
      </c>
      <c r="AF1272" s="735">
        <f t="shared" ref="AF1272:AG1276" si="853">+K1272-AD1272</f>
        <v>-29934.800000000003</v>
      </c>
      <c r="AG1272" s="828">
        <f t="shared" si="853"/>
        <v>-32001.600000000002</v>
      </c>
      <c r="AH1272" s="711">
        <v>1</v>
      </c>
      <c r="AI1272" s="735">
        <v>37401.600000000006</v>
      </c>
    </row>
    <row r="1273" spans="1:35" x14ac:dyDescent="0.2">
      <c r="A1273" s="60" t="s">
        <v>847</v>
      </c>
      <c r="B1273" s="711">
        <v>2</v>
      </c>
      <c r="C1273" s="735">
        <v>2000.1</v>
      </c>
      <c r="D1273" s="735">
        <v>0</v>
      </c>
      <c r="E1273" s="735">
        <v>0</v>
      </c>
      <c r="F1273" s="735">
        <v>0</v>
      </c>
      <c r="G1273" s="735">
        <v>0</v>
      </c>
      <c r="H1273" s="735">
        <v>0</v>
      </c>
      <c r="I1273" s="735">
        <v>0</v>
      </c>
      <c r="J1273" s="735">
        <v>200</v>
      </c>
      <c r="K1273" s="735">
        <f t="shared" si="790"/>
        <v>2200.1</v>
      </c>
      <c r="L1273" s="735">
        <v>600</v>
      </c>
      <c r="M1273" s="735">
        <v>0</v>
      </c>
      <c r="N1273" s="735">
        <f t="shared" si="805"/>
        <v>600</v>
      </c>
      <c r="O1273" s="735">
        <f t="shared" si="848"/>
        <v>27001.199999999997</v>
      </c>
      <c r="P1273" s="735">
        <f t="shared" si="849"/>
        <v>54002.399999999994</v>
      </c>
      <c r="Q1273" s="711">
        <v>2</v>
      </c>
      <c r="R1273" s="735">
        <v>2000.1</v>
      </c>
      <c r="S1273" s="735">
        <v>0</v>
      </c>
      <c r="T1273" s="735">
        <v>0</v>
      </c>
      <c r="U1273" s="735">
        <v>0</v>
      </c>
      <c r="V1273" s="735">
        <v>0</v>
      </c>
      <c r="W1273" s="735">
        <v>0</v>
      </c>
      <c r="X1273" s="735">
        <v>0</v>
      </c>
      <c r="Y1273" s="735">
        <v>0</v>
      </c>
      <c r="Z1273" s="735">
        <f t="shared" si="808"/>
        <v>2000.1</v>
      </c>
      <c r="AA1273" s="735">
        <v>600</v>
      </c>
      <c r="AB1273" s="735">
        <v>0</v>
      </c>
      <c r="AC1273" s="735">
        <f t="shared" si="850"/>
        <v>600</v>
      </c>
      <c r="AD1273" s="735">
        <f t="shared" si="851"/>
        <v>24601.199999999997</v>
      </c>
      <c r="AE1273" s="735">
        <f t="shared" si="852"/>
        <v>49202.399999999994</v>
      </c>
      <c r="AF1273" s="735">
        <f t="shared" si="853"/>
        <v>-22401.1</v>
      </c>
      <c r="AG1273" s="828">
        <f t="shared" si="853"/>
        <v>-48602.399999999994</v>
      </c>
      <c r="AH1273" s="711">
        <v>2</v>
      </c>
      <c r="AI1273" s="735">
        <v>61202.399999999994</v>
      </c>
    </row>
    <row r="1274" spans="1:35" x14ac:dyDescent="0.2">
      <c r="A1274" s="60" t="s">
        <v>847</v>
      </c>
      <c r="B1274" s="711">
        <v>2</v>
      </c>
      <c r="C1274" s="735">
        <v>2000.1</v>
      </c>
      <c r="D1274" s="735">
        <v>0</v>
      </c>
      <c r="E1274" s="735">
        <v>0</v>
      </c>
      <c r="F1274" s="735">
        <v>0</v>
      </c>
      <c r="G1274" s="735">
        <v>0</v>
      </c>
      <c r="H1274" s="735">
        <v>0</v>
      </c>
      <c r="I1274" s="735">
        <v>0</v>
      </c>
      <c r="J1274" s="735">
        <v>850</v>
      </c>
      <c r="K1274" s="735">
        <f t="shared" si="790"/>
        <v>2850.1</v>
      </c>
      <c r="L1274" s="735">
        <v>600</v>
      </c>
      <c r="M1274" s="735">
        <v>0</v>
      </c>
      <c r="N1274" s="735">
        <f t="shared" si="805"/>
        <v>600</v>
      </c>
      <c r="O1274" s="735">
        <f t="shared" si="848"/>
        <v>34801.199999999997</v>
      </c>
      <c r="P1274" s="735">
        <f t="shared" si="849"/>
        <v>69602.399999999994</v>
      </c>
      <c r="Q1274" s="711">
        <v>2</v>
      </c>
      <c r="R1274" s="735">
        <v>2000.1</v>
      </c>
      <c r="S1274" s="735">
        <v>0</v>
      </c>
      <c r="T1274" s="735">
        <v>0</v>
      </c>
      <c r="U1274" s="735">
        <v>0</v>
      </c>
      <c r="V1274" s="735">
        <v>0</v>
      </c>
      <c r="W1274" s="735">
        <v>0</v>
      </c>
      <c r="X1274" s="735">
        <v>0</v>
      </c>
      <c r="Y1274" s="735">
        <v>0</v>
      </c>
      <c r="Z1274" s="735">
        <f t="shared" si="808"/>
        <v>2000.1</v>
      </c>
      <c r="AA1274" s="735">
        <v>600</v>
      </c>
      <c r="AB1274" s="735">
        <v>0</v>
      </c>
      <c r="AC1274" s="735">
        <f t="shared" si="850"/>
        <v>600</v>
      </c>
      <c r="AD1274" s="735">
        <f t="shared" si="851"/>
        <v>24601.199999999997</v>
      </c>
      <c r="AE1274" s="735">
        <f t="shared" si="852"/>
        <v>49202.399999999994</v>
      </c>
      <c r="AF1274" s="735">
        <f t="shared" si="853"/>
        <v>-21751.1</v>
      </c>
      <c r="AG1274" s="828">
        <f t="shared" si="853"/>
        <v>-48602.399999999994</v>
      </c>
      <c r="AH1274" s="711">
        <v>2</v>
      </c>
      <c r="AI1274" s="735">
        <v>76802.399999999994</v>
      </c>
    </row>
    <row r="1275" spans="1:35" x14ac:dyDescent="0.2">
      <c r="A1275" s="60" t="s">
        <v>847</v>
      </c>
      <c r="B1275" s="711">
        <v>15</v>
      </c>
      <c r="C1275" s="735">
        <v>2000.1</v>
      </c>
      <c r="D1275" s="735">
        <v>0</v>
      </c>
      <c r="E1275" s="735">
        <v>0</v>
      </c>
      <c r="F1275" s="735">
        <v>0</v>
      </c>
      <c r="G1275" s="735">
        <v>0</v>
      </c>
      <c r="H1275" s="735">
        <v>0</v>
      </c>
      <c r="I1275" s="735">
        <v>0</v>
      </c>
      <c r="J1275" s="735">
        <v>950</v>
      </c>
      <c r="K1275" s="735">
        <f t="shared" si="790"/>
        <v>2950.1</v>
      </c>
      <c r="L1275" s="735">
        <v>600</v>
      </c>
      <c r="M1275" s="735">
        <v>0</v>
      </c>
      <c r="N1275" s="735">
        <f t="shared" si="805"/>
        <v>600</v>
      </c>
      <c r="O1275" s="735">
        <f t="shared" si="848"/>
        <v>36001.199999999997</v>
      </c>
      <c r="P1275" s="735">
        <f t="shared" si="849"/>
        <v>540018</v>
      </c>
      <c r="Q1275" s="711">
        <v>15</v>
      </c>
      <c r="R1275" s="735">
        <v>2000.1</v>
      </c>
      <c r="S1275" s="735">
        <v>0</v>
      </c>
      <c r="T1275" s="735">
        <v>0</v>
      </c>
      <c r="U1275" s="735">
        <v>0</v>
      </c>
      <c r="V1275" s="735">
        <v>0</v>
      </c>
      <c r="W1275" s="735">
        <v>0</v>
      </c>
      <c r="X1275" s="735">
        <v>0</v>
      </c>
      <c r="Y1275" s="735">
        <v>0</v>
      </c>
      <c r="Z1275" s="735">
        <f t="shared" si="808"/>
        <v>2000.1</v>
      </c>
      <c r="AA1275" s="735">
        <v>600</v>
      </c>
      <c r="AB1275" s="735">
        <v>0</v>
      </c>
      <c r="AC1275" s="735">
        <f t="shared" si="850"/>
        <v>600</v>
      </c>
      <c r="AD1275" s="735">
        <f t="shared" si="851"/>
        <v>24601.199999999997</v>
      </c>
      <c r="AE1275" s="735">
        <f t="shared" si="852"/>
        <v>369017.99999999994</v>
      </c>
      <c r="AF1275" s="735">
        <f t="shared" si="853"/>
        <v>-21651.1</v>
      </c>
      <c r="AG1275" s="828">
        <f t="shared" si="853"/>
        <v>-368417.99999999994</v>
      </c>
      <c r="AH1275" s="711">
        <v>15</v>
      </c>
      <c r="AI1275" s="735">
        <v>594018</v>
      </c>
    </row>
    <row r="1276" spans="1:35" ht="24" x14ac:dyDescent="0.2">
      <c r="A1276" s="60" t="s">
        <v>843</v>
      </c>
      <c r="B1276" s="711">
        <v>1</v>
      </c>
      <c r="C1276" s="735">
        <v>1330</v>
      </c>
      <c r="D1276" s="735">
        <v>0</v>
      </c>
      <c r="E1276" s="735">
        <v>0</v>
      </c>
      <c r="F1276" s="735">
        <v>0</v>
      </c>
      <c r="G1276" s="735">
        <v>0</v>
      </c>
      <c r="H1276" s="735">
        <v>0</v>
      </c>
      <c r="I1276" s="735">
        <v>0</v>
      </c>
      <c r="J1276" s="735">
        <v>200</v>
      </c>
      <c r="K1276" s="735">
        <f t="shared" si="790"/>
        <v>1530</v>
      </c>
      <c r="L1276" s="735">
        <v>600</v>
      </c>
      <c r="M1276" s="735">
        <v>0</v>
      </c>
      <c r="N1276" s="735">
        <f t="shared" si="805"/>
        <v>600</v>
      </c>
      <c r="O1276" s="735">
        <f t="shared" si="848"/>
        <v>18960</v>
      </c>
      <c r="P1276" s="735">
        <f t="shared" si="849"/>
        <v>18960</v>
      </c>
      <c r="Q1276" s="711">
        <v>1</v>
      </c>
      <c r="R1276" s="735">
        <v>1330</v>
      </c>
      <c r="S1276" s="735">
        <v>0</v>
      </c>
      <c r="T1276" s="735">
        <v>0</v>
      </c>
      <c r="U1276" s="735">
        <v>0</v>
      </c>
      <c r="V1276" s="735">
        <v>0</v>
      </c>
      <c r="W1276" s="735">
        <v>0</v>
      </c>
      <c r="X1276" s="735">
        <v>0</v>
      </c>
      <c r="Y1276" s="735">
        <v>0</v>
      </c>
      <c r="Z1276" s="735">
        <f t="shared" si="808"/>
        <v>1330</v>
      </c>
      <c r="AA1276" s="735">
        <v>600</v>
      </c>
      <c r="AB1276" s="735">
        <v>0</v>
      </c>
      <c r="AC1276" s="735">
        <f t="shared" si="850"/>
        <v>600</v>
      </c>
      <c r="AD1276" s="735">
        <f t="shared" si="851"/>
        <v>16560</v>
      </c>
      <c r="AE1276" s="735">
        <f t="shared" si="852"/>
        <v>16560</v>
      </c>
      <c r="AF1276" s="735">
        <f t="shared" si="853"/>
        <v>-15030</v>
      </c>
      <c r="AG1276" s="828">
        <f t="shared" si="853"/>
        <v>-15960</v>
      </c>
      <c r="AH1276" s="711">
        <v>1</v>
      </c>
      <c r="AI1276" s="735">
        <v>18960</v>
      </c>
    </row>
    <row r="1277" spans="1:35" x14ac:dyDescent="0.2">
      <c r="A1277" s="875" t="s">
        <v>848</v>
      </c>
      <c r="B1277" s="722"/>
      <c r="C1277" s="784"/>
      <c r="D1277" s="784"/>
      <c r="E1277" s="784"/>
      <c r="F1277" s="784"/>
      <c r="G1277" s="784"/>
      <c r="H1277" s="784"/>
      <c r="I1277" s="784"/>
      <c r="J1277" s="784"/>
      <c r="K1277" s="784"/>
      <c r="L1277" s="784"/>
      <c r="M1277" s="784"/>
      <c r="N1277" s="784"/>
      <c r="O1277" s="784"/>
      <c r="P1277" s="784"/>
      <c r="Q1277" s="722"/>
      <c r="R1277" s="784"/>
      <c r="S1277" s="784"/>
      <c r="T1277" s="784"/>
      <c r="U1277" s="784"/>
      <c r="V1277" s="784"/>
      <c r="W1277" s="784"/>
      <c r="X1277" s="784"/>
      <c r="Y1277" s="784"/>
      <c r="Z1277" s="784"/>
      <c r="AA1277" s="784"/>
      <c r="AB1277" s="784"/>
      <c r="AC1277" s="784"/>
      <c r="AD1277" s="784"/>
      <c r="AE1277" s="784"/>
      <c r="AF1277" s="784"/>
      <c r="AG1277" s="722"/>
      <c r="AH1277" s="722"/>
      <c r="AI1277" s="784"/>
    </row>
    <row r="1278" spans="1:35" x14ac:dyDescent="0.2">
      <c r="A1278" s="60" t="s">
        <v>847</v>
      </c>
      <c r="B1278" s="711">
        <v>5</v>
      </c>
      <c r="C1278" s="735">
        <v>2000.1</v>
      </c>
      <c r="D1278" s="735">
        <v>0</v>
      </c>
      <c r="E1278" s="735">
        <v>0</v>
      </c>
      <c r="F1278" s="735">
        <v>0</v>
      </c>
      <c r="G1278" s="735">
        <v>0</v>
      </c>
      <c r="H1278" s="735">
        <v>0</v>
      </c>
      <c r="I1278" s="735">
        <v>0</v>
      </c>
      <c r="J1278" s="735">
        <v>250</v>
      </c>
      <c r="K1278" s="735">
        <f t="shared" si="790"/>
        <v>2250.1</v>
      </c>
      <c r="L1278" s="735">
        <v>600</v>
      </c>
      <c r="M1278" s="735">
        <v>0</v>
      </c>
      <c r="N1278" s="735">
        <f t="shared" si="805"/>
        <v>600</v>
      </c>
      <c r="O1278" s="735">
        <f t="shared" ref="O1278:O1284" si="854">+K1278*12+N1278</f>
        <v>27601.199999999997</v>
      </c>
      <c r="P1278" s="735">
        <f t="shared" ref="P1278:P1284" si="855">+O1278*B1278</f>
        <v>138006</v>
      </c>
      <c r="Q1278" s="711">
        <v>5</v>
      </c>
      <c r="R1278" s="735">
        <v>2000.1</v>
      </c>
      <c r="S1278" s="735">
        <v>0</v>
      </c>
      <c r="T1278" s="735">
        <v>0</v>
      </c>
      <c r="U1278" s="735">
        <v>0</v>
      </c>
      <c r="V1278" s="735">
        <v>0</v>
      </c>
      <c r="W1278" s="735">
        <v>0</v>
      </c>
      <c r="X1278" s="735">
        <v>0</v>
      </c>
      <c r="Y1278" s="735">
        <v>0</v>
      </c>
      <c r="Z1278" s="735">
        <f t="shared" si="808"/>
        <v>2000.1</v>
      </c>
      <c r="AA1278" s="735">
        <v>600</v>
      </c>
      <c r="AB1278" s="735">
        <v>0</v>
      </c>
      <c r="AC1278" s="735">
        <f t="shared" ref="AC1278:AC1284" si="856">SUM(AA1278:AB1278)</f>
        <v>600</v>
      </c>
      <c r="AD1278" s="735">
        <f t="shared" ref="AD1278:AD1284" si="857">+Z1278*12+AC1278</f>
        <v>24601.199999999997</v>
      </c>
      <c r="AE1278" s="735">
        <f t="shared" ref="AE1278:AE1284" si="858">+AD1278*Q1278</f>
        <v>123005.99999999999</v>
      </c>
      <c r="AF1278" s="735">
        <f t="shared" ref="AF1278:AG1284" si="859">+K1278-AD1278</f>
        <v>-22351.1</v>
      </c>
      <c r="AG1278" s="828">
        <f t="shared" si="859"/>
        <v>-122405.99999999999</v>
      </c>
      <c r="AH1278" s="711">
        <v>5</v>
      </c>
      <c r="AI1278" s="735">
        <v>156006</v>
      </c>
    </row>
    <row r="1279" spans="1:35" x14ac:dyDescent="0.2">
      <c r="A1279" s="877" t="s">
        <v>847</v>
      </c>
      <c r="B1279" s="829">
        <v>1</v>
      </c>
      <c r="C1279" s="830">
        <v>2000.1</v>
      </c>
      <c r="D1279" s="830">
        <v>0</v>
      </c>
      <c r="E1279" s="830">
        <v>0</v>
      </c>
      <c r="F1279" s="830">
        <v>0</v>
      </c>
      <c r="G1279" s="830">
        <v>0</v>
      </c>
      <c r="H1279" s="830">
        <v>0</v>
      </c>
      <c r="I1279" s="830">
        <v>0</v>
      </c>
      <c r="J1279" s="830">
        <v>350</v>
      </c>
      <c r="K1279" s="830">
        <f t="shared" si="790"/>
        <v>2350.1</v>
      </c>
      <c r="L1279" s="830">
        <v>600</v>
      </c>
      <c r="M1279" s="830">
        <v>0</v>
      </c>
      <c r="N1279" s="830">
        <f t="shared" si="805"/>
        <v>600</v>
      </c>
      <c r="O1279" s="830">
        <f t="shared" si="854"/>
        <v>28801.199999999997</v>
      </c>
      <c r="P1279" s="830">
        <f t="shared" si="855"/>
        <v>28801.199999999997</v>
      </c>
      <c r="Q1279" s="829">
        <v>1</v>
      </c>
      <c r="R1279" s="830">
        <v>2000.1</v>
      </c>
      <c r="S1279" s="830">
        <v>0</v>
      </c>
      <c r="T1279" s="830">
        <v>0</v>
      </c>
      <c r="U1279" s="830">
        <v>0</v>
      </c>
      <c r="V1279" s="830">
        <v>0</v>
      </c>
      <c r="W1279" s="830">
        <v>0</v>
      </c>
      <c r="X1279" s="830">
        <v>0</v>
      </c>
      <c r="Y1279" s="830">
        <v>0</v>
      </c>
      <c r="Z1279" s="830">
        <f t="shared" si="808"/>
        <v>2000.1</v>
      </c>
      <c r="AA1279" s="830">
        <v>600</v>
      </c>
      <c r="AB1279" s="830">
        <v>0</v>
      </c>
      <c r="AC1279" s="830">
        <f t="shared" si="856"/>
        <v>600</v>
      </c>
      <c r="AD1279" s="830">
        <f t="shared" si="857"/>
        <v>24601.199999999997</v>
      </c>
      <c r="AE1279" s="830">
        <f t="shared" si="858"/>
        <v>24601.199999999997</v>
      </c>
      <c r="AF1279" s="830">
        <f t="shared" si="859"/>
        <v>-22251.1</v>
      </c>
      <c r="AG1279" s="831">
        <f t="shared" si="859"/>
        <v>-24001.199999999997</v>
      </c>
      <c r="AH1279" s="829">
        <v>1</v>
      </c>
      <c r="AI1279" s="830">
        <v>32401.199999999997</v>
      </c>
    </row>
    <row r="1280" spans="1:35" x14ac:dyDescent="0.2">
      <c r="A1280" s="60" t="s">
        <v>847</v>
      </c>
      <c r="B1280" s="711">
        <v>3</v>
      </c>
      <c r="C1280" s="735">
        <v>2000.1</v>
      </c>
      <c r="D1280" s="735">
        <v>0</v>
      </c>
      <c r="E1280" s="735">
        <v>0</v>
      </c>
      <c r="F1280" s="735">
        <v>0</v>
      </c>
      <c r="G1280" s="735">
        <v>0</v>
      </c>
      <c r="H1280" s="735">
        <v>0</v>
      </c>
      <c r="I1280" s="735">
        <v>0</v>
      </c>
      <c r="J1280" s="735">
        <v>790</v>
      </c>
      <c r="K1280" s="735">
        <f t="shared" si="790"/>
        <v>2790.1</v>
      </c>
      <c r="L1280" s="735">
        <v>600</v>
      </c>
      <c r="M1280" s="735">
        <v>0</v>
      </c>
      <c r="N1280" s="735">
        <f t="shared" si="805"/>
        <v>600</v>
      </c>
      <c r="O1280" s="735">
        <f t="shared" si="854"/>
        <v>34081.199999999997</v>
      </c>
      <c r="P1280" s="735">
        <f t="shared" si="855"/>
        <v>102243.59999999999</v>
      </c>
      <c r="Q1280" s="711">
        <v>3</v>
      </c>
      <c r="R1280" s="735">
        <v>2000.1</v>
      </c>
      <c r="S1280" s="735">
        <v>0</v>
      </c>
      <c r="T1280" s="735">
        <v>0</v>
      </c>
      <c r="U1280" s="735">
        <v>0</v>
      </c>
      <c r="V1280" s="735">
        <v>0</v>
      </c>
      <c r="W1280" s="735">
        <v>0</v>
      </c>
      <c r="X1280" s="735">
        <v>0</v>
      </c>
      <c r="Y1280" s="735">
        <v>0</v>
      </c>
      <c r="Z1280" s="735">
        <f t="shared" si="808"/>
        <v>2000.1</v>
      </c>
      <c r="AA1280" s="735">
        <v>600</v>
      </c>
      <c r="AB1280" s="735">
        <v>0</v>
      </c>
      <c r="AC1280" s="735">
        <f t="shared" si="856"/>
        <v>600</v>
      </c>
      <c r="AD1280" s="735">
        <f t="shared" si="857"/>
        <v>24601.199999999997</v>
      </c>
      <c r="AE1280" s="735">
        <f t="shared" si="858"/>
        <v>73803.599999999991</v>
      </c>
      <c r="AF1280" s="735">
        <f t="shared" si="859"/>
        <v>-21811.1</v>
      </c>
      <c r="AG1280" s="828">
        <f t="shared" si="859"/>
        <v>-73203.599999999991</v>
      </c>
      <c r="AH1280" s="711">
        <v>3</v>
      </c>
      <c r="AI1280" s="735">
        <v>113043.59999999999</v>
      </c>
    </row>
    <row r="1281" spans="1:35" x14ac:dyDescent="0.2">
      <c r="A1281" s="60" t="s">
        <v>847</v>
      </c>
      <c r="B1281" s="711">
        <v>2</v>
      </c>
      <c r="C1281" s="735">
        <v>2000.1</v>
      </c>
      <c r="D1281" s="735">
        <v>0</v>
      </c>
      <c r="E1281" s="735">
        <v>0</v>
      </c>
      <c r="F1281" s="735">
        <v>0</v>
      </c>
      <c r="G1281" s="735">
        <v>0</v>
      </c>
      <c r="H1281" s="735">
        <v>0</v>
      </c>
      <c r="I1281" s="735">
        <v>0</v>
      </c>
      <c r="J1281" s="735">
        <v>800</v>
      </c>
      <c r="K1281" s="735">
        <f t="shared" si="790"/>
        <v>2800.1</v>
      </c>
      <c r="L1281" s="735">
        <v>600</v>
      </c>
      <c r="M1281" s="735">
        <v>0</v>
      </c>
      <c r="N1281" s="735">
        <f t="shared" si="805"/>
        <v>600</v>
      </c>
      <c r="O1281" s="735">
        <f t="shared" si="854"/>
        <v>34201.199999999997</v>
      </c>
      <c r="P1281" s="735">
        <f t="shared" si="855"/>
        <v>68402.399999999994</v>
      </c>
      <c r="Q1281" s="711">
        <v>2</v>
      </c>
      <c r="R1281" s="735">
        <v>2000.1</v>
      </c>
      <c r="S1281" s="735">
        <v>0</v>
      </c>
      <c r="T1281" s="735">
        <v>0</v>
      </c>
      <c r="U1281" s="735">
        <v>0</v>
      </c>
      <c r="V1281" s="735">
        <v>0</v>
      </c>
      <c r="W1281" s="735">
        <v>0</v>
      </c>
      <c r="X1281" s="735">
        <v>0</v>
      </c>
      <c r="Y1281" s="735">
        <v>0</v>
      </c>
      <c r="Z1281" s="735">
        <f t="shared" si="808"/>
        <v>2000.1</v>
      </c>
      <c r="AA1281" s="735">
        <v>600</v>
      </c>
      <c r="AB1281" s="735">
        <v>0</v>
      </c>
      <c r="AC1281" s="735">
        <f t="shared" si="856"/>
        <v>600</v>
      </c>
      <c r="AD1281" s="735">
        <f t="shared" si="857"/>
        <v>24601.199999999997</v>
      </c>
      <c r="AE1281" s="735">
        <f t="shared" si="858"/>
        <v>49202.399999999994</v>
      </c>
      <c r="AF1281" s="735">
        <f t="shared" si="859"/>
        <v>-21801.1</v>
      </c>
      <c r="AG1281" s="828">
        <f t="shared" si="859"/>
        <v>-48602.399999999994</v>
      </c>
      <c r="AH1281" s="711">
        <v>2</v>
      </c>
      <c r="AI1281" s="735">
        <v>75602.399999999994</v>
      </c>
    </row>
    <row r="1282" spans="1:35" x14ac:dyDescent="0.2">
      <c r="A1282" s="60" t="s">
        <v>847</v>
      </c>
      <c r="B1282" s="711">
        <v>2</v>
      </c>
      <c r="C1282" s="735">
        <v>2000.1</v>
      </c>
      <c r="D1282" s="735">
        <v>0</v>
      </c>
      <c r="E1282" s="735">
        <v>0</v>
      </c>
      <c r="F1282" s="735">
        <v>0</v>
      </c>
      <c r="G1282" s="735">
        <v>0</v>
      </c>
      <c r="H1282" s="735">
        <v>0</v>
      </c>
      <c r="I1282" s="735">
        <v>0</v>
      </c>
      <c r="J1282" s="735">
        <v>850</v>
      </c>
      <c r="K1282" s="735">
        <f t="shared" si="790"/>
        <v>2850.1</v>
      </c>
      <c r="L1282" s="735">
        <v>600</v>
      </c>
      <c r="M1282" s="735">
        <v>0</v>
      </c>
      <c r="N1282" s="735">
        <f t="shared" si="805"/>
        <v>600</v>
      </c>
      <c r="O1282" s="735">
        <f t="shared" si="854"/>
        <v>34801.199999999997</v>
      </c>
      <c r="P1282" s="735">
        <f t="shared" si="855"/>
        <v>69602.399999999994</v>
      </c>
      <c r="Q1282" s="711">
        <v>2</v>
      </c>
      <c r="R1282" s="735">
        <v>2000.1</v>
      </c>
      <c r="S1282" s="735">
        <v>0</v>
      </c>
      <c r="T1282" s="735">
        <v>0</v>
      </c>
      <c r="U1282" s="735">
        <v>0</v>
      </c>
      <c r="V1282" s="735">
        <v>0</v>
      </c>
      <c r="W1282" s="735">
        <v>0</v>
      </c>
      <c r="X1282" s="735">
        <v>0</v>
      </c>
      <c r="Y1282" s="735">
        <v>0</v>
      </c>
      <c r="Z1282" s="735">
        <f t="shared" si="808"/>
        <v>2000.1</v>
      </c>
      <c r="AA1282" s="735">
        <v>600</v>
      </c>
      <c r="AB1282" s="735">
        <v>0</v>
      </c>
      <c r="AC1282" s="735">
        <f t="shared" si="856"/>
        <v>600</v>
      </c>
      <c r="AD1282" s="735">
        <f t="shared" si="857"/>
        <v>24601.199999999997</v>
      </c>
      <c r="AE1282" s="735">
        <f t="shared" si="858"/>
        <v>49202.399999999994</v>
      </c>
      <c r="AF1282" s="735">
        <f t="shared" si="859"/>
        <v>-21751.1</v>
      </c>
      <c r="AG1282" s="828">
        <f t="shared" si="859"/>
        <v>-48602.399999999994</v>
      </c>
      <c r="AH1282" s="711">
        <v>2</v>
      </c>
      <c r="AI1282" s="735">
        <v>76802.399999999994</v>
      </c>
    </row>
    <row r="1283" spans="1:35" x14ac:dyDescent="0.2">
      <c r="A1283" s="60" t="s">
        <v>847</v>
      </c>
      <c r="B1283" s="711">
        <v>8</v>
      </c>
      <c r="C1283" s="735">
        <v>2000.1</v>
      </c>
      <c r="D1283" s="735">
        <v>0</v>
      </c>
      <c r="E1283" s="735">
        <v>0</v>
      </c>
      <c r="F1283" s="735">
        <v>0</v>
      </c>
      <c r="G1283" s="735">
        <v>0</v>
      </c>
      <c r="H1283" s="735">
        <v>0</v>
      </c>
      <c r="I1283" s="735">
        <v>0</v>
      </c>
      <c r="J1283" s="735">
        <v>890</v>
      </c>
      <c r="K1283" s="735">
        <f t="shared" si="790"/>
        <v>2890.1</v>
      </c>
      <c r="L1283" s="735">
        <v>600</v>
      </c>
      <c r="M1283" s="735">
        <v>0</v>
      </c>
      <c r="N1283" s="735">
        <f t="shared" si="805"/>
        <v>600</v>
      </c>
      <c r="O1283" s="735">
        <f t="shared" si="854"/>
        <v>35281.199999999997</v>
      </c>
      <c r="P1283" s="735">
        <f t="shared" si="855"/>
        <v>282249.59999999998</v>
      </c>
      <c r="Q1283" s="711">
        <v>8</v>
      </c>
      <c r="R1283" s="735">
        <v>2000.1</v>
      </c>
      <c r="S1283" s="735">
        <v>0</v>
      </c>
      <c r="T1283" s="735">
        <v>0</v>
      </c>
      <c r="U1283" s="735">
        <v>0</v>
      </c>
      <c r="V1283" s="735">
        <v>0</v>
      </c>
      <c r="W1283" s="735">
        <v>0</v>
      </c>
      <c r="X1283" s="735">
        <v>0</v>
      </c>
      <c r="Y1283" s="735">
        <v>0</v>
      </c>
      <c r="Z1283" s="735">
        <f t="shared" si="808"/>
        <v>2000.1</v>
      </c>
      <c r="AA1283" s="735">
        <v>600</v>
      </c>
      <c r="AB1283" s="735">
        <v>0</v>
      </c>
      <c r="AC1283" s="735">
        <f t="shared" si="856"/>
        <v>600</v>
      </c>
      <c r="AD1283" s="735">
        <f t="shared" si="857"/>
        <v>24601.199999999997</v>
      </c>
      <c r="AE1283" s="735">
        <f t="shared" si="858"/>
        <v>196809.59999999998</v>
      </c>
      <c r="AF1283" s="735">
        <f t="shared" si="859"/>
        <v>-21711.1</v>
      </c>
      <c r="AG1283" s="828">
        <f t="shared" si="859"/>
        <v>-196209.59999999998</v>
      </c>
      <c r="AH1283" s="711">
        <v>8</v>
      </c>
      <c r="AI1283" s="735">
        <v>311049.59999999998</v>
      </c>
    </row>
    <row r="1284" spans="1:35" x14ac:dyDescent="0.2">
      <c r="A1284" s="60" t="s">
        <v>847</v>
      </c>
      <c r="B1284" s="711">
        <v>25</v>
      </c>
      <c r="C1284" s="735">
        <v>2000.1</v>
      </c>
      <c r="D1284" s="735">
        <v>0</v>
      </c>
      <c r="E1284" s="735">
        <v>0</v>
      </c>
      <c r="F1284" s="735">
        <v>0</v>
      </c>
      <c r="G1284" s="735">
        <v>0</v>
      </c>
      <c r="H1284" s="735">
        <v>0</v>
      </c>
      <c r="I1284" s="735">
        <v>0</v>
      </c>
      <c r="J1284" s="735">
        <v>950</v>
      </c>
      <c r="K1284" s="735">
        <f t="shared" si="790"/>
        <v>2950.1</v>
      </c>
      <c r="L1284" s="735">
        <v>600</v>
      </c>
      <c r="M1284" s="735">
        <v>0</v>
      </c>
      <c r="N1284" s="735">
        <f t="shared" si="805"/>
        <v>600</v>
      </c>
      <c r="O1284" s="735">
        <f t="shared" si="854"/>
        <v>36001.199999999997</v>
      </c>
      <c r="P1284" s="735">
        <f t="shared" si="855"/>
        <v>900029.99999999988</v>
      </c>
      <c r="Q1284" s="711">
        <v>25</v>
      </c>
      <c r="R1284" s="735">
        <v>2000.1</v>
      </c>
      <c r="S1284" s="735">
        <v>0</v>
      </c>
      <c r="T1284" s="735">
        <v>0</v>
      </c>
      <c r="U1284" s="735">
        <v>0</v>
      </c>
      <c r="V1284" s="735">
        <v>0</v>
      </c>
      <c r="W1284" s="735">
        <v>0</v>
      </c>
      <c r="X1284" s="735">
        <v>0</v>
      </c>
      <c r="Y1284" s="735">
        <v>0</v>
      </c>
      <c r="Z1284" s="735">
        <f t="shared" si="808"/>
        <v>2000.1</v>
      </c>
      <c r="AA1284" s="735">
        <v>600</v>
      </c>
      <c r="AB1284" s="735">
        <v>0</v>
      </c>
      <c r="AC1284" s="735">
        <f t="shared" si="856"/>
        <v>600</v>
      </c>
      <c r="AD1284" s="735">
        <f t="shared" si="857"/>
        <v>24601.199999999997</v>
      </c>
      <c r="AE1284" s="735">
        <f t="shared" si="858"/>
        <v>615029.99999999988</v>
      </c>
      <c r="AF1284" s="735">
        <f t="shared" si="859"/>
        <v>-21651.1</v>
      </c>
      <c r="AG1284" s="828">
        <f t="shared" si="859"/>
        <v>-614429.99999999988</v>
      </c>
      <c r="AH1284" s="711">
        <v>25</v>
      </c>
      <c r="AI1284" s="735">
        <v>990029.99999999988</v>
      </c>
    </row>
    <row r="1285" spans="1:35" x14ac:dyDescent="0.2">
      <c r="A1285" s="875" t="s">
        <v>849</v>
      </c>
      <c r="B1285" s="722"/>
      <c r="C1285" s="784"/>
      <c r="D1285" s="784"/>
      <c r="E1285" s="784"/>
      <c r="F1285" s="784"/>
      <c r="G1285" s="784"/>
      <c r="H1285" s="784"/>
      <c r="I1285" s="784"/>
      <c r="J1285" s="784"/>
      <c r="K1285" s="784"/>
      <c r="L1285" s="784"/>
      <c r="M1285" s="784"/>
      <c r="N1285" s="784"/>
      <c r="O1285" s="784"/>
      <c r="P1285" s="784"/>
      <c r="Q1285" s="722"/>
      <c r="R1285" s="784"/>
      <c r="S1285" s="784"/>
      <c r="T1285" s="784"/>
      <c r="U1285" s="784"/>
      <c r="V1285" s="784"/>
      <c r="W1285" s="784"/>
      <c r="X1285" s="784"/>
      <c r="Y1285" s="784"/>
      <c r="Z1285" s="784"/>
      <c r="AA1285" s="784"/>
      <c r="AB1285" s="784"/>
      <c r="AC1285" s="784"/>
      <c r="AD1285" s="784"/>
      <c r="AE1285" s="784"/>
      <c r="AF1285" s="784"/>
      <c r="AG1285" s="722"/>
      <c r="AH1285" s="722"/>
      <c r="AI1285" s="784"/>
    </row>
    <row r="1286" spans="1:35" x14ac:dyDescent="0.2">
      <c r="A1286" s="60" t="s">
        <v>846</v>
      </c>
      <c r="B1286" s="711">
        <v>3</v>
      </c>
      <c r="C1286" s="735">
        <v>2666.8</v>
      </c>
      <c r="D1286" s="735">
        <v>0</v>
      </c>
      <c r="E1286" s="735">
        <v>0</v>
      </c>
      <c r="F1286" s="735">
        <v>0</v>
      </c>
      <c r="G1286" s="735">
        <v>0</v>
      </c>
      <c r="H1286" s="735">
        <v>0</v>
      </c>
      <c r="I1286" s="735">
        <v>0</v>
      </c>
      <c r="J1286" s="735">
        <v>0</v>
      </c>
      <c r="K1286" s="735">
        <f t="shared" ref="K1286:K1302" si="860">SUM(C1286:J1286)</f>
        <v>2666.8</v>
      </c>
      <c r="L1286" s="735">
        <v>600</v>
      </c>
      <c r="M1286" s="735">
        <v>0</v>
      </c>
      <c r="N1286" s="735">
        <f t="shared" si="805"/>
        <v>600</v>
      </c>
      <c r="O1286" s="735">
        <f t="shared" ref="O1286:O1289" si="861">+K1286*12+N1286</f>
        <v>32601.600000000002</v>
      </c>
      <c r="P1286" s="735">
        <f t="shared" ref="P1286:P1289" si="862">+O1286*B1286</f>
        <v>97804.800000000003</v>
      </c>
      <c r="Q1286" s="711">
        <v>3</v>
      </c>
      <c r="R1286" s="735">
        <v>2666.8</v>
      </c>
      <c r="S1286" s="735">
        <v>0</v>
      </c>
      <c r="T1286" s="735">
        <v>0</v>
      </c>
      <c r="U1286" s="735">
        <v>0</v>
      </c>
      <c r="V1286" s="735">
        <v>0</v>
      </c>
      <c r="W1286" s="735">
        <v>0</v>
      </c>
      <c r="X1286" s="735">
        <v>0</v>
      </c>
      <c r="Y1286" s="735">
        <v>0</v>
      </c>
      <c r="Z1286" s="735">
        <f t="shared" si="808"/>
        <v>2666.8</v>
      </c>
      <c r="AA1286" s="735">
        <v>600</v>
      </c>
      <c r="AB1286" s="735">
        <v>0</v>
      </c>
      <c r="AC1286" s="735">
        <f t="shared" ref="AC1286:AC1289" si="863">SUM(AA1286:AB1286)</f>
        <v>600</v>
      </c>
      <c r="AD1286" s="735">
        <f t="shared" ref="AD1286:AD1289" si="864">+Z1286*12+AC1286</f>
        <v>32601.600000000002</v>
      </c>
      <c r="AE1286" s="735">
        <f t="shared" ref="AE1286:AE1289" si="865">+AD1286*Q1286</f>
        <v>97804.800000000003</v>
      </c>
      <c r="AF1286" s="735">
        <f t="shared" ref="AF1286:AG1289" si="866">+K1286-AD1286</f>
        <v>-29934.800000000003</v>
      </c>
      <c r="AG1286" s="828">
        <f t="shared" si="866"/>
        <v>-97204.800000000003</v>
      </c>
      <c r="AH1286" s="711">
        <v>3</v>
      </c>
      <c r="AI1286" s="735">
        <v>112204.80000000002</v>
      </c>
    </row>
    <row r="1287" spans="1:35" x14ac:dyDescent="0.2">
      <c r="A1287" s="60" t="s">
        <v>847</v>
      </c>
      <c r="B1287" s="711">
        <v>3</v>
      </c>
      <c r="C1287" s="735">
        <v>2000.1</v>
      </c>
      <c r="D1287" s="735">
        <v>0</v>
      </c>
      <c r="E1287" s="735">
        <v>0</v>
      </c>
      <c r="F1287" s="735">
        <v>0</v>
      </c>
      <c r="G1287" s="735">
        <v>0</v>
      </c>
      <c r="H1287" s="735">
        <v>0</v>
      </c>
      <c r="I1287" s="735">
        <v>0</v>
      </c>
      <c r="J1287" s="735">
        <v>250</v>
      </c>
      <c r="K1287" s="735">
        <f t="shared" si="860"/>
        <v>2250.1</v>
      </c>
      <c r="L1287" s="735">
        <v>600</v>
      </c>
      <c r="M1287" s="735">
        <v>0</v>
      </c>
      <c r="N1287" s="735">
        <f t="shared" si="805"/>
        <v>600</v>
      </c>
      <c r="O1287" s="735">
        <f t="shared" si="861"/>
        <v>27601.199999999997</v>
      </c>
      <c r="P1287" s="735">
        <f t="shared" si="862"/>
        <v>82803.599999999991</v>
      </c>
      <c r="Q1287" s="711">
        <v>3</v>
      </c>
      <c r="R1287" s="735">
        <v>2000.1</v>
      </c>
      <c r="S1287" s="735">
        <v>0</v>
      </c>
      <c r="T1287" s="735">
        <v>0</v>
      </c>
      <c r="U1287" s="735">
        <v>0</v>
      </c>
      <c r="V1287" s="735">
        <v>0</v>
      </c>
      <c r="W1287" s="735">
        <v>0</v>
      </c>
      <c r="X1287" s="735">
        <v>0</v>
      </c>
      <c r="Y1287" s="735">
        <v>0</v>
      </c>
      <c r="Z1287" s="735">
        <f t="shared" si="808"/>
        <v>2000.1</v>
      </c>
      <c r="AA1287" s="735">
        <v>600</v>
      </c>
      <c r="AB1287" s="735">
        <v>0</v>
      </c>
      <c r="AC1287" s="735">
        <f t="shared" si="863"/>
        <v>600</v>
      </c>
      <c r="AD1287" s="735">
        <f t="shared" si="864"/>
        <v>24601.199999999997</v>
      </c>
      <c r="AE1287" s="735">
        <f t="shared" si="865"/>
        <v>73803.599999999991</v>
      </c>
      <c r="AF1287" s="735">
        <f t="shared" si="866"/>
        <v>-22351.1</v>
      </c>
      <c r="AG1287" s="828">
        <f t="shared" si="866"/>
        <v>-73203.599999999991</v>
      </c>
      <c r="AH1287" s="711">
        <v>3</v>
      </c>
      <c r="AI1287" s="735">
        <v>93603.599999999991</v>
      </c>
    </row>
    <row r="1288" spans="1:35" x14ac:dyDescent="0.2">
      <c r="A1288" s="60" t="s">
        <v>847</v>
      </c>
      <c r="B1288" s="711">
        <v>5</v>
      </c>
      <c r="C1288" s="735">
        <v>2000.1</v>
      </c>
      <c r="D1288" s="735">
        <v>0</v>
      </c>
      <c r="E1288" s="735">
        <v>0</v>
      </c>
      <c r="F1288" s="735">
        <v>0</v>
      </c>
      <c r="G1288" s="735">
        <v>0</v>
      </c>
      <c r="H1288" s="735">
        <v>0</v>
      </c>
      <c r="I1288" s="735">
        <v>0</v>
      </c>
      <c r="J1288" s="735">
        <v>600</v>
      </c>
      <c r="K1288" s="735">
        <f t="shared" si="860"/>
        <v>2600.1</v>
      </c>
      <c r="L1288" s="735">
        <v>600</v>
      </c>
      <c r="M1288" s="735">
        <v>0</v>
      </c>
      <c r="N1288" s="735">
        <f t="shared" si="805"/>
        <v>600</v>
      </c>
      <c r="O1288" s="735">
        <f t="shared" si="861"/>
        <v>31801.199999999997</v>
      </c>
      <c r="P1288" s="735">
        <f t="shared" si="862"/>
        <v>159006</v>
      </c>
      <c r="Q1288" s="711">
        <v>5</v>
      </c>
      <c r="R1288" s="735">
        <v>2000.1</v>
      </c>
      <c r="S1288" s="735">
        <v>0</v>
      </c>
      <c r="T1288" s="735">
        <v>0</v>
      </c>
      <c r="U1288" s="735">
        <v>0</v>
      </c>
      <c r="V1288" s="735">
        <v>0</v>
      </c>
      <c r="W1288" s="735">
        <v>0</v>
      </c>
      <c r="X1288" s="735">
        <v>0</v>
      </c>
      <c r="Y1288" s="735">
        <v>0</v>
      </c>
      <c r="Z1288" s="735">
        <f t="shared" si="808"/>
        <v>2000.1</v>
      </c>
      <c r="AA1288" s="735">
        <v>600</v>
      </c>
      <c r="AB1288" s="735">
        <v>0</v>
      </c>
      <c r="AC1288" s="735">
        <f t="shared" si="863"/>
        <v>600</v>
      </c>
      <c r="AD1288" s="735">
        <f t="shared" si="864"/>
        <v>24601.199999999997</v>
      </c>
      <c r="AE1288" s="735">
        <f t="shared" si="865"/>
        <v>123005.99999999999</v>
      </c>
      <c r="AF1288" s="735">
        <f t="shared" si="866"/>
        <v>-22001.1</v>
      </c>
      <c r="AG1288" s="828">
        <f t="shared" si="866"/>
        <v>-122405.99999999999</v>
      </c>
      <c r="AH1288" s="711">
        <v>5</v>
      </c>
      <c r="AI1288" s="735">
        <v>177006</v>
      </c>
    </row>
    <row r="1289" spans="1:35" x14ac:dyDescent="0.2">
      <c r="A1289" s="60" t="s">
        <v>847</v>
      </c>
      <c r="B1289" s="711">
        <v>32</v>
      </c>
      <c r="C1289" s="735">
        <v>2000.1</v>
      </c>
      <c r="D1289" s="735">
        <v>0</v>
      </c>
      <c r="E1289" s="735">
        <v>0</v>
      </c>
      <c r="F1289" s="735">
        <v>0</v>
      </c>
      <c r="G1289" s="735">
        <v>0</v>
      </c>
      <c r="H1289" s="735">
        <v>0</v>
      </c>
      <c r="I1289" s="735">
        <v>0</v>
      </c>
      <c r="J1289" s="735">
        <v>650</v>
      </c>
      <c r="K1289" s="735">
        <f t="shared" si="860"/>
        <v>2650.1</v>
      </c>
      <c r="L1289" s="735">
        <v>600</v>
      </c>
      <c r="M1289" s="735">
        <v>0</v>
      </c>
      <c r="N1289" s="735">
        <f t="shared" si="805"/>
        <v>600</v>
      </c>
      <c r="O1289" s="735">
        <f t="shared" si="861"/>
        <v>32401.199999999997</v>
      </c>
      <c r="P1289" s="735">
        <f t="shared" si="862"/>
        <v>1036838.3999999999</v>
      </c>
      <c r="Q1289" s="711">
        <v>32</v>
      </c>
      <c r="R1289" s="735">
        <v>2000.1</v>
      </c>
      <c r="S1289" s="735">
        <v>0</v>
      </c>
      <c r="T1289" s="735">
        <v>0</v>
      </c>
      <c r="U1289" s="735">
        <v>0</v>
      </c>
      <c r="V1289" s="735">
        <v>0</v>
      </c>
      <c r="W1289" s="735">
        <v>0</v>
      </c>
      <c r="X1289" s="735">
        <v>0</v>
      </c>
      <c r="Y1289" s="735">
        <v>0</v>
      </c>
      <c r="Z1289" s="735">
        <f t="shared" si="808"/>
        <v>2000.1</v>
      </c>
      <c r="AA1289" s="735">
        <v>600</v>
      </c>
      <c r="AB1289" s="735">
        <v>0</v>
      </c>
      <c r="AC1289" s="735">
        <f t="shared" si="863"/>
        <v>600</v>
      </c>
      <c r="AD1289" s="735">
        <f t="shared" si="864"/>
        <v>24601.199999999997</v>
      </c>
      <c r="AE1289" s="735">
        <f t="shared" si="865"/>
        <v>787238.39999999991</v>
      </c>
      <c r="AF1289" s="735">
        <f t="shared" si="866"/>
        <v>-21951.1</v>
      </c>
      <c r="AG1289" s="828">
        <f t="shared" si="866"/>
        <v>-786638.39999999991</v>
      </c>
      <c r="AH1289" s="711">
        <v>32</v>
      </c>
      <c r="AI1289" s="735">
        <v>1152038.3999999999</v>
      </c>
    </row>
    <row r="1290" spans="1:35" ht="24" x14ac:dyDescent="0.2">
      <c r="A1290" s="875" t="s">
        <v>850</v>
      </c>
      <c r="B1290" s="722"/>
      <c r="C1290" s="784"/>
      <c r="D1290" s="784"/>
      <c r="E1290" s="784"/>
      <c r="F1290" s="784"/>
      <c r="G1290" s="784"/>
      <c r="H1290" s="784"/>
      <c r="I1290" s="784"/>
      <c r="J1290" s="784"/>
      <c r="K1290" s="784"/>
      <c r="L1290" s="784"/>
      <c r="M1290" s="784"/>
      <c r="N1290" s="784"/>
      <c r="O1290" s="784"/>
      <c r="P1290" s="784"/>
      <c r="Q1290" s="722"/>
      <c r="R1290" s="784"/>
      <c r="S1290" s="784"/>
      <c r="T1290" s="784"/>
      <c r="U1290" s="784"/>
      <c r="V1290" s="784"/>
      <c r="W1290" s="784"/>
      <c r="X1290" s="784"/>
      <c r="Y1290" s="784"/>
      <c r="Z1290" s="784"/>
      <c r="AA1290" s="784"/>
      <c r="AB1290" s="784"/>
      <c r="AC1290" s="784"/>
      <c r="AD1290" s="784"/>
      <c r="AE1290" s="784"/>
      <c r="AF1290" s="784"/>
      <c r="AG1290" s="722"/>
      <c r="AH1290" s="722"/>
      <c r="AI1290" s="784"/>
    </row>
    <row r="1291" spans="1:35" x14ac:dyDescent="0.2">
      <c r="A1291" s="60" t="s">
        <v>847</v>
      </c>
      <c r="B1291" s="711">
        <v>1</v>
      </c>
      <c r="C1291" s="735">
        <v>2000.1</v>
      </c>
      <c r="D1291" s="735">
        <v>0</v>
      </c>
      <c r="E1291" s="735">
        <v>0</v>
      </c>
      <c r="F1291" s="735">
        <v>0</v>
      </c>
      <c r="G1291" s="735">
        <v>0</v>
      </c>
      <c r="H1291" s="735">
        <v>0</v>
      </c>
      <c r="I1291" s="735">
        <v>0</v>
      </c>
      <c r="J1291" s="735">
        <v>200</v>
      </c>
      <c r="K1291" s="735">
        <f t="shared" si="860"/>
        <v>2200.1</v>
      </c>
      <c r="L1291" s="735">
        <v>600</v>
      </c>
      <c r="M1291" s="735">
        <v>0</v>
      </c>
      <c r="N1291" s="735">
        <f t="shared" si="805"/>
        <v>600</v>
      </c>
      <c r="O1291" s="735">
        <f t="shared" ref="O1291" si="867">+K1291*12+N1291</f>
        <v>27001.199999999997</v>
      </c>
      <c r="P1291" s="735">
        <f t="shared" ref="P1291" si="868">+O1291*B1291</f>
        <v>27001.199999999997</v>
      </c>
      <c r="Q1291" s="711">
        <v>1</v>
      </c>
      <c r="R1291" s="735">
        <v>2000.1</v>
      </c>
      <c r="S1291" s="735">
        <v>0</v>
      </c>
      <c r="T1291" s="735">
        <v>0</v>
      </c>
      <c r="U1291" s="735">
        <v>0</v>
      </c>
      <c r="V1291" s="735">
        <v>0</v>
      </c>
      <c r="W1291" s="735">
        <v>0</v>
      </c>
      <c r="X1291" s="735">
        <v>0</v>
      </c>
      <c r="Y1291" s="735">
        <v>0</v>
      </c>
      <c r="Z1291" s="735">
        <f t="shared" si="808"/>
        <v>2000.1</v>
      </c>
      <c r="AA1291" s="735">
        <v>600</v>
      </c>
      <c r="AB1291" s="735">
        <v>0</v>
      </c>
      <c r="AC1291" s="735">
        <f t="shared" ref="AC1291" si="869">SUM(AA1291:AB1291)</f>
        <v>600</v>
      </c>
      <c r="AD1291" s="735">
        <f t="shared" ref="AD1291" si="870">+Z1291*12+AC1291</f>
        <v>24601.199999999997</v>
      </c>
      <c r="AE1291" s="735">
        <f t="shared" ref="AE1291" si="871">+AD1291*Q1291</f>
        <v>24601.199999999997</v>
      </c>
      <c r="AF1291" s="735">
        <f>+K1291-AD1291</f>
        <v>-22401.1</v>
      </c>
      <c r="AG1291" s="828">
        <f>+L1291-AE1291</f>
        <v>-24001.199999999997</v>
      </c>
      <c r="AH1291" s="711">
        <v>1</v>
      </c>
      <c r="AI1291" s="735">
        <v>30601.199999999997</v>
      </c>
    </row>
    <row r="1292" spans="1:35" ht="24" x14ac:dyDescent="0.2">
      <c r="A1292" s="875" t="s">
        <v>851</v>
      </c>
      <c r="B1292" s="722"/>
      <c r="C1292" s="784"/>
      <c r="D1292" s="784"/>
      <c r="E1292" s="784"/>
      <c r="F1292" s="784"/>
      <c r="G1292" s="784"/>
      <c r="H1292" s="784"/>
      <c r="I1292" s="784"/>
      <c r="J1292" s="784"/>
      <c r="K1292" s="784"/>
      <c r="L1292" s="784"/>
      <c r="M1292" s="784"/>
      <c r="N1292" s="784"/>
      <c r="O1292" s="784"/>
      <c r="P1292" s="784"/>
      <c r="Q1292" s="722"/>
      <c r="R1292" s="784"/>
      <c r="S1292" s="784"/>
      <c r="T1292" s="784"/>
      <c r="U1292" s="784"/>
      <c r="V1292" s="784"/>
      <c r="W1292" s="784"/>
      <c r="X1292" s="784"/>
      <c r="Y1292" s="784"/>
      <c r="Z1292" s="784"/>
      <c r="AA1292" s="784"/>
      <c r="AB1292" s="784"/>
      <c r="AC1292" s="784"/>
      <c r="AD1292" s="784"/>
      <c r="AE1292" s="784"/>
      <c r="AF1292" s="784"/>
      <c r="AG1292" s="722"/>
      <c r="AH1292" s="722"/>
      <c r="AI1292" s="784"/>
    </row>
    <row r="1293" spans="1:35" x14ac:dyDescent="0.2">
      <c r="A1293" s="60" t="s">
        <v>847</v>
      </c>
      <c r="B1293" s="711">
        <v>1</v>
      </c>
      <c r="C1293" s="735">
        <v>2000.1</v>
      </c>
      <c r="D1293" s="735">
        <v>0</v>
      </c>
      <c r="E1293" s="735">
        <v>0</v>
      </c>
      <c r="F1293" s="735">
        <v>0</v>
      </c>
      <c r="G1293" s="735">
        <v>0</v>
      </c>
      <c r="H1293" s="735">
        <v>0</v>
      </c>
      <c r="I1293" s="735">
        <v>0</v>
      </c>
      <c r="J1293" s="735">
        <v>200</v>
      </c>
      <c r="K1293" s="735">
        <f t="shared" si="860"/>
        <v>2200.1</v>
      </c>
      <c r="L1293" s="735">
        <v>600</v>
      </c>
      <c r="M1293" s="735">
        <v>0</v>
      </c>
      <c r="N1293" s="735">
        <f t="shared" si="805"/>
        <v>600</v>
      </c>
      <c r="O1293" s="735">
        <f t="shared" ref="O1293" si="872">+K1293*12+N1293</f>
        <v>27001.199999999997</v>
      </c>
      <c r="P1293" s="735">
        <f t="shared" ref="P1293" si="873">+O1293*B1293</f>
        <v>27001.199999999997</v>
      </c>
      <c r="Q1293" s="711">
        <v>1</v>
      </c>
      <c r="R1293" s="735">
        <v>2000.1</v>
      </c>
      <c r="S1293" s="735">
        <v>0</v>
      </c>
      <c r="T1293" s="735">
        <v>0</v>
      </c>
      <c r="U1293" s="735">
        <v>0</v>
      </c>
      <c r="V1293" s="735">
        <v>0</v>
      </c>
      <c r="W1293" s="735">
        <v>0</v>
      </c>
      <c r="X1293" s="735">
        <v>0</v>
      </c>
      <c r="Y1293" s="735">
        <v>0</v>
      </c>
      <c r="Z1293" s="735">
        <f t="shared" si="808"/>
        <v>2000.1</v>
      </c>
      <c r="AA1293" s="735">
        <v>600</v>
      </c>
      <c r="AB1293" s="735">
        <v>0</v>
      </c>
      <c r="AC1293" s="735">
        <f t="shared" ref="AC1293" si="874">SUM(AA1293:AB1293)</f>
        <v>600</v>
      </c>
      <c r="AD1293" s="735">
        <f t="shared" ref="AD1293" si="875">+Z1293*12+AC1293</f>
        <v>24601.199999999997</v>
      </c>
      <c r="AE1293" s="735">
        <f t="shared" ref="AE1293" si="876">+AD1293*Q1293</f>
        <v>24601.199999999997</v>
      </c>
      <c r="AF1293" s="735">
        <f>+K1293-AD1293</f>
        <v>-22401.1</v>
      </c>
      <c r="AG1293" s="828">
        <f>+L1293-AE1293</f>
        <v>-24001.199999999997</v>
      </c>
      <c r="AH1293" s="711">
        <v>1</v>
      </c>
      <c r="AI1293" s="735">
        <v>30601.199999999997</v>
      </c>
    </row>
    <row r="1294" spans="1:35" x14ac:dyDescent="0.2">
      <c r="A1294" s="875" t="s">
        <v>852</v>
      </c>
      <c r="B1294" s="722"/>
      <c r="C1294" s="784"/>
      <c r="D1294" s="784"/>
      <c r="E1294" s="784"/>
      <c r="F1294" s="784"/>
      <c r="G1294" s="784"/>
      <c r="H1294" s="784"/>
      <c r="I1294" s="784"/>
      <c r="J1294" s="784"/>
      <c r="K1294" s="784"/>
      <c r="L1294" s="784"/>
      <c r="M1294" s="784"/>
      <c r="N1294" s="784"/>
      <c r="O1294" s="784"/>
      <c r="P1294" s="784"/>
      <c r="Q1294" s="722"/>
      <c r="R1294" s="784"/>
      <c r="S1294" s="784"/>
      <c r="T1294" s="784"/>
      <c r="U1294" s="784"/>
      <c r="V1294" s="784"/>
      <c r="W1294" s="784"/>
      <c r="X1294" s="784"/>
      <c r="Y1294" s="784"/>
      <c r="Z1294" s="784"/>
      <c r="AA1294" s="784"/>
      <c r="AB1294" s="784"/>
      <c r="AC1294" s="784"/>
      <c r="AD1294" s="784"/>
      <c r="AE1294" s="784"/>
      <c r="AF1294" s="784"/>
      <c r="AG1294" s="722"/>
      <c r="AH1294" s="722"/>
      <c r="AI1294" s="784"/>
    </row>
    <row r="1295" spans="1:35" x14ac:dyDescent="0.2">
      <c r="A1295" s="60" t="s">
        <v>847</v>
      </c>
      <c r="B1295" s="711">
        <v>2</v>
      </c>
      <c r="C1295" s="735">
        <v>2000.1</v>
      </c>
      <c r="D1295" s="735">
        <v>0</v>
      </c>
      <c r="E1295" s="735">
        <v>0</v>
      </c>
      <c r="F1295" s="735">
        <v>0</v>
      </c>
      <c r="G1295" s="735">
        <v>0</v>
      </c>
      <c r="H1295" s="735">
        <v>0</v>
      </c>
      <c r="I1295" s="735">
        <v>0</v>
      </c>
      <c r="J1295" s="735">
        <v>200</v>
      </c>
      <c r="K1295" s="735">
        <f t="shared" si="860"/>
        <v>2200.1</v>
      </c>
      <c r="L1295" s="735">
        <v>600</v>
      </c>
      <c r="M1295" s="735">
        <v>0</v>
      </c>
      <c r="N1295" s="735">
        <f t="shared" si="805"/>
        <v>600</v>
      </c>
      <c r="O1295" s="735">
        <f t="shared" ref="O1295" si="877">+K1295*12+N1295</f>
        <v>27001.199999999997</v>
      </c>
      <c r="P1295" s="735">
        <f t="shared" ref="P1295" si="878">+O1295*B1295</f>
        <v>54002.399999999994</v>
      </c>
      <c r="Q1295" s="711">
        <v>2</v>
      </c>
      <c r="R1295" s="735">
        <v>2000.1</v>
      </c>
      <c r="S1295" s="735">
        <v>0</v>
      </c>
      <c r="T1295" s="735">
        <v>0</v>
      </c>
      <c r="U1295" s="735">
        <v>0</v>
      </c>
      <c r="V1295" s="735">
        <v>0</v>
      </c>
      <c r="W1295" s="735">
        <v>0</v>
      </c>
      <c r="X1295" s="735">
        <v>0</v>
      </c>
      <c r="Y1295" s="735">
        <v>0</v>
      </c>
      <c r="Z1295" s="735">
        <f t="shared" si="808"/>
        <v>2000.1</v>
      </c>
      <c r="AA1295" s="735">
        <v>600</v>
      </c>
      <c r="AB1295" s="735">
        <v>0</v>
      </c>
      <c r="AC1295" s="735">
        <f t="shared" ref="AC1295" si="879">SUM(AA1295:AB1295)</f>
        <v>600</v>
      </c>
      <c r="AD1295" s="735">
        <f t="shared" ref="AD1295" si="880">+Z1295*12+AC1295</f>
        <v>24601.199999999997</v>
      </c>
      <c r="AE1295" s="735">
        <f t="shared" ref="AE1295" si="881">+AD1295*Q1295</f>
        <v>49202.399999999994</v>
      </c>
      <c r="AF1295" s="735">
        <f>+K1295-AD1295</f>
        <v>-22401.1</v>
      </c>
      <c r="AG1295" s="828">
        <f>+L1295-AE1295</f>
        <v>-48602.399999999994</v>
      </c>
      <c r="AH1295" s="711">
        <v>2</v>
      </c>
      <c r="AI1295" s="735">
        <v>61202.399999999994</v>
      </c>
    </row>
    <row r="1296" spans="1:35" x14ac:dyDescent="0.2">
      <c r="A1296" s="875" t="s">
        <v>548</v>
      </c>
      <c r="B1296" s="722"/>
      <c r="C1296" s="784"/>
      <c r="D1296" s="784"/>
      <c r="E1296" s="784"/>
      <c r="F1296" s="784"/>
      <c r="G1296" s="784"/>
      <c r="H1296" s="784"/>
      <c r="I1296" s="784"/>
      <c r="J1296" s="784"/>
      <c r="K1296" s="784"/>
      <c r="L1296" s="784"/>
      <c r="M1296" s="784"/>
      <c r="N1296" s="784"/>
      <c r="O1296" s="784"/>
      <c r="P1296" s="784"/>
      <c r="Q1296" s="722"/>
      <c r="R1296" s="784"/>
      <c r="S1296" s="784"/>
      <c r="T1296" s="784"/>
      <c r="U1296" s="784"/>
      <c r="V1296" s="784"/>
      <c r="W1296" s="784"/>
      <c r="X1296" s="784"/>
      <c r="Y1296" s="784"/>
      <c r="Z1296" s="784"/>
      <c r="AA1296" s="784"/>
      <c r="AB1296" s="784"/>
      <c r="AC1296" s="784"/>
      <c r="AD1296" s="784"/>
      <c r="AE1296" s="784"/>
      <c r="AF1296" s="784"/>
      <c r="AG1296" s="722"/>
      <c r="AH1296" s="722"/>
      <c r="AI1296" s="784"/>
    </row>
    <row r="1297" spans="1:35" x14ac:dyDescent="0.2">
      <c r="A1297" s="60" t="s">
        <v>853</v>
      </c>
      <c r="B1297" s="711">
        <v>1</v>
      </c>
      <c r="C1297" s="735">
        <v>1266.73</v>
      </c>
      <c r="D1297" s="735">
        <v>0</v>
      </c>
      <c r="E1297" s="735">
        <v>0</v>
      </c>
      <c r="F1297" s="735">
        <v>0</v>
      </c>
      <c r="G1297" s="735">
        <v>0</v>
      </c>
      <c r="H1297" s="735">
        <v>0</v>
      </c>
      <c r="I1297" s="735">
        <v>0</v>
      </c>
      <c r="J1297" s="735">
        <v>380</v>
      </c>
      <c r="K1297" s="735">
        <f t="shared" si="860"/>
        <v>1646.73</v>
      </c>
      <c r="L1297" s="735">
        <v>600</v>
      </c>
      <c r="M1297" s="735">
        <v>0</v>
      </c>
      <c r="N1297" s="735">
        <f t="shared" si="805"/>
        <v>600</v>
      </c>
      <c r="O1297" s="735">
        <f t="shared" ref="O1297:O1302" si="882">+K1297*12+N1297</f>
        <v>20360.760000000002</v>
      </c>
      <c r="P1297" s="735">
        <f t="shared" ref="P1297:P1302" si="883">+O1297*B1297</f>
        <v>20360.760000000002</v>
      </c>
      <c r="Q1297" s="711">
        <v>1</v>
      </c>
      <c r="R1297" s="735">
        <v>1266.73</v>
      </c>
      <c r="S1297" s="735">
        <v>0</v>
      </c>
      <c r="T1297" s="735">
        <v>0</v>
      </c>
      <c r="U1297" s="735">
        <v>0</v>
      </c>
      <c r="V1297" s="735">
        <v>0</v>
      </c>
      <c r="W1297" s="735">
        <v>0</v>
      </c>
      <c r="X1297" s="735">
        <v>0</v>
      </c>
      <c r="Y1297" s="735">
        <v>0</v>
      </c>
      <c r="Z1297" s="735">
        <f t="shared" si="808"/>
        <v>1266.73</v>
      </c>
      <c r="AA1297" s="735">
        <v>600</v>
      </c>
      <c r="AB1297" s="735">
        <v>0</v>
      </c>
      <c r="AC1297" s="735">
        <f t="shared" ref="AC1297" si="884">SUM(AA1297:AB1297)</f>
        <v>600</v>
      </c>
      <c r="AD1297" s="735">
        <f t="shared" ref="AD1297:AD1302" si="885">+Z1297*12+AC1297</f>
        <v>15800.76</v>
      </c>
      <c r="AE1297" s="735">
        <f t="shared" ref="AE1297:AE1302" si="886">+AD1297*Q1297</f>
        <v>15800.76</v>
      </c>
      <c r="AF1297" s="735">
        <f t="shared" ref="AF1297:AG1302" si="887">+K1297-AD1297</f>
        <v>-14154.03</v>
      </c>
      <c r="AG1297" s="828">
        <f t="shared" si="887"/>
        <v>-15200.76</v>
      </c>
      <c r="AH1297" s="711">
        <v>1</v>
      </c>
      <c r="AI1297" s="735">
        <v>22640.760000000002</v>
      </c>
    </row>
    <row r="1298" spans="1:35" x14ac:dyDescent="0.2">
      <c r="A1298" s="60" t="s">
        <v>853</v>
      </c>
      <c r="B1298" s="711">
        <v>4</v>
      </c>
      <c r="C1298" s="735">
        <v>1266.73</v>
      </c>
      <c r="D1298" s="735">
        <v>0</v>
      </c>
      <c r="E1298" s="735">
        <v>0</v>
      </c>
      <c r="F1298" s="735">
        <v>0</v>
      </c>
      <c r="G1298" s="735">
        <v>0</v>
      </c>
      <c r="H1298" s="735">
        <v>0</v>
      </c>
      <c r="I1298" s="735">
        <v>0</v>
      </c>
      <c r="J1298" s="735">
        <v>411.67</v>
      </c>
      <c r="K1298" s="735">
        <f t="shared" si="860"/>
        <v>1678.4</v>
      </c>
      <c r="L1298" s="735">
        <v>600</v>
      </c>
      <c r="M1298" s="735">
        <v>0</v>
      </c>
      <c r="N1298" s="735">
        <f t="shared" ref="N1298:N1302" si="888">SUM(L1298:M1298)</f>
        <v>600</v>
      </c>
      <c r="O1298" s="735">
        <f t="shared" si="882"/>
        <v>20740.800000000003</v>
      </c>
      <c r="P1298" s="735">
        <f t="shared" si="883"/>
        <v>82963.200000000012</v>
      </c>
      <c r="Q1298" s="711">
        <v>4</v>
      </c>
      <c r="R1298" s="735">
        <v>1266.73</v>
      </c>
      <c r="S1298" s="735">
        <v>0</v>
      </c>
      <c r="T1298" s="735">
        <v>0</v>
      </c>
      <c r="U1298" s="735">
        <v>0</v>
      </c>
      <c r="V1298" s="735">
        <v>0</v>
      </c>
      <c r="W1298" s="735">
        <v>0</v>
      </c>
      <c r="X1298" s="735">
        <v>0</v>
      </c>
      <c r="Y1298" s="735">
        <v>0</v>
      </c>
      <c r="Z1298" s="735">
        <f t="shared" ref="Z1298:Z1302" si="889">SUM(R1298:Y1298)</f>
        <v>1266.73</v>
      </c>
      <c r="AA1298" s="735">
        <v>600</v>
      </c>
      <c r="AB1298" s="735">
        <v>0</v>
      </c>
      <c r="AC1298" s="735">
        <f t="shared" ref="AC1298:AC1302" si="890">SUM(AA1298:AB1298)</f>
        <v>600</v>
      </c>
      <c r="AD1298" s="735">
        <f t="shared" si="885"/>
        <v>15800.76</v>
      </c>
      <c r="AE1298" s="735">
        <f t="shared" si="886"/>
        <v>63203.040000000001</v>
      </c>
      <c r="AF1298" s="735">
        <f t="shared" si="887"/>
        <v>-14122.36</v>
      </c>
      <c r="AG1298" s="828">
        <f t="shared" si="887"/>
        <v>-62603.040000000001</v>
      </c>
      <c r="AH1298" s="711">
        <v>4</v>
      </c>
      <c r="AI1298" s="735">
        <v>92083.200000000012</v>
      </c>
    </row>
    <row r="1299" spans="1:35" x14ac:dyDescent="0.2">
      <c r="A1299" s="60" t="s">
        <v>854</v>
      </c>
      <c r="B1299" s="711">
        <v>1</v>
      </c>
      <c r="C1299" s="735">
        <v>1400.07</v>
      </c>
      <c r="D1299" s="735">
        <v>0</v>
      </c>
      <c r="E1299" s="735">
        <v>0</v>
      </c>
      <c r="F1299" s="735">
        <v>0</v>
      </c>
      <c r="G1299" s="735">
        <v>0</v>
      </c>
      <c r="H1299" s="735">
        <v>0</v>
      </c>
      <c r="I1299" s="735">
        <v>0</v>
      </c>
      <c r="J1299" s="735">
        <v>175</v>
      </c>
      <c r="K1299" s="735">
        <f t="shared" si="860"/>
        <v>1575.07</v>
      </c>
      <c r="L1299" s="735">
        <v>600</v>
      </c>
      <c r="M1299" s="735">
        <v>0</v>
      </c>
      <c r="N1299" s="735">
        <f t="shared" si="888"/>
        <v>600</v>
      </c>
      <c r="O1299" s="735">
        <f t="shared" si="882"/>
        <v>19500.84</v>
      </c>
      <c r="P1299" s="735">
        <f t="shared" si="883"/>
        <v>19500.84</v>
      </c>
      <c r="Q1299" s="711">
        <v>1</v>
      </c>
      <c r="R1299" s="735">
        <v>1400.07</v>
      </c>
      <c r="S1299" s="735">
        <v>0</v>
      </c>
      <c r="T1299" s="735">
        <v>0</v>
      </c>
      <c r="U1299" s="735">
        <v>0</v>
      </c>
      <c r="V1299" s="735">
        <v>0</v>
      </c>
      <c r="W1299" s="735">
        <v>0</v>
      </c>
      <c r="X1299" s="735">
        <v>0</v>
      </c>
      <c r="Y1299" s="735">
        <v>0</v>
      </c>
      <c r="Z1299" s="735">
        <f t="shared" si="889"/>
        <v>1400.07</v>
      </c>
      <c r="AA1299" s="735">
        <v>600</v>
      </c>
      <c r="AB1299" s="735">
        <v>0</v>
      </c>
      <c r="AC1299" s="735">
        <f t="shared" si="890"/>
        <v>600</v>
      </c>
      <c r="AD1299" s="735">
        <f t="shared" si="885"/>
        <v>17400.84</v>
      </c>
      <c r="AE1299" s="735">
        <f t="shared" si="886"/>
        <v>17400.84</v>
      </c>
      <c r="AF1299" s="735">
        <f t="shared" si="887"/>
        <v>-15825.77</v>
      </c>
      <c r="AG1299" s="828">
        <f t="shared" si="887"/>
        <v>-16800.84</v>
      </c>
      <c r="AH1299" s="711">
        <v>1</v>
      </c>
      <c r="AI1299" s="735">
        <v>22020.84</v>
      </c>
    </row>
    <row r="1300" spans="1:35" x14ac:dyDescent="0.2">
      <c r="A1300" s="60" t="s">
        <v>855</v>
      </c>
      <c r="B1300" s="711">
        <v>1</v>
      </c>
      <c r="C1300" s="735">
        <v>1600.08</v>
      </c>
      <c r="D1300" s="735">
        <v>0</v>
      </c>
      <c r="E1300" s="735">
        <v>0</v>
      </c>
      <c r="F1300" s="735">
        <v>0</v>
      </c>
      <c r="G1300" s="735">
        <v>0</v>
      </c>
      <c r="H1300" s="735">
        <v>0</v>
      </c>
      <c r="I1300" s="735">
        <v>0</v>
      </c>
      <c r="J1300" s="735">
        <v>480</v>
      </c>
      <c r="K1300" s="735">
        <f t="shared" si="860"/>
        <v>2080.08</v>
      </c>
      <c r="L1300" s="735">
        <v>600</v>
      </c>
      <c r="M1300" s="735">
        <v>0</v>
      </c>
      <c r="N1300" s="735">
        <f t="shared" si="888"/>
        <v>600</v>
      </c>
      <c r="O1300" s="735">
        <f t="shared" si="882"/>
        <v>25560.959999999999</v>
      </c>
      <c r="P1300" s="735">
        <f t="shared" si="883"/>
        <v>25560.959999999999</v>
      </c>
      <c r="Q1300" s="711">
        <v>1</v>
      </c>
      <c r="R1300" s="735">
        <v>1600.08</v>
      </c>
      <c r="S1300" s="735">
        <v>0</v>
      </c>
      <c r="T1300" s="735">
        <v>0</v>
      </c>
      <c r="U1300" s="735">
        <v>0</v>
      </c>
      <c r="V1300" s="735">
        <v>0</v>
      </c>
      <c r="W1300" s="735">
        <v>0</v>
      </c>
      <c r="X1300" s="735">
        <v>0</v>
      </c>
      <c r="Y1300" s="735">
        <v>0</v>
      </c>
      <c r="Z1300" s="735">
        <f t="shared" si="889"/>
        <v>1600.08</v>
      </c>
      <c r="AA1300" s="735">
        <v>600</v>
      </c>
      <c r="AB1300" s="735">
        <v>0</v>
      </c>
      <c r="AC1300" s="735">
        <f t="shared" si="890"/>
        <v>600</v>
      </c>
      <c r="AD1300" s="735">
        <f t="shared" si="885"/>
        <v>19800.96</v>
      </c>
      <c r="AE1300" s="735">
        <f t="shared" si="886"/>
        <v>19800.96</v>
      </c>
      <c r="AF1300" s="735">
        <f t="shared" si="887"/>
        <v>-17720.879999999997</v>
      </c>
      <c r="AG1300" s="828">
        <f t="shared" si="887"/>
        <v>-19200.96</v>
      </c>
      <c r="AH1300" s="711">
        <v>1</v>
      </c>
      <c r="AI1300" s="735">
        <v>28440.959999999999</v>
      </c>
    </row>
    <row r="1301" spans="1:35" x14ac:dyDescent="0.2">
      <c r="A1301" s="60" t="s">
        <v>855</v>
      </c>
      <c r="B1301" s="711">
        <v>1</v>
      </c>
      <c r="C1301" s="735">
        <v>1600.08</v>
      </c>
      <c r="D1301" s="735">
        <v>0</v>
      </c>
      <c r="E1301" s="735">
        <v>0</v>
      </c>
      <c r="F1301" s="735">
        <v>0</v>
      </c>
      <c r="G1301" s="735">
        <v>0</v>
      </c>
      <c r="H1301" s="735">
        <v>0</v>
      </c>
      <c r="I1301" s="735">
        <v>0</v>
      </c>
      <c r="J1301" s="735">
        <v>520</v>
      </c>
      <c r="K1301" s="735">
        <f t="shared" si="860"/>
        <v>2120.08</v>
      </c>
      <c r="L1301" s="735">
        <v>600</v>
      </c>
      <c r="M1301" s="735">
        <v>0</v>
      </c>
      <c r="N1301" s="735">
        <f t="shared" si="888"/>
        <v>600</v>
      </c>
      <c r="O1301" s="735">
        <f t="shared" si="882"/>
        <v>26040.959999999999</v>
      </c>
      <c r="P1301" s="735">
        <f t="shared" si="883"/>
        <v>26040.959999999999</v>
      </c>
      <c r="Q1301" s="711">
        <v>1</v>
      </c>
      <c r="R1301" s="735">
        <v>1600.08</v>
      </c>
      <c r="S1301" s="735">
        <v>0</v>
      </c>
      <c r="T1301" s="735">
        <v>0</v>
      </c>
      <c r="U1301" s="735">
        <v>0</v>
      </c>
      <c r="V1301" s="735">
        <v>0</v>
      </c>
      <c r="W1301" s="735">
        <v>0</v>
      </c>
      <c r="X1301" s="735">
        <v>0</v>
      </c>
      <c r="Y1301" s="735">
        <v>0</v>
      </c>
      <c r="Z1301" s="735">
        <f t="shared" si="889"/>
        <v>1600.08</v>
      </c>
      <c r="AA1301" s="735">
        <v>600</v>
      </c>
      <c r="AB1301" s="735">
        <v>0</v>
      </c>
      <c r="AC1301" s="735">
        <f t="shared" si="890"/>
        <v>600</v>
      </c>
      <c r="AD1301" s="735">
        <f t="shared" si="885"/>
        <v>19800.96</v>
      </c>
      <c r="AE1301" s="735">
        <f t="shared" si="886"/>
        <v>19800.96</v>
      </c>
      <c r="AF1301" s="735">
        <f t="shared" si="887"/>
        <v>-17680.879999999997</v>
      </c>
      <c r="AG1301" s="828">
        <f t="shared" si="887"/>
        <v>-19200.96</v>
      </c>
      <c r="AH1301" s="711">
        <v>1</v>
      </c>
      <c r="AI1301" s="735">
        <v>28920.959999999999</v>
      </c>
    </row>
    <row r="1302" spans="1:35" x14ac:dyDescent="0.2">
      <c r="A1302" s="60" t="s">
        <v>856</v>
      </c>
      <c r="B1302" s="711">
        <v>1</v>
      </c>
      <c r="C1302" s="735">
        <v>1666.75</v>
      </c>
      <c r="D1302" s="735">
        <v>0</v>
      </c>
      <c r="E1302" s="735">
        <v>0</v>
      </c>
      <c r="F1302" s="735">
        <v>0</v>
      </c>
      <c r="G1302" s="735">
        <v>0</v>
      </c>
      <c r="H1302" s="735">
        <v>0</v>
      </c>
      <c r="I1302" s="735">
        <v>0</v>
      </c>
      <c r="J1302" s="735">
        <v>541.66999999999996</v>
      </c>
      <c r="K1302" s="735">
        <f t="shared" si="860"/>
        <v>2208.42</v>
      </c>
      <c r="L1302" s="735">
        <v>600</v>
      </c>
      <c r="M1302" s="735">
        <v>0</v>
      </c>
      <c r="N1302" s="735">
        <f t="shared" si="888"/>
        <v>600</v>
      </c>
      <c r="O1302" s="735">
        <f t="shared" si="882"/>
        <v>27101.040000000001</v>
      </c>
      <c r="P1302" s="735">
        <f t="shared" si="883"/>
        <v>27101.040000000001</v>
      </c>
      <c r="Q1302" s="711">
        <v>1</v>
      </c>
      <c r="R1302" s="735">
        <v>1666.75</v>
      </c>
      <c r="S1302" s="735">
        <v>0</v>
      </c>
      <c r="T1302" s="735">
        <v>0</v>
      </c>
      <c r="U1302" s="735">
        <v>0</v>
      </c>
      <c r="V1302" s="735">
        <v>0</v>
      </c>
      <c r="W1302" s="735">
        <v>0</v>
      </c>
      <c r="X1302" s="735">
        <v>0</v>
      </c>
      <c r="Y1302" s="735">
        <v>0</v>
      </c>
      <c r="Z1302" s="735">
        <f t="shared" si="889"/>
        <v>1666.75</v>
      </c>
      <c r="AA1302" s="735">
        <v>600</v>
      </c>
      <c r="AB1302" s="735">
        <v>0</v>
      </c>
      <c r="AC1302" s="735">
        <f t="shared" si="890"/>
        <v>600</v>
      </c>
      <c r="AD1302" s="735">
        <f t="shared" si="885"/>
        <v>20601</v>
      </c>
      <c r="AE1302" s="735">
        <f t="shared" si="886"/>
        <v>20601</v>
      </c>
      <c r="AF1302" s="735">
        <f t="shared" si="887"/>
        <v>-18392.580000000002</v>
      </c>
      <c r="AG1302" s="828">
        <f t="shared" si="887"/>
        <v>-20001</v>
      </c>
      <c r="AH1302" s="711">
        <v>1</v>
      </c>
      <c r="AI1302" s="735">
        <v>30101.040000000001</v>
      </c>
    </row>
    <row r="1303" spans="1:35" x14ac:dyDescent="0.2">
      <c r="A1303" s="869" t="s">
        <v>169</v>
      </c>
      <c r="B1303" s="555">
        <f>SUM(B1220:B1302)</f>
        <v>195</v>
      </c>
      <c r="C1303" s="731">
        <f t="shared" ref="C1303:AI1303" si="891">SUM(C1218:C1302)</f>
        <v>139011.13000000009</v>
      </c>
      <c r="D1303" s="731">
        <f t="shared" si="891"/>
        <v>7450</v>
      </c>
      <c r="E1303" s="731">
        <f t="shared" si="891"/>
        <v>0</v>
      </c>
      <c r="F1303" s="731">
        <f t="shared" si="891"/>
        <v>0</v>
      </c>
      <c r="G1303" s="731">
        <f t="shared" si="891"/>
        <v>0</v>
      </c>
      <c r="H1303" s="731">
        <f t="shared" si="891"/>
        <v>0</v>
      </c>
      <c r="I1303" s="731">
        <f t="shared" si="891"/>
        <v>0</v>
      </c>
      <c r="J1303" s="731">
        <f t="shared" si="891"/>
        <v>45689.579999999994</v>
      </c>
      <c r="K1303" s="731">
        <f t="shared" si="891"/>
        <v>192150.71000000008</v>
      </c>
      <c r="L1303" s="731">
        <f t="shared" si="891"/>
        <v>55000</v>
      </c>
      <c r="M1303" s="731">
        <f t="shared" si="891"/>
        <v>0</v>
      </c>
      <c r="N1303" s="731">
        <f t="shared" si="891"/>
        <v>55000</v>
      </c>
      <c r="O1303" s="731">
        <f t="shared" si="891"/>
        <v>2360808.5199999996</v>
      </c>
      <c r="P1303" s="731">
        <f t="shared" si="891"/>
        <v>6740696.4000000004</v>
      </c>
      <c r="Q1303" s="555">
        <f>SUM(Q1220:Q1302)</f>
        <v>195</v>
      </c>
      <c r="R1303" s="731">
        <f t="shared" ref="R1303" si="892">SUM(R1218:R1302)</f>
        <v>139011.13000000009</v>
      </c>
      <c r="S1303" s="731">
        <f>SUM(S1218:S1302)</f>
        <v>8880</v>
      </c>
      <c r="T1303" s="731">
        <f t="shared" ref="T1303:Y1303" si="893">SUM(T1218:T1302)</f>
        <v>0</v>
      </c>
      <c r="U1303" s="731">
        <f t="shared" si="893"/>
        <v>0</v>
      </c>
      <c r="V1303" s="731">
        <f t="shared" si="893"/>
        <v>0</v>
      </c>
      <c r="W1303" s="731">
        <f t="shared" si="893"/>
        <v>0</v>
      </c>
      <c r="X1303" s="731">
        <f t="shared" si="893"/>
        <v>0</v>
      </c>
      <c r="Y1303" s="731">
        <f t="shared" si="893"/>
        <v>0</v>
      </c>
      <c r="Z1303" s="731">
        <f>SUM(Z1218:Z1302)</f>
        <v>147891.13000000012</v>
      </c>
      <c r="AA1303" s="731">
        <f>SUM(AA1220:AA1302)</f>
        <v>55000</v>
      </c>
      <c r="AB1303" s="731">
        <f t="shared" ref="AB1303" si="894">SUM(AB1218:AB1302)</f>
        <v>0</v>
      </c>
      <c r="AC1303" s="731">
        <f t="shared" si="891"/>
        <v>55000</v>
      </c>
      <c r="AD1303" s="731">
        <f t="shared" si="891"/>
        <v>1829693.5599999987</v>
      </c>
      <c r="AE1303" s="731">
        <f t="shared" si="891"/>
        <v>5203673.6399999997</v>
      </c>
      <c r="AF1303" s="742">
        <f t="shared" si="891"/>
        <v>-1637542.850000001</v>
      </c>
      <c r="AG1303" s="832">
        <f t="shared" si="891"/>
        <v>-5148673.6399999997</v>
      </c>
      <c r="AH1303" s="555">
        <f>SUM(AH1220:AH1302)</f>
        <v>195</v>
      </c>
      <c r="AI1303" s="731">
        <f t="shared" si="891"/>
        <v>7415660.6799999997</v>
      </c>
    </row>
    <row r="1304" spans="1:35" x14ac:dyDescent="0.2">
      <c r="B1304" s="17"/>
      <c r="C1304" s="17"/>
      <c r="D1304" s="17"/>
      <c r="E1304" s="17"/>
      <c r="F1304" s="17"/>
      <c r="G1304" s="17"/>
      <c r="H1304" s="17"/>
      <c r="I1304" s="17"/>
      <c r="J1304" s="17"/>
      <c r="K1304" s="17"/>
      <c r="L1304" s="17"/>
      <c r="M1304" s="17"/>
      <c r="N1304" s="17"/>
      <c r="O1304" s="17"/>
      <c r="P1304" s="17"/>
      <c r="R1304" s="17"/>
      <c r="S1304" s="17"/>
      <c r="T1304" s="17"/>
      <c r="U1304" s="17"/>
      <c r="V1304" s="17"/>
      <c r="W1304" s="17"/>
      <c r="X1304" s="17"/>
      <c r="Y1304" s="17"/>
      <c r="Z1304" s="17"/>
      <c r="AA1304" s="17"/>
      <c r="AB1304" s="17"/>
      <c r="AC1304" s="17"/>
      <c r="AD1304" s="17"/>
      <c r="AE1304" s="17"/>
      <c r="AF1304" s="17"/>
      <c r="AG1304" s="17"/>
      <c r="AH1304" s="17"/>
      <c r="AI1304" s="17"/>
    </row>
    <row r="1305" spans="1:35" x14ac:dyDescent="0.2">
      <c r="B1305" s="17"/>
      <c r="C1305" s="17"/>
      <c r="D1305" s="17"/>
      <c r="E1305" s="17"/>
      <c r="F1305" s="17"/>
      <c r="G1305" s="17"/>
      <c r="H1305" s="17"/>
      <c r="I1305" s="17"/>
      <c r="J1305" s="17"/>
      <c r="K1305" s="17"/>
      <c r="L1305" s="17"/>
      <c r="M1305" s="17"/>
      <c r="N1305" s="17"/>
      <c r="O1305" s="17"/>
      <c r="P1305" s="17"/>
      <c r="R1305" s="17"/>
      <c r="S1305" s="17"/>
      <c r="T1305" s="17"/>
      <c r="U1305" s="17"/>
      <c r="V1305" s="17"/>
      <c r="W1305" s="17"/>
      <c r="X1305" s="17"/>
      <c r="Y1305" s="17"/>
      <c r="Z1305" s="17"/>
      <c r="AA1305" s="17"/>
      <c r="AB1305" s="17"/>
      <c r="AC1305" s="17"/>
      <c r="AD1305" s="17"/>
      <c r="AE1305" s="17"/>
      <c r="AF1305" s="17"/>
      <c r="AG1305" s="17"/>
      <c r="AH1305" s="17"/>
      <c r="AI1305" s="17"/>
    </row>
    <row r="1306" spans="1:35" x14ac:dyDescent="0.2">
      <c r="A1306" s="706" t="s">
        <v>549</v>
      </c>
      <c r="B1306" s="743"/>
      <c r="C1306" s="742"/>
      <c r="D1306" s="742"/>
      <c r="E1306" s="742"/>
      <c r="F1306" s="742"/>
      <c r="G1306" s="742"/>
      <c r="H1306" s="742"/>
      <c r="I1306" s="742"/>
      <c r="J1306" s="742"/>
      <c r="K1306" s="742"/>
      <c r="L1306" s="742"/>
      <c r="M1306" s="742"/>
      <c r="N1306" s="742"/>
      <c r="O1306" s="742"/>
      <c r="P1306" s="742"/>
      <c r="Q1306" s="712"/>
      <c r="R1306" s="742"/>
      <c r="S1306" s="742"/>
      <c r="T1306" s="742"/>
      <c r="U1306" s="742"/>
      <c r="V1306" s="742"/>
      <c r="W1306" s="742"/>
      <c r="X1306" s="742"/>
      <c r="Y1306" s="742"/>
      <c r="Z1306" s="742"/>
      <c r="AA1306" s="742"/>
      <c r="AB1306" s="742"/>
      <c r="AC1306" s="742"/>
      <c r="AD1306" s="742"/>
      <c r="AE1306" s="742"/>
      <c r="AF1306" s="742"/>
      <c r="AG1306" s="743"/>
      <c r="AH1306" s="743"/>
      <c r="AI1306" s="742"/>
    </row>
    <row r="1307" spans="1:35" ht="12.75" customHeight="1" x14ac:dyDescent="0.2">
      <c r="A1307" s="1485" t="s">
        <v>644</v>
      </c>
      <c r="B1307" s="1487" t="s">
        <v>645</v>
      </c>
      <c r="C1307" s="1487"/>
      <c r="D1307" s="1487"/>
      <c r="E1307" s="1487"/>
      <c r="F1307" s="1487"/>
      <c r="G1307" s="1487"/>
      <c r="H1307" s="1487"/>
      <c r="I1307" s="1487"/>
      <c r="J1307" s="1487"/>
      <c r="K1307" s="1487"/>
      <c r="L1307" s="1487"/>
      <c r="M1307" s="1487"/>
      <c r="N1307" s="1487"/>
      <c r="O1307" s="1487"/>
      <c r="P1307" s="1487"/>
      <c r="Q1307" s="1487" t="s">
        <v>646</v>
      </c>
      <c r="R1307" s="1487"/>
      <c r="S1307" s="1487"/>
      <c r="T1307" s="1487"/>
      <c r="U1307" s="1487"/>
      <c r="V1307" s="1487"/>
      <c r="W1307" s="1487"/>
      <c r="X1307" s="1487"/>
      <c r="Y1307" s="1487"/>
      <c r="Z1307" s="1487"/>
      <c r="AA1307" s="1487"/>
      <c r="AB1307" s="1487"/>
      <c r="AC1307" s="1487"/>
      <c r="AD1307" s="1487"/>
      <c r="AE1307" s="1487"/>
      <c r="AF1307" s="1487" t="s">
        <v>647</v>
      </c>
      <c r="AG1307" s="1487"/>
      <c r="AH1307" s="1487" t="s">
        <v>648</v>
      </c>
      <c r="AI1307" s="1487"/>
    </row>
    <row r="1308" spans="1:35" ht="120" customHeight="1" x14ac:dyDescent="0.2">
      <c r="A1308" s="1485"/>
      <c r="B1308" s="691" t="s">
        <v>649</v>
      </c>
      <c r="C1308" s="692" t="s">
        <v>650</v>
      </c>
      <c r="D1308" s="692" t="s">
        <v>684</v>
      </c>
      <c r="E1308" s="692" t="s">
        <v>652</v>
      </c>
      <c r="F1308" s="692" t="s">
        <v>653</v>
      </c>
      <c r="G1308" s="692" t="s">
        <v>654</v>
      </c>
      <c r="H1308" s="692" t="s">
        <v>655</v>
      </c>
      <c r="I1308" s="692" t="s">
        <v>656</v>
      </c>
      <c r="J1308" s="692" t="s">
        <v>657</v>
      </c>
      <c r="K1308" s="692" t="s">
        <v>658</v>
      </c>
      <c r="L1308" s="692" t="s">
        <v>659</v>
      </c>
      <c r="M1308" s="692" t="s">
        <v>660</v>
      </c>
      <c r="N1308" s="692" t="s">
        <v>661</v>
      </c>
      <c r="O1308" s="692" t="s">
        <v>662</v>
      </c>
      <c r="P1308" s="692" t="s">
        <v>685</v>
      </c>
      <c r="Q1308" s="691" t="s">
        <v>649</v>
      </c>
      <c r="R1308" s="692" t="s">
        <v>650</v>
      </c>
      <c r="S1308" s="692" t="s">
        <v>651</v>
      </c>
      <c r="T1308" s="692" t="s">
        <v>652</v>
      </c>
      <c r="U1308" s="692" t="s">
        <v>653</v>
      </c>
      <c r="V1308" s="692" t="s">
        <v>654</v>
      </c>
      <c r="W1308" s="692" t="s">
        <v>655</v>
      </c>
      <c r="X1308" s="692" t="s">
        <v>656</v>
      </c>
      <c r="Y1308" s="692" t="s">
        <v>657</v>
      </c>
      <c r="Z1308" s="692" t="s">
        <v>658</v>
      </c>
      <c r="AA1308" s="692" t="s">
        <v>659</v>
      </c>
      <c r="AB1308" s="692" t="s">
        <v>660</v>
      </c>
      <c r="AC1308" s="692" t="s">
        <v>661</v>
      </c>
      <c r="AD1308" s="692" t="s">
        <v>662</v>
      </c>
      <c r="AE1308" s="692" t="s">
        <v>686</v>
      </c>
      <c r="AF1308" s="692" t="s">
        <v>664</v>
      </c>
      <c r="AG1308" s="691" t="s">
        <v>665</v>
      </c>
      <c r="AH1308" s="691" t="s">
        <v>649</v>
      </c>
      <c r="AI1308" s="692" t="s">
        <v>687</v>
      </c>
    </row>
    <row r="1309" spans="1:35" x14ac:dyDescent="0.2">
      <c r="A1309" s="1485"/>
      <c r="B1309" s="555" t="s">
        <v>667</v>
      </c>
      <c r="C1309" s="733" t="s">
        <v>668</v>
      </c>
      <c r="D1309" s="733" t="s">
        <v>669</v>
      </c>
      <c r="E1309" s="733" t="s">
        <v>670</v>
      </c>
      <c r="F1309" s="734" t="s">
        <v>671</v>
      </c>
      <c r="G1309" s="734" t="s">
        <v>672</v>
      </c>
      <c r="H1309" s="734" t="s">
        <v>673</v>
      </c>
      <c r="I1309" s="734" t="s">
        <v>674</v>
      </c>
      <c r="J1309" s="734" t="s">
        <v>675</v>
      </c>
      <c r="K1309" s="734" t="s">
        <v>676</v>
      </c>
      <c r="L1309" s="734" t="s">
        <v>677</v>
      </c>
      <c r="M1309" s="734" t="s">
        <v>678</v>
      </c>
      <c r="N1309" s="734" t="s">
        <v>679</v>
      </c>
      <c r="O1309" s="734" t="s">
        <v>680</v>
      </c>
      <c r="P1309" s="734" t="s">
        <v>681</v>
      </c>
      <c r="Q1309" s="555" t="s">
        <v>667</v>
      </c>
      <c r="R1309" s="733" t="s">
        <v>668</v>
      </c>
      <c r="S1309" s="733" t="s">
        <v>669</v>
      </c>
      <c r="T1309" s="733" t="s">
        <v>670</v>
      </c>
      <c r="U1309" s="734" t="s">
        <v>671</v>
      </c>
      <c r="V1309" s="734" t="s">
        <v>672</v>
      </c>
      <c r="W1309" s="734" t="s">
        <v>673</v>
      </c>
      <c r="X1309" s="734" t="s">
        <v>674</v>
      </c>
      <c r="Y1309" s="734" t="s">
        <v>675</v>
      </c>
      <c r="Z1309" s="734" t="s">
        <v>676</v>
      </c>
      <c r="AA1309" s="734" t="s">
        <v>677</v>
      </c>
      <c r="AB1309" s="734" t="s">
        <v>678</v>
      </c>
      <c r="AC1309" s="734" t="s">
        <v>679</v>
      </c>
      <c r="AD1309" s="734" t="s">
        <v>680</v>
      </c>
      <c r="AE1309" s="734" t="s">
        <v>681</v>
      </c>
      <c r="AF1309" s="733"/>
      <c r="AG1309" s="555"/>
      <c r="AH1309" s="555"/>
      <c r="AI1309" s="733"/>
    </row>
    <row r="1310" spans="1:35" x14ac:dyDescent="0.2">
      <c r="A1310" s="704"/>
      <c r="B1310" s="711"/>
      <c r="C1310" s="735"/>
      <c r="D1310" s="735"/>
      <c r="E1310" s="735"/>
      <c r="F1310" s="735"/>
      <c r="G1310" s="735"/>
      <c r="H1310" s="735"/>
      <c r="I1310" s="735"/>
      <c r="J1310" s="735"/>
      <c r="K1310" s="735"/>
      <c r="L1310" s="735"/>
      <c r="M1310" s="735"/>
      <c r="N1310" s="735"/>
      <c r="O1310" s="735"/>
      <c r="P1310" s="735"/>
      <c r="Q1310" s="421"/>
      <c r="R1310" s="735"/>
      <c r="S1310" s="735"/>
      <c r="T1310" s="735"/>
      <c r="U1310" s="735"/>
      <c r="V1310" s="735"/>
      <c r="W1310" s="735"/>
      <c r="X1310" s="735"/>
      <c r="Y1310" s="735"/>
      <c r="Z1310" s="735"/>
      <c r="AA1310" s="735"/>
      <c r="AB1310" s="735"/>
      <c r="AC1310" s="735"/>
      <c r="AD1310" s="735"/>
      <c r="AE1310" s="735"/>
      <c r="AF1310" s="735"/>
      <c r="AG1310" s="711"/>
      <c r="AH1310" s="711"/>
      <c r="AI1310" s="735"/>
    </row>
    <row r="1311" spans="1:35" x14ac:dyDescent="0.2">
      <c r="A1311" s="704" t="s">
        <v>688</v>
      </c>
      <c r="B1311" s="711"/>
      <c r="C1311" s="735"/>
      <c r="D1311" s="735"/>
      <c r="E1311" s="735"/>
      <c r="F1311" s="735"/>
      <c r="G1311" s="735"/>
      <c r="H1311" s="735"/>
      <c r="I1311" s="735"/>
      <c r="J1311" s="735"/>
      <c r="K1311" s="735"/>
      <c r="L1311" s="735"/>
      <c r="M1311" s="735"/>
      <c r="N1311" s="735"/>
      <c r="O1311" s="735"/>
      <c r="P1311" s="735"/>
      <c r="Q1311" s="421"/>
      <c r="R1311" s="735"/>
      <c r="S1311" s="735"/>
      <c r="T1311" s="735"/>
      <c r="U1311" s="735"/>
      <c r="V1311" s="735"/>
      <c r="W1311" s="735"/>
      <c r="X1311" s="735"/>
      <c r="Y1311" s="735"/>
      <c r="Z1311" s="735"/>
      <c r="AA1311" s="735"/>
      <c r="AB1311" s="735"/>
      <c r="AC1311" s="735"/>
      <c r="AD1311" s="735"/>
      <c r="AE1311" s="735"/>
      <c r="AF1311" s="735"/>
      <c r="AG1311" s="711"/>
      <c r="AH1311" s="711"/>
      <c r="AI1311" s="735"/>
    </row>
    <row r="1312" spans="1:35" x14ac:dyDescent="0.2">
      <c r="A1312" s="704" t="s">
        <v>700</v>
      </c>
      <c r="B1312" s="711">
        <v>50</v>
      </c>
      <c r="C1312" s="833">
        <v>58569.4</v>
      </c>
      <c r="D1312" s="735">
        <v>48250</v>
      </c>
      <c r="E1312" s="735"/>
      <c r="F1312" s="735"/>
      <c r="G1312" s="735"/>
      <c r="H1312" s="735"/>
      <c r="I1312" s="735"/>
      <c r="J1312" s="735"/>
      <c r="K1312" s="735"/>
      <c r="L1312" s="735">
        <v>33000</v>
      </c>
      <c r="M1312" s="735"/>
      <c r="N1312" s="735"/>
      <c r="O1312" s="735">
        <f>C1312+D1312+L1312</f>
        <v>139819.4</v>
      </c>
      <c r="P1312" s="735">
        <f>O1312*12</f>
        <v>1677832.7999999998</v>
      </c>
      <c r="Q1312" s="421">
        <v>50</v>
      </c>
      <c r="R1312" s="735">
        <f>C1312</f>
        <v>58569.4</v>
      </c>
      <c r="S1312" s="735">
        <v>47300</v>
      </c>
      <c r="T1312" s="735"/>
      <c r="U1312" s="735"/>
      <c r="V1312" s="735"/>
      <c r="W1312" s="735"/>
      <c r="X1312" s="735"/>
      <c r="Y1312" s="735"/>
      <c r="Z1312" s="735"/>
      <c r="AA1312" s="735">
        <v>33000</v>
      </c>
      <c r="AB1312" s="735"/>
      <c r="AC1312" s="735"/>
      <c r="AD1312" s="735">
        <f>SUM(R1312:AA1312)</f>
        <v>138869.4</v>
      </c>
      <c r="AE1312" s="735">
        <f>AD1312*12</f>
        <v>1666432.7999999998</v>
      </c>
      <c r="AF1312" s="735">
        <f>O1312-AD1312</f>
        <v>950</v>
      </c>
      <c r="AG1312" s="736">
        <f>P1312-AE1312</f>
        <v>11400</v>
      </c>
      <c r="AH1312" s="711"/>
      <c r="AI1312" s="735"/>
    </row>
    <row r="1313" spans="1:35" x14ac:dyDescent="0.2">
      <c r="A1313" s="704" t="s">
        <v>700</v>
      </c>
      <c r="B1313" s="711"/>
      <c r="C1313" s="735"/>
      <c r="D1313" s="735"/>
      <c r="E1313" s="735"/>
      <c r="F1313" s="735"/>
      <c r="G1313" s="735"/>
      <c r="H1313" s="735"/>
      <c r="I1313" s="735"/>
      <c r="J1313" s="735"/>
      <c r="K1313" s="735"/>
      <c r="L1313" s="735"/>
      <c r="M1313" s="735"/>
      <c r="N1313" s="735"/>
      <c r="O1313" s="735"/>
      <c r="P1313" s="735"/>
      <c r="Q1313" s="421"/>
      <c r="R1313" s="735"/>
      <c r="S1313" s="735"/>
      <c r="T1313" s="735"/>
      <c r="U1313" s="735"/>
      <c r="V1313" s="735"/>
      <c r="W1313" s="735"/>
      <c r="X1313" s="735"/>
      <c r="Y1313" s="735"/>
      <c r="Z1313" s="735"/>
      <c r="AA1313" s="735"/>
      <c r="AB1313" s="735"/>
      <c r="AC1313" s="735"/>
      <c r="AD1313" s="735"/>
      <c r="AE1313" s="735"/>
      <c r="AF1313" s="735"/>
      <c r="AG1313" s="711"/>
      <c r="AH1313" s="711"/>
      <c r="AI1313" s="735"/>
    </row>
    <row r="1314" spans="1:35" ht="36" x14ac:dyDescent="0.2">
      <c r="A1314" s="704" t="s">
        <v>448</v>
      </c>
      <c r="B1314" s="711"/>
      <c r="C1314" s="735"/>
      <c r="D1314" s="735"/>
      <c r="E1314" s="735"/>
      <c r="F1314" s="735"/>
      <c r="G1314" s="735"/>
      <c r="H1314" s="735"/>
      <c r="I1314" s="735"/>
      <c r="J1314" s="735"/>
      <c r="K1314" s="735"/>
      <c r="L1314" s="735"/>
      <c r="M1314" s="735"/>
      <c r="N1314" s="735"/>
      <c r="O1314" s="735"/>
      <c r="P1314" s="735"/>
      <c r="Q1314" s="421"/>
      <c r="R1314" s="735"/>
      <c r="S1314" s="735"/>
      <c r="T1314" s="735"/>
      <c r="U1314" s="735"/>
      <c r="V1314" s="735"/>
      <c r="W1314" s="735"/>
      <c r="X1314" s="735"/>
      <c r="Y1314" s="735"/>
      <c r="Z1314" s="735"/>
      <c r="AA1314" s="735"/>
      <c r="AB1314" s="735"/>
      <c r="AC1314" s="735"/>
      <c r="AD1314" s="735"/>
      <c r="AE1314" s="735"/>
      <c r="AF1314" s="735"/>
      <c r="AG1314" s="711"/>
      <c r="AH1314" s="711"/>
      <c r="AI1314" s="735"/>
    </row>
    <row r="1315" spans="1:35" x14ac:dyDescent="0.2">
      <c r="A1315" s="704" t="s">
        <v>700</v>
      </c>
      <c r="B1315" s="711"/>
      <c r="C1315" s="735"/>
      <c r="D1315" s="735"/>
      <c r="E1315" s="735"/>
      <c r="F1315" s="735"/>
      <c r="G1315" s="735"/>
      <c r="H1315" s="735"/>
      <c r="I1315" s="735"/>
      <c r="J1315" s="735"/>
      <c r="K1315" s="735"/>
      <c r="L1315" s="735"/>
      <c r="M1315" s="735"/>
      <c r="N1315" s="735"/>
      <c r="O1315" s="735"/>
      <c r="P1315" s="735"/>
      <c r="Q1315" s="421"/>
      <c r="R1315" s="735"/>
      <c r="S1315" s="735"/>
      <c r="T1315" s="735"/>
      <c r="U1315" s="735"/>
      <c r="V1315" s="735"/>
      <c r="W1315" s="735"/>
      <c r="X1315" s="735"/>
      <c r="Y1315" s="735"/>
      <c r="Z1315" s="735"/>
      <c r="AA1315" s="735"/>
      <c r="AB1315" s="735"/>
      <c r="AC1315" s="735"/>
      <c r="AD1315" s="735"/>
      <c r="AE1315" s="735"/>
      <c r="AF1315" s="735"/>
      <c r="AG1315" s="711"/>
      <c r="AH1315" s="711"/>
      <c r="AI1315" s="735"/>
    </row>
    <row r="1316" spans="1:35" x14ac:dyDescent="0.2">
      <c r="A1316" s="704" t="s">
        <v>700</v>
      </c>
      <c r="B1316" s="711"/>
      <c r="C1316" s="735"/>
      <c r="D1316" s="735"/>
      <c r="E1316" s="735"/>
      <c r="F1316" s="735"/>
      <c r="G1316" s="735"/>
      <c r="H1316" s="735"/>
      <c r="I1316" s="735"/>
      <c r="J1316" s="735"/>
      <c r="K1316" s="735"/>
      <c r="L1316" s="735"/>
      <c r="M1316" s="735"/>
      <c r="N1316" s="735"/>
      <c r="O1316" s="735"/>
      <c r="P1316" s="735"/>
      <c r="Q1316" s="421"/>
      <c r="R1316" s="735"/>
      <c r="S1316" s="735"/>
      <c r="T1316" s="735"/>
      <c r="U1316" s="735"/>
      <c r="V1316" s="735"/>
      <c r="W1316" s="735"/>
      <c r="X1316" s="735"/>
      <c r="Y1316" s="735"/>
      <c r="Z1316" s="735"/>
      <c r="AA1316" s="735"/>
      <c r="AB1316" s="735"/>
      <c r="AC1316" s="735"/>
      <c r="AD1316" s="735"/>
      <c r="AE1316" s="735"/>
      <c r="AF1316" s="735"/>
      <c r="AG1316" s="711"/>
      <c r="AH1316" s="711"/>
      <c r="AI1316" s="735"/>
    </row>
    <row r="1317" spans="1:35" x14ac:dyDescent="0.2">
      <c r="A1317" s="704" t="s">
        <v>776</v>
      </c>
      <c r="B1317" s="711"/>
      <c r="C1317" s="735"/>
      <c r="D1317" s="735"/>
      <c r="E1317" s="735"/>
      <c r="F1317" s="735"/>
      <c r="G1317" s="735"/>
      <c r="H1317" s="735"/>
      <c r="I1317" s="735"/>
      <c r="J1317" s="735"/>
      <c r="K1317" s="735"/>
      <c r="L1317" s="735"/>
      <c r="M1317" s="735"/>
      <c r="N1317" s="735"/>
      <c r="O1317" s="735"/>
      <c r="P1317" s="735"/>
      <c r="Q1317" s="421"/>
      <c r="R1317" s="735"/>
      <c r="S1317" s="735"/>
      <c r="T1317" s="735"/>
      <c r="U1317" s="735"/>
      <c r="V1317" s="735"/>
      <c r="W1317" s="735"/>
      <c r="X1317" s="735"/>
      <c r="Y1317" s="735"/>
      <c r="Z1317" s="735"/>
      <c r="AA1317" s="735"/>
      <c r="AB1317" s="735"/>
      <c r="AC1317" s="735"/>
      <c r="AD1317" s="735"/>
      <c r="AE1317" s="735"/>
      <c r="AF1317" s="735"/>
      <c r="AG1317" s="711"/>
      <c r="AH1317" s="711"/>
      <c r="AI1317" s="735"/>
    </row>
    <row r="1318" spans="1:35" x14ac:dyDescent="0.2">
      <c r="A1318" s="704" t="s">
        <v>700</v>
      </c>
      <c r="B1318" s="711">
        <v>4</v>
      </c>
      <c r="C1318" s="735">
        <v>7256</v>
      </c>
      <c r="D1318" s="735"/>
      <c r="E1318" s="735"/>
      <c r="F1318" s="735"/>
      <c r="G1318" s="735"/>
      <c r="H1318" s="735"/>
      <c r="I1318" s="735"/>
      <c r="J1318" s="735"/>
      <c r="K1318" s="735"/>
      <c r="L1318" s="735">
        <v>4000</v>
      </c>
      <c r="M1318" s="735"/>
      <c r="N1318" s="735"/>
      <c r="O1318" s="735">
        <f>L1318+C1318</f>
        <v>11256</v>
      </c>
      <c r="P1318" s="735">
        <f>O1318*12</f>
        <v>135072</v>
      </c>
      <c r="Q1318" s="421">
        <v>4</v>
      </c>
      <c r="R1318" s="735">
        <v>7656</v>
      </c>
      <c r="S1318" s="735"/>
      <c r="T1318" s="735"/>
      <c r="U1318" s="735"/>
      <c r="V1318" s="735"/>
      <c r="W1318" s="735"/>
      <c r="X1318" s="735"/>
      <c r="Y1318" s="735"/>
      <c r="Z1318" s="735"/>
      <c r="AA1318" s="735">
        <v>4000</v>
      </c>
      <c r="AB1318" s="735"/>
      <c r="AC1318" s="735"/>
      <c r="AD1318" s="735">
        <f>SUM(R1318:AA1318)</f>
        <v>11656</v>
      </c>
      <c r="AE1318" s="735">
        <f>AD1318*12</f>
        <v>139872</v>
      </c>
      <c r="AF1318" s="735">
        <f>O1318-AD1318</f>
        <v>-400</v>
      </c>
      <c r="AG1318" s="736">
        <f>P1318-AE1318</f>
        <v>-4800</v>
      </c>
      <c r="AH1318" s="711"/>
      <c r="AI1318" s="735"/>
    </row>
    <row r="1319" spans="1:35" x14ac:dyDescent="0.2">
      <c r="A1319" s="704" t="s">
        <v>700</v>
      </c>
      <c r="B1319" s="711"/>
      <c r="C1319" s="735"/>
      <c r="D1319" s="735"/>
      <c r="E1319" s="735"/>
      <c r="F1319" s="735"/>
      <c r="G1319" s="735"/>
      <c r="H1319" s="735"/>
      <c r="I1319" s="735"/>
      <c r="J1319" s="735"/>
      <c r="K1319" s="735"/>
      <c r="L1319" s="735"/>
      <c r="M1319" s="735"/>
      <c r="N1319" s="735"/>
      <c r="O1319" s="735"/>
      <c r="P1319" s="735"/>
      <c r="Q1319" s="421"/>
      <c r="R1319" s="735"/>
      <c r="S1319" s="735"/>
      <c r="T1319" s="735"/>
      <c r="U1319" s="735"/>
      <c r="V1319" s="735"/>
      <c r="W1319" s="735"/>
      <c r="X1319" s="735"/>
      <c r="Y1319" s="735"/>
      <c r="Z1319" s="735"/>
      <c r="AA1319" s="735"/>
      <c r="AB1319" s="735"/>
      <c r="AC1319" s="735"/>
      <c r="AD1319" s="735"/>
      <c r="AE1319" s="735"/>
      <c r="AF1319" s="735"/>
      <c r="AG1319" s="711"/>
      <c r="AH1319" s="711"/>
      <c r="AI1319" s="735"/>
    </row>
    <row r="1320" spans="1:35" ht="24" x14ac:dyDescent="0.2">
      <c r="A1320" s="704" t="s">
        <v>827</v>
      </c>
      <c r="B1320" s="711">
        <v>494</v>
      </c>
      <c r="C1320" s="735">
        <v>3530444.69</v>
      </c>
      <c r="D1320" s="735"/>
      <c r="E1320" s="735"/>
      <c r="F1320" s="735"/>
      <c r="G1320" s="735"/>
      <c r="H1320" s="735"/>
      <c r="I1320" s="735"/>
      <c r="J1320" s="735"/>
      <c r="K1320" s="735"/>
      <c r="L1320" s="735">
        <v>494000</v>
      </c>
      <c r="M1320" s="735"/>
      <c r="N1320" s="735"/>
      <c r="O1320" s="735">
        <f>L1320+C1320</f>
        <v>4024444.69</v>
      </c>
      <c r="P1320" s="735">
        <f>O1320*12</f>
        <v>48293336.280000001</v>
      </c>
      <c r="Q1320" s="421">
        <v>494</v>
      </c>
      <c r="R1320" s="735">
        <v>3530444.69</v>
      </c>
      <c r="S1320" s="735"/>
      <c r="T1320" s="735"/>
      <c r="U1320" s="735"/>
      <c r="V1320" s="735"/>
      <c r="W1320" s="735"/>
      <c r="X1320" s="735"/>
      <c r="Y1320" s="735"/>
      <c r="Z1320" s="735"/>
      <c r="AA1320" s="735">
        <v>494000</v>
      </c>
      <c r="AB1320" s="735"/>
      <c r="AC1320" s="735"/>
      <c r="AD1320" s="735">
        <f>SUM(R1320:AA1320)</f>
        <v>4024444.69</v>
      </c>
      <c r="AE1320" s="735">
        <f>AD1320*12</f>
        <v>48293336.280000001</v>
      </c>
      <c r="AF1320" s="735">
        <f>O1320-AD1320</f>
        <v>0</v>
      </c>
      <c r="AG1320" s="736">
        <f>P1320-AE1320</f>
        <v>0</v>
      </c>
      <c r="AH1320" s="711"/>
      <c r="AI1320" s="735"/>
    </row>
    <row r="1321" spans="1:35" x14ac:dyDescent="0.2">
      <c r="A1321" s="704" t="s">
        <v>700</v>
      </c>
      <c r="B1321" s="711"/>
      <c r="C1321" s="735"/>
      <c r="D1321" s="735"/>
      <c r="E1321" s="735"/>
      <c r="F1321" s="735"/>
      <c r="G1321" s="735"/>
      <c r="H1321" s="735"/>
      <c r="I1321" s="735"/>
      <c r="J1321" s="735"/>
      <c r="K1321" s="735"/>
      <c r="L1321" s="735"/>
      <c r="M1321" s="735"/>
      <c r="N1321" s="735"/>
      <c r="O1321" s="735"/>
      <c r="P1321" s="735"/>
      <c r="Q1321" s="421"/>
      <c r="R1321" s="735"/>
      <c r="S1321" s="735"/>
      <c r="T1321" s="735"/>
      <c r="U1321" s="735"/>
      <c r="V1321" s="735"/>
      <c r="W1321" s="735"/>
      <c r="X1321" s="735"/>
      <c r="Y1321" s="735"/>
      <c r="Z1321" s="735"/>
      <c r="AA1321" s="735"/>
      <c r="AB1321" s="735"/>
      <c r="AC1321" s="735"/>
      <c r="AD1321" s="735"/>
      <c r="AE1321" s="735"/>
      <c r="AF1321" s="735"/>
      <c r="AG1321" s="711"/>
      <c r="AH1321" s="711"/>
      <c r="AI1321" s="735"/>
    </row>
    <row r="1322" spans="1:35" x14ac:dyDescent="0.2">
      <c r="A1322" s="704" t="s">
        <v>700</v>
      </c>
      <c r="B1322" s="711"/>
      <c r="C1322" s="735"/>
      <c r="D1322" s="735"/>
      <c r="E1322" s="735"/>
      <c r="F1322" s="735"/>
      <c r="G1322" s="735"/>
      <c r="H1322" s="735"/>
      <c r="I1322" s="735"/>
      <c r="J1322" s="735"/>
      <c r="K1322" s="735"/>
      <c r="L1322" s="735"/>
      <c r="M1322" s="735"/>
      <c r="N1322" s="735"/>
      <c r="O1322" s="735"/>
      <c r="P1322" s="735"/>
      <c r="Q1322" s="421"/>
      <c r="R1322" s="735"/>
      <c r="S1322" s="735"/>
      <c r="T1322" s="735"/>
      <c r="U1322" s="735"/>
      <c r="V1322" s="735"/>
      <c r="W1322" s="735"/>
      <c r="X1322" s="735"/>
      <c r="Y1322" s="735"/>
      <c r="Z1322" s="735"/>
      <c r="AA1322" s="735"/>
      <c r="AB1322" s="735"/>
      <c r="AC1322" s="735"/>
      <c r="AD1322" s="735"/>
      <c r="AE1322" s="735"/>
      <c r="AF1322" s="735"/>
      <c r="AG1322" s="711"/>
      <c r="AH1322" s="711"/>
      <c r="AI1322" s="735"/>
    </row>
    <row r="1323" spans="1:35" x14ac:dyDescent="0.2">
      <c r="A1323" s="704" t="s">
        <v>777</v>
      </c>
      <c r="B1323" s="711"/>
      <c r="C1323" s="735"/>
      <c r="D1323" s="735"/>
      <c r="E1323" s="735"/>
      <c r="F1323" s="735"/>
      <c r="G1323" s="735"/>
      <c r="H1323" s="735"/>
      <c r="I1323" s="735"/>
      <c r="J1323" s="735"/>
      <c r="K1323" s="735"/>
      <c r="L1323" s="735"/>
      <c r="M1323" s="735"/>
      <c r="N1323" s="735"/>
      <c r="O1323" s="735"/>
      <c r="P1323" s="735"/>
      <c r="Q1323" s="421"/>
      <c r="R1323" s="735"/>
      <c r="S1323" s="735"/>
      <c r="T1323" s="735"/>
      <c r="U1323" s="735"/>
      <c r="V1323" s="735"/>
      <c r="W1323" s="735"/>
      <c r="X1323" s="735"/>
      <c r="Y1323" s="735"/>
      <c r="Z1323" s="735"/>
      <c r="AA1323" s="735"/>
      <c r="AB1323" s="735"/>
      <c r="AC1323" s="735"/>
      <c r="AD1323" s="735"/>
      <c r="AE1323" s="735"/>
      <c r="AF1323" s="735"/>
      <c r="AG1323" s="711"/>
      <c r="AH1323" s="711"/>
      <c r="AI1323" s="735"/>
    </row>
    <row r="1324" spans="1:35" x14ac:dyDescent="0.2">
      <c r="A1324" s="704" t="s">
        <v>700</v>
      </c>
      <c r="B1324" s="711"/>
      <c r="C1324" s="735"/>
      <c r="D1324" s="735"/>
      <c r="E1324" s="735"/>
      <c r="F1324" s="735"/>
      <c r="G1324" s="735"/>
      <c r="H1324" s="735"/>
      <c r="I1324" s="735"/>
      <c r="J1324" s="735"/>
      <c r="K1324" s="735"/>
      <c r="L1324" s="735"/>
      <c r="M1324" s="735"/>
      <c r="N1324" s="735"/>
      <c r="O1324" s="735"/>
      <c r="P1324" s="735"/>
      <c r="Q1324" s="421"/>
      <c r="R1324" s="735"/>
      <c r="S1324" s="735"/>
      <c r="T1324" s="735"/>
      <c r="U1324" s="735"/>
      <c r="V1324" s="735"/>
      <c r="W1324" s="735"/>
      <c r="X1324" s="735"/>
      <c r="Y1324" s="735"/>
      <c r="Z1324" s="735"/>
      <c r="AA1324" s="735"/>
      <c r="AB1324" s="735"/>
      <c r="AC1324" s="735"/>
      <c r="AD1324" s="735"/>
      <c r="AE1324" s="735"/>
      <c r="AF1324" s="735"/>
      <c r="AG1324" s="711"/>
      <c r="AH1324" s="711"/>
      <c r="AI1324" s="735"/>
    </row>
    <row r="1325" spans="1:35" x14ac:dyDescent="0.2">
      <c r="A1325" s="704" t="s">
        <v>700</v>
      </c>
      <c r="B1325" s="711"/>
      <c r="C1325" s="735"/>
      <c r="D1325" s="735"/>
      <c r="E1325" s="735"/>
      <c r="F1325" s="735"/>
      <c r="G1325" s="735"/>
      <c r="H1325" s="735"/>
      <c r="I1325" s="735"/>
      <c r="J1325" s="735"/>
      <c r="K1325" s="735"/>
      <c r="L1325" s="735"/>
      <c r="M1325" s="735"/>
      <c r="N1325" s="735"/>
      <c r="O1325" s="735"/>
      <c r="P1325" s="735"/>
      <c r="Q1325" s="421"/>
      <c r="R1325" s="735"/>
      <c r="S1325" s="735"/>
      <c r="T1325" s="735"/>
      <c r="U1325" s="735"/>
      <c r="V1325" s="735"/>
      <c r="W1325" s="735"/>
      <c r="X1325" s="735"/>
      <c r="Y1325" s="735"/>
      <c r="Z1325" s="735"/>
      <c r="AA1325" s="735"/>
      <c r="AB1325" s="735"/>
      <c r="AC1325" s="735"/>
      <c r="AD1325" s="735"/>
      <c r="AE1325" s="735"/>
      <c r="AF1325" s="735"/>
      <c r="AG1325" s="711"/>
      <c r="AH1325" s="711"/>
      <c r="AI1325" s="735"/>
    </row>
    <row r="1326" spans="1:35" x14ac:dyDescent="0.2">
      <c r="A1326" s="704" t="s">
        <v>778</v>
      </c>
      <c r="B1326" s="711"/>
      <c r="C1326" s="735"/>
      <c r="D1326" s="735"/>
      <c r="E1326" s="735"/>
      <c r="F1326" s="735"/>
      <c r="G1326" s="735"/>
      <c r="H1326" s="735"/>
      <c r="I1326" s="735"/>
      <c r="J1326" s="735"/>
      <c r="K1326" s="735"/>
      <c r="L1326" s="735"/>
      <c r="M1326" s="735"/>
      <c r="N1326" s="735"/>
      <c r="O1326" s="735"/>
      <c r="P1326" s="735"/>
      <c r="Q1326" s="421"/>
      <c r="R1326" s="735"/>
      <c r="S1326" s="735"/>
      <c r="T1326" s="735"/>
      <c r="U1326" s="735"/>
      <c r="V1326" s="735"/>
      <c r="W1326" s="735"/>
      <c r="X1326" s="735"/>
      <c r="Y1326" s="735"/>
      <c r="Z1326" s="735"/>
      <c r="AA1326" s="735"/>
      <c r="AB1326" s="735"/>
      <c r="AC1326" s="735"/>
      <c r="AD1326" s="735"/>
      <c r="AE1326" s="735"/>
      <c r="AF1326" s="735"/>
      <c r="AG1326" s="711"/>
      <c r="AH1326" s="711"/>
      <c r="AI1326" s="735"/>
    </row>
    <row r="1327" spans="1:35" x14ac:dyDescent="0.2">
      <c r="A1327" s="704" t="s">
        <v>700</v>
      </c>
      <c r="B1327" s="711"/>
      <c r="C1327" s="735"/>
      <c r="D1327" s="735"/>
      <c r="E1327" s="735"/>
      <c r="F1327" s="735"/>
      <c r="G1327" s="735"/>
      <c r="H1327" s="735"/>
      <c r="I1327" s="735"/>
      <c r="J1327" s="735"/>
      <c r="K1327" s="735"/>
      <c r="L1327" s="735"/>
      <c r="M1327" s="735"/>
      <c r="N1327" s="735"/>
      <c r="O1327" s="735"/>
      <c r="P1327" s="735"/>
      <c r="Q1327" s="421"/>
      <c r="R1327" s="735"/>
      <c r="S1327" s="735"/>
      <c r="T1327" s="735"/>
      <c r="U1327" s="735"/>
      <c r="V1327" s="735"/>
      <c r="W1327" s="735"/>
      <c r="X1327" s="735"/>
      <c r="Y1327" s="735"/>
      <c r="Z1327" s="735"/>
      <c r="AA1327" s="735"/>
      <c r="AB1327" s="735"/>
      <c r="AC1327" s="735"/>
      <c r="AD1327" s="735"/>
      <c r="AE1327" s="735"/>
      <c r="AF1327" s="735"/>
      <c r="AG1327" s="711"/>
      <c r="AH1327" s="711"/>
      <c r="AI1327" s="735"/>
    </row>
    <row r="1328" spans="1:35" x14ac:dyDescent="0.2">
      <c r="A1328" s="704" t="s">
        <v>700</v>
      </c>
      <c r="B1328" s="711"/>
      <c r="C1328" s="735"/>
      <c r="D1328" s="735"/>
      <c r="E1328" s="735"/>
      <c r="F1328" s="735"/>
      <c r="G1328" s="735"/>
      <c r="H1328" s="735"/>
      <c r="I1328" s="735"/>
      <c r="J1328" s="735"/>
      <c r="K1328" s="735"/>
      <c r="L1328" s="735"/>
      <c r="M1328" s="735"/>
      <c r="N1328" s="735"/>
      <c r="O1328" s="735"/>
      <c r="P1328" s="735"/>
      <c r="Q1328" s="421"/>
      <c r="R1328" s="735"/>
      <c r="S1328" s="735"/>
      <c r="T1328" s="735"/>
      <c r="U1328" s="735"/>
      <c r="V1328" s="735"/>
      <c r="W1328" s="735"/>
      <c r="X1328" s="735"/>
      <c r="Y1328" s="735"/>
      <c r="Z1328" s="735"/>
      <c r="AA1328" s="735"/>
      <c r="AB1328" s="735"/>
      <c r="AC1328" s="735"/>
      <c r="AD1328" s="735"/>
      <c r="AE1328" s="735"/>
      <c r="AF1328" s="735"/>
      <c r="AG1328" s="711"/>
      <c r="AH1328" s="711"/>
      <c r="AI1328" s="735"/>
    </row>
    <row r="1329" spans="1:35" ht="24" x14ac:dyDescent="0.2">
      <c r="A1329" s="704" t="s">
        <v>779</v>
      </c>
      <c r="B1329" s="711"/>
      <c r="C1329" s="735"/>
      <c r="D1329" s="735"/>
      <c r="E1329" s="735"/>
      <c r="F1329" s="735"/>
      <c r="G1329" s="735"/>
      <c r="H1329" s="735"/>
      <c r="I1329" s="735"/>
      <c r="J1329" s="735"/>
      <c r="K1329" s="735"/>
      <c r="L1329" s="735"/>
      <c r="M1329" s="735"/>
      <c r="N1329" s="735"/>
      <c r="O1329" s="735"/>
      <c r="P1329" s="735"/>
      <c r="Q1329" s="421"/>
      <c r="R1329" s="735"/>
      <c r="S1329" s="735"/>
      <c r="T1329" s="735"/>
      <c r="U1329" s="735"/>
      <c r="V1329" s="735"/>
      <c r="W1329" s="735"/>
      <c r="X1329" s="735"/>
      <c r="Y1329" s="735"/>
      <c r="Z1329" s="735"/>
      <c r="AA1329" s="735"/>
      <c r="AB1329" s="735"/>
      <c r="AC1329" s="735"/>
      <c r="AD1329" s="735"/>
      <c r="AE1329" s="735"/>
      <c r="AF1329" s="735"/>
      <c r="AG1329" s="711"/>
      <c r="AH1329" s="711"/>
      <c r="AI1329" s="735"/>
    </row>
    <row r="1330" spans="1:35" x14ac:dyDescent="0.2">
      <c r="A1330" s="704" t="s">
        <v>700</v>
      </c>
      <c r="B1330" s="711"/>
      <c r="C1330" s="735"/>
      <c r="D1330" s="735"/>
      <c r="E1330" s="735"/>
      <c r="F1330" s="735"/>
      <c r="G1330" s="735"/>
      <c r="H1330" s="735"/>
      <c r="I1330" s="735"/>
      <c r="J1330" s="735"/>
      <c r="K1330" s="735"/>
      <c r="L1330" s="735"/>
      <c r="M1330" s="735"/>
      <c r="N1330" s="735"/>
      <c r="O1330" s="735"/>
      <c r="P1330" s="735"/>
      <c r="Q1330" s="421"/>
      <c r="R1330" s="735"/>
      <c r="S1330" s="735"/>
      <c r="T1330" s="735"/>
      <c r="U1330" s="735"/>
      <c r="V1330" s="735"/>
      <c r="W1330" s="735"/>
      <c r="X1330" s="735"/>
      <c r="Y1330" s="735"/>
      <c r="Z1330" s="735"/>
      <c r="AA1330" s="735"/>
      <c r="AB1330" s="735"/>
      <c r="AC1330" s="735"/>
      <c r="AD1330" s="735"/>
      <c r="AE1330" s="735"/>
      <c r="AF1330" s="735"/>
      <c r="AG1330" s="711"/>
      <c r="AH1330" s="711"/>
      <c r="AI1330" s="735"/>
    </row>
    <row r="1331" spans="1:35" x14ac:dyDescent="0.2">
      <c r="A1331" s="704" t="s">
        <v>700</v>
      </c>
      <c r="B1331" s="711"/>
      <c r="C1331" s="735"/>
      <c r="D1331" s="735"/>
      <c r="E1331" s="735"/>
      <c r="F1331" s="735"/>
      <c r="G1331" s="735"/>
      <c r="H1331" s="735"/>
      <c r="I1331" s="735"/>
      <c r="J1331" s="735"/>
      <c r="K1331" s="735"/>
      <c r="L1331" s="735"/>
      <c r="M1331" s="735"/>
      <c r="N1331" s="735"/>
      <c r="O1331" s="735"/>
      <c r="P1331" s="735"/>
      <c r="Q1331" s="421"/>
      <c r="R1331" s="735"/>
      <c r="S1331" s="735"/>
      <c r="T1331" s="735"/>
      <c r="U1331" s="735"/>
      <c r="V1331" s="735"/>
      <c r="W1331" s="735"/>
      <c r="X1331" s="735"/>
      <c r="Y1331" s="735"/>
      <c r="Z1331" s="735"/>
      <c r="AA1331" s="735"/>
      <c r="AB1331" s="735"/>
      <c r="AC1331" s="735"/>
      <c r="AD1331" s="735"/>
      <c r="AE1331" s="735"/>
      <c r="AF1331" s="735"/>
      <c r="AG1331" s="711"/>
      <c r="AH1331" s="711"/>
      <c r="AI1331" s="735"/>
    </row>
    <row r="1332" spans="1:35" ht="24" x14ac:dyDescent="0.2">
      <c r="A1332" s="704" t="s">
        <v>780</v>
      </c>
      <c r="B1332" s="711"/>
      <c r="C1332" s="735"/>
      <c r="D1332" s="735"/>
      <c r="E1332" s="735"/>
      <c r="F1332" s="735"/>
      <c r="G1332" s="735"/>
      <c r="H1332" s="735"/>
      <c r="I1332" s="735"/>
      <c r="J1332" s="735"/>
      <c r="K1332" s="735"/>
      <c r="L1332" s="735"/>
      <c r="M1332" s="735"/>
      <c r="N1332" s="735"/>
      <c r="O1332" s="735"/>
      <c r="P1332" s="735"/>
      <c r="Q1332" s="421"/>
      <c r="R1332" s="735"/>
      <c r="S1332" s="735"/>
      <c r="T1332" s="735"/>
      <c r="U1332" s="735"/>
      <c r="V1332" s="735"/>
      <c r="W1332" s="735"/>
      <c r="X1332" s="735"/>
      <c r="Y1332" s="735"/>
      <c r="Z1332" s="735"/>
      <c r="AA1332" s="735"/>
      <c r="AB1332" s="735"/>
      <c r="AC1332" s="735"/>
      <c r="AD1332" s="735"/>
      <c r="AE1332" s="735"/>
      <c r="AF1332" s="735"/>
      <c r="AG1332" s="711"/>
      <c r="AH1332" s="711"/>
      <c r="AI1332" s="735"/>
    </row>
    <row r="1333" spans="1:35" x14ac:dyDescent="0.2">
      <c r="A1333" s="704" t="s">
        <v>700</v>
      </c>
      <c r="B1333" s="711"/>
      <c r="C1333" s="735"/>
      <c r="D1333" s="735"/>
      <c r="E1333" s="735"/>
      <c r="F1333" s="735"/>
      <c r="G1333" s="735"/>
      <c r="H1333" s="735"/>
      <c r="I1333" s="735"/>
      <c r="J1333" s="735"/>
      <c r="K1333" s="735"/>
      <c r="L1333" s="735"/>
      <c r="M1333" s="735"/>
      <c r="N1333" s="735"/>
      <c r="O1333" s="735"/>
      <c r="P1333" s="735"/>
      <c r="Q1333" s="421"/>
      <c r="R1333" s="735"/>
      <c r="S1333" s="735"/>
      <c r="T1333" s="735"/>
      <c r="U1333" s="735"/>
      <c r="V1333" s="735"/>
      <c r="W1333" s="735"/>
      <c r="X1333" s="735"/>
      <c r="Y1333" s="735"/>
      <c r="Z1333" s="735"/>
      <c r="AA1333" s="735"/>
      <c r="AB1333" s="735"/>
      <c r="AC1333" s="735"/>
      <c r="AD1333" s="735"/>
      <c r="AE1333" s="735"/>
      <c r="AF1333" s="735"/>
      <c r="AG1333" s="711"/>
      <c r="AH1333" s="711"/>
      <c r="AI1333" s="735"/>
    </row>
    <row r="1334" spans="1:35" x14ac:dyDescent="0.2">
      <c r="A1334" s="704" t="s">
        <v>700</v>
      </c>
      <c r="B1334" s="711"/>
      <c r="C1334" s="735"/>
      <c r="D1334" s="735"/>
      <c r="E1334" s="735"/>
      <c r="F1334" s="735"/>
      <c r="G1334" s="735"/>
      <c r="H1334" s="735"/>
      <c r="I1334" s="735"/>
      <c r="J1334" s="735"/>
      <c r="K1334" s="735"/>
      <c r="L1334" s="735"/>
      <c r="M1334" s="735"/>
      <c r="N1334" s="735"/>
      <c r="O1334" s="735"/>
      <c r="P1334" s="735"/>
      <c r="Q1334" s="421"/>
      <c r="R1334" s="735"/>
      <c r="S1334" s="735"/>
      <c r="T1334" s="735"/>
      <c r="U1334" s="735"/>
      <c r="V1334" s="735"/>
      <c r="W1334" s="735"/>
      <c r="X1334" s="735"/>
      <c r="Y1334" s="735"/>
      <c r="Z1334" s="735"/>
      <c r="AA1334" s="735"/>
      <c r="AB1334" s="735"/>
      <c r="AC1334" s="735"/>
      <c r="AD1334" s="735"/>
      <c r="AE1334" s="735"/>
      <c r="AF1334" s="735"/>
      <c r="AG1334" s="711"/>
      <c r="AH1334" s="711"/>
      <c r="AI1334" s="735"/>
    </row>
    <row r="1335" spans="1:35" x14ac:dyDescent="0.2">
      <c r="A1335" s="704" t="s">
        <v>781</v>
      </c>
      <c r="B1335" s="711"/>
      <c r="C1335" s="735"/>
      <c r="D1335" s="735"/>
      <c r="E1335" s="735"/>
      <c r="F1335" s="735"/>
      <c r="G1335" s="735"/>
      <c r="H1335" s="735"/>
      <c r="I1335" s="735"/>
      <c r="J1335" s="735"/>
      <c r="K1335" s="735"/>
      <c r="L1335" s="735"/>
      <c r="M1335" s="735"/>
      <c r="N1335" s="735"/>
      <c r="O1335" s="735"/>
      <c r="P1335" s="735"/>
      <c r="Q1335" s="421"/>
      <c r="R1335" s="735"/>
      <c r="S1335" s="735"/>
      <c r="T1335" s="735"/>
      <c r="U1335" s="735"/>
      <c r="V1335" s="735"/>
      <c r="W1335" s="735"/>
      <c r="X1335" s="735"/>
      <c r="Y1335" s="735"/>
      <c r="Z1335" s="735"/>
      <c r="AA1335" s="735"/>
      <c r="AB1335" s="735"/>
      <c r="AC1335" s="735"/>
      <c r="AD1335" s="735"/>
      <c r="AE1335" s="735"/>
      <c r="AF1335" s="735"/>
      <c r="AG1335" s="711"/>
      <c r="AH1335" s="711"/>
      <c r="AI1335" s="735"/>
    </row>
    <row r="1336" spans="1:35" x14ac:dyDescent="0.2">
      <c r="A1336" s="704" t="s">
        <v>700</v>
      </c>
      <c r="B1336" s="711"/>
      <c r="C1336" s="735"/>
      <c r="D1336" s="735"/>
      <c r="E1336" s="735"/>
      <c r="F1336" s="735"/>
      <c r="G1336" s="735"/>
      <c r="H1336" s="735"/>
      <c r="I1336" s="735"/>
      <c r="J1336" s="735"/>
      <c r="K1336" s="735"/>
      <c r="L1336" s="735"/>
      <c r="M1336" s="735"/>
      <c r="N1336" s="735"/>
      <c r="O1336" s="735"/>
      <c r="P1336" s="735"/>
      <c r="Q1336" s="421"/>
      <c r="R1336" s="735"/>
      <c r="S1336" s="735"/>
      <c r="T1336" s="735"/>
      <c r="U1336" s="735"/>
      <c r="V1336" s="735"/>
      <c r="W1336" s="735"/>
      <c r="X1336" s="735"/>
      <c r="Y1336" s="735"/>
      <c r="Z1336" s="735"/>
      <c r="AA1336" s="735"/>
      <c r="AB1336" s="735"/>
      <c r="AC1336" s="735"/>
      <c r="AD1336" s="735"/>
      <c r="AE1336" s="735"/>
      <c r="AF1336" s="735"/>
      <c r="AG1336" s="711"/>
      <c r="AH1336" s="711"/>
      <c r="AI1336" s="735"/>
    </row>
    <row r="1337" spans="1:35" x14ac:dyDescent="0.2">
      <c r="A1337" s="704" t="s">
        <v>700</v>
      </c>
      <c r="B1337" s="711"/>
      <c r="C1337" s="735"/>
      <c r="D1337" s="735"/>
      <c r="E1337" s="735"/>
      <c r="F1337" s="735"/>
      <c r="G1337" s="735"/>
      <c r="H1337" s="735"/>
      <c r="I1337" s="735"/>
      <c r="J1337" s="735"/>
      <c r="K1337" s="735"/>
      <c r="L1337" s="735"/>
      <c r="M1337" s="735"/>
      <c r="N1337" s="735"/>
      <c r="O1337" s="735"/>
      <c r="P1337" s="735"/>
      <c r="Q1337" s="421"/>
      <c r="R1337" s="735"/>
      <c r="S1337" s="735"/>
      <c r="T1337" s="735"/>
      <c r="U1337" s="735"/>
      <c r="V1337" s="735"/>
      <c r="W1337" s="735"/>
      <c r="X1337" s="735"/>
      <c r="Y1337" s="735"/>
      <c r="Z1337" s="735"/>
      <c r="AA1337" s="735"/>
      <c r="AB1337" s="735"/>
      <c r="AC1337" s="735"/>
      <c r="AD1337" s="735"/>
      <c r="AE1337" s="735"/>
      <c r="AF1337" s="735"/>
      <c r="AG1337" s="711"/>
      <c r="AH1337" s="711"/>
      <c r="AI1337" s="735"/>
    </row>
    <row r="1338" spans="1:35" x14ac:dyDescent="0.2">
      <c r="A1338" s="704" t="s">
        <v>483</v>
      </c>
      <c r="B1338" s="711"/>
      <c r="C1338" s="735"/>
      <c r="D1338" s="735"/>
      <c r="E1338" s="735"/>
      <c r="F1338" s="735"/>
      <c r="G1338" s="735"/>
      <c r="H1338" s="735"/>
      <c r="I1338" s="735"/>
      <c r="J1338" s="735"/>
      <c r="K1338" s="735"/>
      <c r="L1338" s="735"/>
      <c r="M1338" s="735"/>
      <c r="N1338" s="735"/>
      <c r="O1338" s="735"/>
      <c r="P1338" s="735"/>
      <c r="Q1338" s="421"/>
      <c r="R1338" s="735"/>
      <c r="S1338" s="735"/>
      <c r="T1338" s="735"/>
      <c r="U1338" s="735"/>
      <c r="V1338" s="735"/>
      <c r="W1338" s="735"/>
      <c r="X1338" s="735"/>
      <c r="Y1338" s="735"/>
      <c r="Z1338" s="735"/>
      <c r="AA1338" s="735"/>
      <c r="AB1338" s="735"/>
      <c r="AC1338" s="735"/>
      <c r="AD1338" s="735"/>
      <c r="AE1338" s="735"/>
      <c r="AF1338" s="735"/>
      <c r="AG1338" s="711"/>
      <c r="AH1338" s="711"/>
      <c r="AI1338" s="735"/>
    </row>
    <row r="1339" spans="1:35" x14ac:dyDescent="0.2">
      <c r="A1339" s="704" t="s">
        <v>700</v>
      </c>
      <c r="B1339" s="711"/>
      <c r="C1339" s="735"/>
      <c r="D1339" s="735"/>
      <c r="E1339" s="735"/>
      <c r="F1339" s="735"/>
      <c r="G1339" s="735"/>
      <c r="H1339" s="735"/>
      <c r="I1339" s="735"/>
      <c r="J1339" s="735"/>
      <c r="K1339" s="735"/>
      <c r="L1339" s="735"/>
      <c r="M1339" s="735"/>
      <c r="N1339" s="735"/>
      <c r="O1339" s="735"/>
      <c r="P1339" s="735"/>
      <c r="Q1339" s="421"/>
      <c r="R1339" s="735"/>
      <c r="S1339" s="735"/>
      <c r="T1339" s="735"/>
      <c r="U1339" s="735"/>
      <c r="V1339" s="735"/>
      <c r="W1339" s="735"/>
      <c r="X1339" s="735"/>
      <c r="Y1339" s="735"/>
      <c r="Z1339" s="735"/>
      <c r="AA1339" s="735"/>
      <c r="AB1339" s="735"/>
      <c r="AC1339" s="735"/>
      <c r="AD1339" s="735"/>
      <c r="AE1339" s="735"/>
      <c r="AF1339" s="735"/>
      <c r="AG1339" s="711"/>
      <c r="AH1339" s="711"/>
      <c r="AI1339" s="735"/>
    </row>
    <row r="1340" spans="1:35" x14ac:dyDescent="0.2">
      <c r="A1340" s="704" t="s">
        <v>700</v>
      </c>
      <c r="B1340" s="711"/>
      <c r="C1340" s="735"/>
      <c r="D1340" s="735"/>
      <c r="E1340" s="735"/>
      <c r="F1340" s="735"/>
      <c r="G1340" s="735"/>
      <c r="H1340" s="735"/>
      <c r="I1340" s="735"/>
      <c r="J1340" s="735"/>
      <c r="K1340" s="735"/>
      <c r="L1340" s="735"/>
      <c r="M1340" s="735"/>
      <c r="N1340" s="735"/>
      <c r="O1340" s="735"/>
      <c r="P1340" s="735"/>
      <c r="Q1340" s="421"/>
      <c r="R1340" s="735"/>
      <c r="S1340" s="735"/>
      <c r="T1340" s="735"/>
      <c r="U1340" s="735"/>
      <c r="V1340" s="735"/>
      <c r="W1340" s="735"/>
      <c r="X1340" s="735"/>
      <c r="Y1340" s="735"/>
      <c r="Z1340" s="735"/>
      <c r="AA1340" s="735"/>
      <c r="AB1340" s="735"/>
      <c r="AC1340" s="735"/>
      <c r="AD1340" s="735"/>
      <c r="AE1340" s="735"/>
      <c r="AF1340" s="735"/>
      <c r="AG1340" s="711"/>
      <c r="AH1340" s="711"/>
      <c r="AI1340" s="735"/>
    </row>
    <row r="1341" spans="1:35" x14ac:dyDescent="0.2">
      <c r="A1341" s="704" t="s">
        <v>37</v>
      </c>
      <c r="B1341" s="711"/>
      <c r="C1341" s="735"/>
      <c r="D1341" s="735"/>
      <c r="E1341" s="735"/>
      <c r="F1341" s="735"/>
      <c r="G1341" s="735"/>
      <c r="H1341" s="735"/>
      <c r="I1341" s="735"/>
      <c r="J1341" s="735"/>
      <c r="K1341" s="735"/>
      <c r="L1341" s="735"/>
      <c r="M1341" s="735"/>
      <c r="N1341" s="735"/>
      <c r="O1341" s="735"/>
      <c r="P1341" s="735"/>
      <c r="Q1341" s="421"/>
      <c r="R1341" s="735"/>
      <c r="S1341" s="735"/>
      <c r="T1341" s="735"/>
      <c r="U1341" s="735"/>
      <c r="V1341" s="735"/>
      <c r="W1341" s="735"/>
      <c r="X1341" s="735"/>
      <c r="Y1341" s="735"/>
      <c r="Z1341" s="735"/>
      <c r="AA1341" s="735"/>
      <c r="AB1341" s="735"/>
      <c r="AC1341" s="735"/>
      <c r="AD1341" s="735"/>
      <c r="AE1341" s="735"/>
      <c r="AF1341" s="735"/>
      <c r="AG1341" s="711"/>
      <c r="AH1341" s="711"/>
      <c r="AI1341" s="735"/>
    </row>
    <row r="1342" spans="1:35" x14ac:dyDescent="0.2">
      <c r="A1342" s="704" t="s">
        <v>782</v>
      </c>
      <c r="B1342" s="711">
        <v>36</v>
      </c>
      <c r="C1342" s="735">
        <v>24800</v>
      </c>
      <c r="D1342" s="735"/>
      <c r="E1342" s="735"/>
      <c r="F1342" s="735"/>
      <c r="G1342" s="735"/>
      <c r="H1342" s="735"/>
      <c r="I1342" s="735"/>
      <c r="J1342" s="735"/>
      <c r="K1342" s="735"/>
      <c r="L1342" s="735"/>
      <c r="M1342" s="735"/>
      <c r="N1342" s="735"/>
      <c r="O1342" s="735"/>
      <c r="P1342" s="735"/>
      <c r="Q1342" s="421">
        <v>36</v>
      </c>
      <c r="R1342" s="735">
        <v>24800</v>
      </c>
      <c r="S1342" s="735"/>
      <c r="T1342" s="735"/>
      <c r="U1342" s="735"/>
      <c r="V1342" s="735"/>
      <c r="W1342" s="735"/>
      <c r="X1342" s="735"/>
      <c r="Y1342" s="735"/>
      <c r="Z1342" s="735"/>
      <c r="AA1342" s="735"/>
      <c r="AB1342" s="735"/>
      <c r="AC1342" s="735"/>
      <c r="AD1342" s="735">
        <v>24800</v>
      </c>
      <c r="AE1342" s="735">
        <f>AD1342*12</f>
        <v>297600</v>
      </c>
      <c r="AF1342" s="735">
        <f>O1342-AD1342</f>
        <v>-24800</v>
      </c>
      <c r="AG1342" s="736">
        <f>P1342-AE1342</f>
        <v>-297600</v>
      </c>
      <c r="AH1342" s="711"/>
      <c r="AI1342" s="735"/>
    </row>
    <row r="1343" spans="1:35" x14ac:dyDescent="0.2">
      <c r="A1343" s="704" t="s">
        <v>690</v>
      </c>
      <c r="B1343" s="711"/>
      <c r="C1343" s="735"/>
      <c r="D1343" s="735"/>
      <c r="E1343" s="735"/>
      <c r="F1343" s="735"/>
      <c r="G1343" s="735"/>
      <c r="H1343" s="735"/>
      <c r="I1343" s="735"/>
      <c r="J1343" s="735"/>
      <c r="K1343" s="735"/>
      <c r="L1343" s="735"/>
      <c r="M1343" s="735"/>
      <c r="N1343" s="735"/>
      <c r="O1343" s="735"/>
      <c r="P1343" s="735"/>
      <c r="Q1343" s="421"/>
      <c r="R1343" s="735"/>
      <c r="S1343" s="735"/>
      <c r="T1343" s="735"/>
      <c r="U1343" s="735"/>
      <c r="V1343" s="735"/>
      <c r="W1343" s="735"/>
      <c r="X1343" s="735"/>
      <c r="Y1343" s="735"/>
      <c r="Z1343" s="735"/>
      <c r="AA1343" s="735"/>
      <c r="AB1343" s="735"/>
      <c r="AC1343" s="735"/>
      <c r="AD1343" s="735"/>
      <c r="AE1343" s="735"/>
      <c r="AF1343" s="735"/>
      <c r="AG1343" s="711"/>
      <c r="AH1343" s="711"/>
      <c r="AI1343" s="735"/>
    </row>
    <row r="1344" spans="1:35" x14ac:dyDescent="0.2">
      <c r="A1344" s="704" t="s">
        <v>690</v>
      </c>
      <c r="B1344" s="711"/>
      <c r="C1344" s="735"/>
      <c r="D1344" s="735"/>
      <c r="E1344" s="735"/>
      <c r="F1344" s="735"/>
      <c r="G1344" s="735"/>
      <c r="H1344" s="735"/>
      <c r="I1344" s="735"/>
      <c r="J1344" s="735"/>
      <c r="K1344" s="735"/>
      <c r="L1344" s="735"/>
      <c r="M1344" s="735"/>
      <c r="N1344" s="735"/>
      <c r="O1344" s="735"/>
      <c r="P1344" s="735"/>
      <c r="Q1344" s="421"/>
      <c r="R1344" s="735"/>
      <c r="S1344" s="735"/>
      <c r="T1344" s="735"/>
      <c r="U1344" s="735"/>
      <c r="V1344" s="735"/>
      <c r="W1344" s="735"/>
      <c r="X1344" s="735"/>
      <c r="Y1344" s="735"/>
      <c r="Z1344" s="735"/>
      <c r="AA1344" s="735"/>
      <c r="AB1344" s="735"/>
      <c r="AC1344" s="735"/>
      <c r="AD1344" s="735"/>
      <c r="AE1344" s="735"/>
      <c r="AF1344" s="735"/>
      <c r="AG1344" s="711"/>
      <c r="AH1344" s="711"/>
      <c r="AI1344" s="735"/>
    </row>
    <row r="1345" spans="1:35" ht="24" x14ac:dyDescent="0.2">
      <c r="A1345" s="704" t="s">
        <v>783</v>
      </c>
      <c r="B1345" s="711"/>
      <c r="C1345" s="735"/>
      <c r="D1345" s="735"/>
      <c r="E1345" s="735"/>
      <c r="F1345" s="735"/>
      <c r="G1345" s="735"/>
      <c r="H1345" s="735"/>
      <c r="I1345" s="735"/>
      <c r="J1345" s="735"/>
      <c r="K1345" s="735"/>
      <c r="L1345" s="735"/>
      <c r="M1345" s="735"/>
      <c r="N1345" s="735"/>
      <c r="O1345" s="735"/>
      <c r="P1345" s="735"/>
      <c r="Q1345" s="421"/>
      <c r="R1345" s="735"/>
      <c r="S1345" s="735"/>
      <c r="T1345" s="735"/>
      <c r="U1345" s="735"/>
      <c r="V1345" s="735"/>
      <c r="W1345" s="735"/>
      <c r="X1345" s="735"/>
      <c r="Y1345" s="735"/>
      <c r="Z1345" s="735"/>
      <c r="AA1345" s="735"/>
      <c r="AB1345" s="735"/>
      <c r="AC1345" s="735"/>
      <c r="AD1345" s="735"/>
      <c r="AE1345" s="735"/>
      <c r="AF1345" s="735"/>
      <c r="AG1345" s="711"/>
      <c r="AH1345" s="711"/>
      <c r="AI1345" s="735"/>
    </row>
    <row r="1346" spans="1:35" x14ac:dyDescent="0.2">
      <c r="A1346" s="704" t="s">
        <v>690</v>
      </c>
      <c r="B1346" s="711"/>
      <c r="C1346" s="735"/>
      <c r="D1346" s="735"/>
      <c r="E1346" s="735"/>
      <c r="F1346" s="735"/>
      <c r="G1346" s="735"/>
      <c r="H1346" s="735"/>
      <c r="I1346" s="735"/>
      <c r="J1346" s="735"/>
      <c r="K1346" s="735"/>
      <c r="L1346" s="735"/>
      <c r="M1346" s="735"/>
      <c r="N1346" s="735"/>
      <c r="O1346" s="735"/>
      <c r="P1346" s="735"/>
      <c r="Q1346" s="421"/>
      <c r="R1346" s="735"/>
      <c r="S1346" s="735"/>
      <c r="T1346" s="735"/>
      <c r="U1346" s="735"/>
      <c r="V1346" s="735"/>
      <c r="W1346" s="735"/>
      <c r="X1346" s="735"/>
      <c r="Y1346" s="735"/>
      <c r="Z1346" s="735"/>
      <c r="AA1346" s="735"/>
      <c r="AB1346" s="735"/>
      <c r="AC1346" s="735"/>
      <c r="AD1346" s="735"/>
      <c r="AE1346" s="735"/>
      <c r="AF1346" s="735"/>
      <c r="AG1346" s="711"/>
      <c r="AH1346" s="711"/>
      <c r="AI1346" s="735"/>
    </row>
    <row r="1347" spans="1:35" x14ac:dyDescent="0.2">
      <c r="A1347" s="704" t="s">
        <v>689</v>
      </c>
      <c r="B1347" s="711"/>
      <c r="C1347" s="735"/>
      <c r="D1347" s="735"/>
      <c r="E1347" s="735"/>
      <c r="F1347" s="735"/>
      <c r="G1347" s="735"/>
      <c r="H1347" s="735"/>
      <c r="I1347" s="735"/>
      <c r="J1347" s="735"/>
      <c r="K1347" s="735"/>
      <c r="L1347" s="735"/>
      <c r="M1347" s="735"/>
      <c r="N1347" s="735"/>
      <c r="O1347" s="735"/>
      <c r="P1347" s="735"/>
      <c r="Q1347" s="421"/>
      <c r="R1347" s="735"/>
      <c r="S1347" s="735"/>
      <c r="T1347" s="735"/>
      <c r="U1347" s="735"/>
      <c r="V1347" s="735"/>
      <c r="W1347" s="735"/>
      <c r="X1347" s="735"/>
      <c r="Y1347" s="735"/>
      <c r="Z1347" s="735"/>
      <c r="AA1347" s="735"/>
      <c r="AB1347" s="735"/>
      <c r="AC1347" s="735"/>
      <c r="AD1347" s="735"/>
      <c r="AE1347" s="735"/>
      <c r="AF1347" s="735"/>
      <c r="AG1347" s="711"/>
      <c r="AH1347" s="711"/>
      <c r="AI1347" s="735"/>
    </row>
    <row r="1348" spans="1:35" x14ac:dyDescent="0.2">
      <c r="A1348" s="704" t="s">
        <v>690</v>
      </c>
      <c r="B1348" s="711">
        <v>15</v>
      </c>
      <c r="C1348" s="735">
        <v>20820</v>
      </c>
      <c r="D1348" s="735"/>
      <c r="E1348" s="735"/>
      <c r="F1348" s="735"/>
      <c r="G1348" s="735"/>
      <c r="H1348" s="735"/>
      <c r="I1348" s="735"/>
      <c r="J1348" s="735"/>
      <c r="K1348" s="735"/>
      <c r="L1348" s="735"/>
      <c r="M1348" s="735"/>
      <c r="N1348" s="735"/>
      <c r="O1348" s="735"/>
      <c r="P1348" s="735"/>
      <c r="Q1348" s="421">
        <v>15</v>
      </c>
      <c r="R1348" s="735">
        <v>21818</v>
      </c>
      <c r="S1348" s="735"/>
      <c r="T1348" s="735"/>
      <c r="U1348" s="735"/>
      <c r="V1348" s="735"/>
      <c r="W1348" s="735"/>
      <c r="X1348" s="735"/>
      <c r="Y1348" s="735"/>
      <c r="Z1348" s="735"/>
      <c r="AA1348" s="735"/>
      <c r="AB1348" s="735"/>
      <c r="AC1348" s="735"/>
      <c r="AD1348" s="735">
        <f>R1348</f>
        <v>21818</v>
      </c>
      <c r="AE1348" s="735">
        <f>AD1348*10</f>
        <v>218180</v>
      </c>
      <c r="AF1348" s="735">
        <f>O1348-AD1348</f>
        <v>-21818</v>
      </c>
      <c r="AG1348" s="736">
        <f>P1348-AE1348</f>
        <v>-218180</v>
      </c>
      <c r="AH1348" s="711"/>
      <c r="AI1348" s="735"/>
    </row>
    <row r="1349" spans="1:35" x14ac:dyDescent="0.2">
      <c r="A1349" s="704"/>
      <c r="B1349" s="711"/>
      <c r="C1349" s="735"/>
      <c r="D1349" s="735"/>
      <c r="E1349" s="735"/>
      <c r="F1349" s="735"/>
      <c r="G1349" s="735"/>
      <c r="H1349" s="735"/>
      <c r="I1349" s="735"/>
      <c r="J1349" s="735"/>
      <c r="K1349" s="735"/>
      <c r="L1349" s="735"/>
      <c r="M1349" s="735"/>
      <c r="N1349" s="735"/>
      <c r="O1349" s="735"/>
      <c r="P1349" s="735"/>
      <c r="Q1349" s="421"/>
      <c r="R1349" s="735"/>
      <c r="S1349" s="735"/>
      <c r="T1349" s="735"/>
      <c r="U1349" s="735"/>
      <c r="V1349" s="735"/>
      <c r="W1349" s="735"/>
      <c r="X1349" s="735"/>
      <c r="Y1349" s="735"/>
      <c r="Z1349" s="735"/>
      <c r="AA1349" s="735"/>
      <c r="AB1349" s="735"/>
      <c r="AC1349" s="735"/>
      <c r="AD1349" s="735"/>
      <c r="AE1349" s="735"/>
      <c r="AF1349" s="735"/>
      <c r="AG1349" s="711"/>
      <c r="AH1349" s="711"/>
      <c r="AI1349" s="735"/>
    </row>
    <row r="1350" spans="1:35" x14ac:dyDescent="0.2">
      <c r="A1350" s="704" t="s">
        <v>691</v>
      </c>
      <c r="B1350" s="711"/>
      <c r="C1350" s="735"/>
      <c r="D1350" s="735"/>
      <c r="E1350" s="735"/>
      <c r="F1350" s="735"/>
      <c r="G1350" s="735"/>
      <c r="H1350" s="735"/>
      <c r="I1350" s="735"/>
      <c r="J1350" s="735"/>
      <c r="K1350" s="735"/>
      <c r="L1350" s="735"/>
      <c r="M1350" s="735"/>
      <c r="N1350" s="735"/>
      <c r="O1350" s="735"/>
      <c r="P1350" s="735"/>
      <c r="Q1350" s="421"/>
      <c r="R1350" s="735"/>
      <c r="S1350" s="735"/>
      <c r="T1350" s="735"/>
      <c r="U1350" s="735"/>
      <c r="V1350" s="735"/>
      <c r="W1350" s="735"/>
      <c r="X1350" s="735"/>
      <c r="Y1350" s="735"/>
      <c r="Z1350" s="735"/>
      <c r="AA1350" s="735"/>
      <c r="AB1350" s="735"/>
      <c r="AC1350" s="735"/>
      <c r="AD1350" s="735"/>
      <c r="AE1350" s="735"/>
      <c r="AF1350" s="735"/>
      <c r="AG1350" s="711"/>
      <c r="AH1350" s="711"/>
      <c r="AI1350" s="735"/>
    </row>
    <row r="1351" spans="1:35" x14ac:dyDescent="0.2">
      <c r="A1351" s="704" t="s">
        <v>690</v>
      </c>
      <c r="B1351" s="711"/>
      <c r="C1351" s="735"/>
      <c r="D1351" s="735"/>
      <c r="E1351" s="735"/>
      <c r="F1351" s="735"/>
      <c r="G1351" s="735"/>
      <c r="H1351" s="735"/>
      <c r="I1351" s="735"/>
      <c r="J1351" s="735"/>
      <c r="K1351" s="735"/>
      <c r="L1351" s="735"/>
      <c r="M1351" s="735"/>
      <c r="N1351" s="735"/>
      <c r="O1351" s="735"/>
      <c r="P1351" s="735"/>
      <c r="Q1351" s="421"/>
      <c r="R1351" s="735"/>
      <c r="S1351" s="735"/>
      <c r="T1351" s="735"/>
      <c r="U1351" s="735"/>
      <c r="V1351" s="735"/>
      <c r="W1351" s="735"/>
      <c r="X1351" s="735"/>
      <c r="Y1351" s="735"/>
      <c r="Z1351" s="735"/>
      <c r="AA1351" s="735"/>
      <c r="AB1351" s="735"/>
      <c r="AC1351" s="735"/>
      <c r="AD1351" s="735"/>
      <c r="AE1351" s="735"/>
      <c r="AF1351" s="735"/>
      <c r="AG1351" s="711"/>
      <c r="AH1351" s="711"/>
      <c r="AI1351" s="735"/>
    </row>
    <row r="1352" spans="1:35" x14ac:dyDescent="0.2">
      <c r="A1352" s="704"/>
      <c r="B1352" s="711"/>
      <c r="C1352" s="735"/>
      <c r="D1352" s="735"/>
      <c r="E1352" s="735"/>
      <c r="F1352" s="735"/>
      <c r="G1352" s="735"/>
      <c r="H1352" s="735"/>
      <c r="I1352" s="735"/>
      <c r="J1352" s="735"/>
      <c r="K1352" s="735"/>
      <c r="L1352" s="735"/>
      <c r="M1352" s="735"/>
      <c r="N1352" s="735"/>
      <c r="O1352" s="735"/>
      <c r="P1352" s="735"/>
      <c r="Q1352" s="421"/>
      <c r="R1352" s="735"/>
      <c r="S1352" s="735"/>
      <c r="T1352" s="735"/>
      <c r="U1352" s="735"/>
      <c r="V1352" s="735"/>
      <c r="W1352" s="735"/>
      <c r="X1352" s="735"/>
      <c r="Y1352" s="735"/>
      <c r="Z1352" s="735"/>
      <c r="AA1352" s="735"/>
      <c r="AB1352" s="735"/>
      <c r="AC1352" s="735"/>
      <c r="AD1352" s="735"/>
      <c r="AE1352" s="735"/>
      <c r="AF1352" s="735"/>
      <c r="AG1352" s="711"/>
      <c r="AH1352" s="711"/>
      <c r="AI1352" s="735"/>
    </row>
    <row r="1353" spans="1:35" x14ac:dyDescent="0.2">
      <c r="A1353" s="704"/>
      <c r="B1353" s="711"/>
      <c r="C1353" s="735"/>
      <c r="D1353" s="735"/>
      <c r="E1353" s="735"/>
      <c r="F1353" s="735"/>
      <c r="G1353" s="735"/>
      <c r="H1353" s="735"/>
      <c r="I1353" s="735"/>
      <c r="J1353" s="735"/>
      <c r="K1353" s="735"/>
      <c r="L1353" s="735"/>
      <c r="M1353" s="735"/>
      <c r="N1353" s="735"/>
      <c r="O1353" s="735"/>
      <c r="P1353" s="735"/>
      <c r="Q1353" s="421"/>
      <c r="R1353" s="735"/>
      <c r="S1353" s="735"/>
      <c r="T1353" s="735"/>
      <c r="U1353" s="735"/>
      <c r="V1353" s="735"/>
      <c r="W1353" s="735"/>
      <c r="X1353" s="735"/>
      <c r="Y1353" s="735"/>
      <c r="Z1353" s="735"/>
      <c r="AA1353" s="735"/>
      <c r="AB1353" s="735"/>
      <c r="AC1353" s="735"/>
      <c r="AD1353" s="735"/>
      <c r="AE1353" s="735"/>
      <c r="AF1353" s="735"/>
      <c r="AG1353" s="711"/>
      <c r="AH1353" s="711"/>
      <c r="AI1353" s="735"/>
    </row>
    <row r="1354" spans="1:35" x14ac:dyDescent="0.2">
      <c r="A1354" s="706" t="s">
        <v>169</v>
      </c>
      <c r="B1354" s="743"/>
      <c r="C1354" s="731">
        <f>SUM(C1310:C1352)</f>
        <v>3641890.09</v>
      </c>
      <c r="D1354" s="731">
        <f>SUM(D1310:D1352)</f>
        <v>48250</v>
      </c>
      <c r="E1354" s="731"/>
      <c r="F1354" s="731"/>
      <c r="G1354" s="731"/>
      <c r="H1354" s="731"/>
      <c r="I1354" s="731"/>
      <c r="J1354" s="731"/>
      <c r="K1354" s="731"/>
      <c r="L1354" s="731">
        <f>SUM(L1311:L1353)</f>
        <v>531000</v>
      </c>
      <c r="M1354" s="742"/>
      <c r="N1354" s="742"/>
      <c r="O1354" s="742"/>
      <c r="P1354" s="742"/>
      <c r="Q1354" s="712"/>
      <c r="R1354" s="731">
        <f>SUM(R1311:R1353)</f>
        <v>3643288.09</v>
      </c>
      <c r="S1354" s="731">
        <f>SUM(S1311:S1353)</f>
        <v>47300</v>
      </c>
      <c r="T1354" s="742"/>
      <c r="U1354" s="742"/>
      <c r="V1354" s="742"/>
      <c r="W1354" s="742"/>
      <c r="X1354" s="742"/>
      <c r="Y1354" s="742"/>
      <c r="Z1354" s="742"/>
      <c r="AA1354" s="731">
        <f>SUM(AA1310:AA1353)</f>
        <v>531000</v>
      </c>
      <c r="AB1354" s="742"/>
      <c r="AC1354" s="742"/>
      <c r="AD1354" s="731">
        <f>SUM(AD1315:AD1353)</f>
        <v>4082718.69</v>
      </c>
      <c r="AE1354" s="731">
        <f>SUM(AE1315:AE1353)</f>
        <v>48948988.280000001</v>
      </c>
      <c r="AF1354" s="742"/>
      <c r="AG1354" s="743"/>
      <c r="AH1354" s="743"/>
      <c r="AI1354" s="742"/>
    </row>
    <row r="1355" spans="1:35" x14ac:dyDescent="0.2">
      <c r="B1355" s="17"/>
      <c r="C1355" s="17"/>
      <c r="D1355" s="17"/>
      <c r="E1355" s="17"/>
      <c r="F1355" s="17"/>
      <c r="G1355" s="17"/>
      <c r="H1355" s="17"/>
      <c r="I1355" s="17"/>
      <c r="J1355" s="17"/>
      <c r="K1355" s="17"/>
      <c r="L1355" s="17"/>
      <c r="M1355" s="17"/>
      <c r="N1355" s="17"/>
      <c r="O1355" s="17"/>
      <c r="P1355" s="17"/>
      <c r="R1355" s="17"/>
      <c r="S1355" s="17"/>
      <c r="T1355" s="17"/>
      <c r="U1355" s="17"/>
      <c r="V1355" s="17"/>
      <c r="W1355" s="17"/>
      <c r="X1355" s="17"/>
      <c r="Y1355" s="17"/>
      <c r="Z1355" s="17"/>
      <c r="AA1355" s="17"/>
      <c r="AB1355" s="17"/>
      <c r="AC1355" s="17"/>
      <c r="AD1355" s="17"/>
      <c r="AE1355" s="17"/>
      <c r="AF1355" s="17"/>
      <c r="AG1355" s="17"/>
      <c r="AH1355" s="17"/>
      <c r="AI1355" s="17"/>
    </row>
    <row r="1356" spans="1:35" x14ac:dyDescent="0.2">
      <c r="B1356" s="17"/>
      <c r="C1356" s="17"/>
      <c r="D1356" s="17"/>
      <c r="E1356" s="17"/>
      <c r="F1356" s="17"/>
      <c r="G1356" s="17"/>
      <c r="H1356" s="17"/>
      <c r="I1356" s="17"/>
      <c r="J1356" s="17"/>
      <c r="K1356" s="17"/>
      <c r="L1356" s="17"/>
      <c r="M1356" s="17"/>
      <c r="N1356" s="17"/>
      <c r="O1356" s="17"/>
      <c r="P1356" s="17"/>
      <c r="R1356" s="17"/>
      <c r="S1356" s="17"/>
      <c r="T1356" s="17"/>
      <c r="U1356" s="17"/>
      <c r="V1356" s="17"/>
      <c r="W1356" s="17"/>
      <c r="X1356" s="17"/>
      <c r="Y1356" s="17"/>
      <c r="Z1356" s="17"/>
      <c r="AA1356" s="17"/>
      <c r="AB1356" s="17"/>
      <c r="AC1356" s="17"/>
      <c r="AD1356" s="17"/>
      <c r="AE1356" s="17"/>
      <c r="AF1356" s="17"/>
      <c r="AG1356" s="17"/>
      <c r="AH1356" s="17"/>
      <c r="AI1356" s="17"/>
    </row>
    <row r="1357" spans="1:35" ht="24" x14ac:dyDescent="0.2">
      <c r="A1357" s="706" t="s">
        <v>857</v>
      </c>
      <c r="B1357" s="743"/>
      <c r="C1357" s="742"/>
      <c r="D1357" s="742"/>
      <c r="E1357" s="742"/>
      <c r="F1357" s="742"/>
      <c r="G1357" s="742"/>
      <c r="H1357" s="742"/>
      <c r="I1357" s="742"/>
      <c r="J1357" s="742"/>
      <c r="K1357" s="742"/>
      <c r="L1357" s="742"/>
      <c r="M1357" s="742"/>
      <c r="N1357" s="742"/>
      <c r="O1357" s="742"/>
      <c r="P1357" s="742"/>
      <c r="Q1357" s="712"/>
      <c r="R1357" s="742"/>
      <c r="S1357" s="742"/>
      <c r="T1357" s="742"/>
      <c r="U1357" s="742"/>
      <c r="V1357" s="742"/>
      <c r="W1357" s="742"/>
      <c r="X1357" s="742"/>
      <c r="Y1357" s="742"/>
      <c r="Z1357" s="742"/>
      <c r="AA1357" s="742"/>
      <c r="AB1357" s="742"/>
      <c r="AC1357" s="742"/>
      <c r="AD1357" s="742"/>
      <c r="AE1357" s="742"/>
      <c r="AF1357" s="742"/>
      <c r="AG1357" s="743"/>
      <c r="AH1357" s="743"/>
      <c r="AI1357" s="742"/>
    </row>
    <row r="1358" spans="1:35" ht="12.75" customHeight="1" x14ac:dyDescent="0.2">
      <c r="A1358" s="1485" t="s">
        <v>644</v>
      </c>
      <c r="B1358" s="1487" t="s">
        <v>645</v>
      </c>
      <c r="C1358" s="1487"/>
      <c r="D1358" s="1487"/>
      <c r="E1358" s="1487"/>
      <c r="F1358" s="1487"/>
      <c r="G1358" s="1487"/>
      <c r="H1358" s="1487"/>
      <c r="I1358" s="1487"/>
      <c r="J1358" s="1487"/>
      <c r="K1358" s="1487"/>
      <c r="L1358" s="1487"/>
      <c r="M1358" s="1487"/>
      <c r="N1358" s="1487"/>
      <c r="O1358" s="1487"/>
      <c r="P1358" s="1487"/>
      <c r="Q1358" s="1487" t="s">
        <v>646</v>
      </c>
      <c r="R1358" s="1487"/>
      <c r="S1358" s="1487"/>
      <c r="T1358" s="1487"/>
      <c r="U1358" s="1487"/>
      <c r="V1358" s="1487"/>
      <c r="W1358" s="1487"/>
      <c r="X1358" s="1487"/>
      <c r="Y1358" s="1487"/>
      <c r="Z1358" s="1487"/>
      <c r="AA1358" s="1487"/>
      <c r="AB1358" s="1487"/>
      <c r="AC1358" s="1487"/>
      <c r="AD1358" s="1487"/>
      <c r="AE1358" s="1487"/>
      <c r="AF1358" s="1487" t="s">
        <v>647</v>
      </c>
      <c r="AG1358" s="1487"/>
      <c r="AH1358" s="1487" t="s">
        <v>648</v>
      </c>
      <c r="AI1358" s="1487"/>
    </row>
    <row r="1359" spans="1:35" ht="120" customHeight="1" x14ac:dyDescent="0.2">
      <c r="A1359" s="1485"/>
      <c r="B1359" s="691" t="s">
        <v>649</v>
      </c>
      <c r="C1359" s="692" t="s">
        <v>650</v>
      </c>
      <c r="D1359" s="692" t="s">
        <v>684</v>
      </c>
      <c r="E1359" s="692" t="s">
        <v>652</v>
      </c>
      <c r="F1359" s="692" t="s">
        <v>653</v>
      </c>
      <c r="G1359" s="692" t="s">
        <v>654</v>
      </c>
      <c r="H1359" s="692" t="s">
        <v>655</v>
      </c>
      <c r="I1359" s="692" t="s">
        <v>656</v>
      </c>
      <c r="J1359" s="692" t="s">
        <v>657</v>
      </c>
      <c r="K1359" s="692" t="s">
        <v>658</v>
      </c>
      <c r="L1359" s="700" t="s">
        <v>659</v>
      </c>
      <c r="M1359" s="692" t="s">
        <v>660</v>
      </c>
      <c r="N1359" s="692" t="s">
        <v>661</v>
      </c>
      <c r="O1359" s="692" t="s">
        <v>662</v>
      </c>
      <c r="P1359" s="692" t="s">
        <v>685</v>
      </c>
      <c r="Q1359" s="691" t="s">
        <v>649</v>
      </c>
      <c r="R1359" s="692" t="s">
        <v>650</v>
      </c>
      <c r="S1359" s="692" t="s">
        <v>651</v>
      </c>
      <c r="T1359" s="692" t="s">
        <v>652</v>
      </c>
      <c r="U1359" s="692" t="s">
        <v>653</v>
      </c>
      <c r="V1359" s="692" t="s">
        <v>654</v>
      </c>
      <c r="W1359" s="692" t="s">
        <v>655</v>
      </c>
      <c r="X1359" s="692" t="s">
        <v>656</v>
      </c>
      <c r="Y1359" s="692" t="s">
        <v>657</v>
      </c>
      <c r="Z1359" s="692" t="s">
        <v>658</v>
      </c>
      <c r="AA1359" s="692" t="s">
        <v>659</v>
      </c>
      <c r="AB1359" s="692" t="s">
        <v>660</v>
      </c>
      <c r="AC1359" s="692" t="s">
        <v>661</v>
      </c>
      <c r="AD1359" s="692" t="s">
        <v>662</v>
      </c>
      <c r="AE1359" s="692" t="s">
        <v>686</v>
      </c>
      <c r="AF1359" s="692" t="s">
        <v>664</v>
      </c>
      <c r="AG1359" s="691" t="s">
        <v>665</v>
      </c>
      <c r="AH1359" s="691" t="s">
        <v>649</v>
      </c>
      <c r="AI1359" s="692" t="s">
        <v>687</v>
      </c>
    </row>
    <row r="1360" spans="1:35" x14ac:dyDescent="0.2">
      <c r="A1360" s="1485"/>
      <c r="B1360" s="433" t="s">
        <v>667</v>
      </c>
      <c r="C1360" s="733" t="s">
        <v>668</v>
      </c>
      <c r="D1360" s="733" t="s">
        <v>669</v>
      </c>
      <c r="E1360" s="733" t="s">
        <v>670</v>
      </c>
      <c r="F1360" s="734" t="s">
        <v>671</v>
      </c>
      <c r="G1360" s="734" t="s">
        <v>672</v>
      </c>
      <c r="H1360" s="734" t="s">
        <v>673</v>
      </c>
      <c r="I1360" s="734" t="s">
        <v>674</v>
      </c>
      <c r="J1360" s="734" t="s">
        <v>675</v>
      </c>
      <c r="K1360" s="734" t="s">
        <v>676</v>
      </c>
      <c r="L1360" s="834" t="s">
        <v>677</v>
      </c>
      <c r="M1360" s="734" t="s">
        <v>678</v>
      </c>
      <c r="N1360" s="734" t="s">
        <v>679</v>
      </c>
      <c r="O1360" s="734" t="s">
        <v>680</v>
      </c>
      <c r="P1360" s="734" t="s">
        <v>681</v>
      </c>
      <c r="Q1360" s="555" t="s">
        <v>667</v>
      </c>
      <c r="R1360" s="733" t="s">
        <v>668</v>
      </c>
      <c r="S1360" s="733" t="s">
        <v>669</v>
      </c>
      <c r="T1360" s="733" t="s">
        <v>670</v>
      </c>
      <c r="U1360" s="734" t="s">
        <v>671</v>
      </c>
      <c r="V1360" s="734" t="s">
        <v>672</v>
      </c>
      <c r="W1360" s="734" t="s">
        <v>673</v>
      </c>
      <c r="X1360" s="734" t="s">
        <v>674</v>
      </c>
      <c r="Y1360" s="734" t="s">
        <v>675</v>
      </c>
      <c r="Z1360" s="734" t="s">
        <v>676</v>
      </c>
      <c r="AA1360" s="734" t="s">
        <v>677</v>
      </c>
      <c r="AB1360" s="734" t="s">
        <v>678</v>
      </c>
      <c r="AC1360" s="734" t="s">
        <v>679</v>
      </c>
      <c r="AD1360" s="734" t="s">
        <v>680</v>
      </c>
      <c r="AE1360" s="734" t="s">
        <v>681</v>
      </c>
      <c r="AF1360" s="733"/>
      <c r="AG1360" s="555"/>
      <c r="AH1360" s="555"/>
      <c r="AI1360" s="733"/>
    </row>
    <row r="1361" spans="1:35" x14ac:dyDescent="0.2">
      <c r="A1361" s="704"/>
      <c r="B1361" s="415"/>
      <c r="C1361" s="735"/>
      <c r="D1361" s="735"/>
      <c r="E1361" s="735"/>
      <c r="F1361" s="735"/>
      <c r="G1361" s="735"/>
      <c r="H1361" s="735"/>
      <c r="I1361" s="735"/>
      <c r="J1361" s="735"/>
      <c r="K1361" s="735"/>
      <c r="L1361" s="746"/>
      <c r="M1361" s="735"/>
      <c r="N1361" s="735"/>
      <c r="O1361" s="735"/>
      <c r="P1361" s="735"/>
      <c r="Q1361" s="711"/>
      <c r="R1361" s="735"/>
      <c r="S1361" s="735"/>
      <c r="T1361" s="735"/>
      <c r="U1361" s="735"/>
      <c r="V1361" s="735"/>
      <c r="W1361" s="735"/>
      <c r="X1361" s="735"/>
      <c r="Y1361" s="735"/>
      <c r="Z1361" s="735"/>
      <c r="AA1361" s="735"/>
      <c r="AB1361" s="735"/>
      <c r="AC1361" s="735"/>
      <c r="AD1361" s="735"/>
      <c r="AE1361" s="735"/>
      <c r="AF1361" s="735"/>
      <c r="AG1361" s="711"/>
      <c r="AH1361" s="711"/>
      <c r="AI1361" s="735"/>
    </row>
    <row r="1362" spans="1:35" x14ac:dyDescent="0.2">
      <c r="A1362" s="705" t="s">
        <v>688</v>
      </c>
      <c r="B1362" s="415"/>
      <c r="C1362" s="735"/>
      <c r="D1362" s="735"/>
      <c r="E1362" s="735"/>
      <c r="F1362" s="735"/>
      <c r="G1362" s="735"/>
      <c r="H1362" s="735"/>
      <c r="I1362" s="735"/>
      <c r="J1362" s="735"/>
      <c r="K1362" s="735"/>
      <c r="L1362" s="746"/>
      <c r="M1362" s="735"/>
      <c r="N1362" s="735"/>
      <c r="O1362" s="735"/>
      <c r="P1362" s="735"/>
      <c r="Q1362" s="711"/>
      <c r="R1362" s="735"/>
      <c r="S1362" s="735"/>
      <c r="T1362" s="735"/>
      <c r="U1362" s="735"/>
      <c r="V1362" s="735"/>
      <c r="W1362" s="735"/>
      <c r="X1362" s="735"/>
      <c r="Y1362" s="735"/>
      <c r="Z1362" s="735"/>
      <c r="AA1362" s="735"/>
      <c r="AB1362" s="735"/>
      <c r="AC1362" s="735"/>
      <c r="AD1362" s="735"/>
      <c r="AE1362" s="735"/>
      <c r="AF1362" s="735"/>
      <c r="AG1362" s="711"/>
      <c r="AH1362" s="711"/>
      <c r="AI1362" s="735"/>
    </row>
    <row r="1363" spans="1:35" x14ac:dyDescent="0.2">
      <c r="A1363" s="704" t="s">
        <v>383</v>
      </c>
      <c r="B1363" s="415">
        <v>1</v>
      </c>
      <c r="C1363" s="746">
        <v>1534.97</v>
      </c>
      <c r="D1363" s="746">
        <v>1658</v>
      </c>
      <c r="E1363" s="735"/>
      <c r="F1363" s="735"/>
      <c r="G1363" s="735"/>
      <c r="H1363" s="735"/>
      <c r="I1363" s="735"/>
      <c r="J1363" s="735"/>
      <c r="K1363" s="746">
        <f>C1363+D1363+E1363+F1363+G1363+H1363+I1363+J1363</f>
        <v>3192.9700000000003</v>
      </c>
      <c r="L1363" s="746">
        <v>1000</v>
      </c>
      <c r="M1363" s="735"/>
      <c r="N1363" s="746">
        <f>L1363+M1363</f>
        <v>1000</v>
      </c>
      <c r="O1363" s="735">
        <f>(K1363*12)+N1363</f>
        <v>39315.64</v>
      </c>
      <c r="P1363" s="735">
        <f>O1363*B1363</f>
        <v>39315.64</v>
      </c>
      <c r="Q1363" s="711">
        <v>1</v>
      </c>
      <c r="R1363" s="746">
        <v>1534.97</v>
      </c>
      <c r="S1363" s="746">
        <v>1658</v>
      </c>
      <c r="T1363" s="746"/>
      <c r="U1363" s="746"/>
      <c r="V1363" s="746"/>
      <c r="W1363" s="746"/>
      <c r="X1363" s="746"/>
      <c r="Y1363" s="746"/>
      <c r="Z1363" s="746">
        <f>R1363+S1363+T1363+U1363+V1363+W1363+X1363+Y1363</f>
        <v>3192.9700000000003</v>
      </c>
      <c r="AA1363" s="746">
        <v>1000</v>
      </c>
      <c r="AB1363" s="746"/>
      <c r="AC1363" s="746">
        <f>AA1363+AB1363</f>
        <v>1000</v>
      </c>
      <c r="AD1363" s="746">
        <f>((Z1363*12)+AC1363)</f>
        <v>39315.64</v>
      </c>
      <c r="AE1363" s="746">
        <f>AD1363*Q1363</f>
        <v>39315.64</v>
      </c>
      <c r="AF1363" s="746">
        <f>O1363-AD1363</f>
        <v>0</v>
      </c>
      <c r="AG1363" s="759">
        <f>P1363-AE1363</f>
        <v>0</v>
      </c>
      <c r="AH1363" s="711"/>
      <c r="AI1363" s="735"/>
    </row>
    <row r="1364" spans="1:35" x14ac:dyDescent="0.2">
      <c r="A1364" s="704" t="s">
        <v>437</v>
      </c>
      <c r="B1364" s="415">
        <v>2</v>
      </c>
      <c r="C1364" s="746">
        <v>955.4100000000002</v>
      </c>
      <c r="D1364" s="746">
        <v>1230</v>
      </c>
      <c r="E1364" s="735"/>
      <c r="F1364" s="735"/>
      <c r="G1364" s="735"/>
      <c r="H1364" s="735"/>
      <c r="I1364" s="735"/>
      <c r="J1364" s="735"/>
      <c r="K1364" s="746">
        <f t="shared" ref="K1364:K1427" si="895">C1364+D1364+E1364+F1364+G1364+H1364+I1364+J1364</f>
        <v>2185.4100000000003</v>
      </c>
      <c r="L1364" s="746">
        <v>1000</v>
      </c>
      <c r="M1364" s="735"/>
      <c r="N1364" s="746">
        <f t="shared" ref="N1364:N1427" si="896">L1364+M1364</f>
        <v>1000</v>
      </c>
      <c r="O1364" s="735">
        <f t="shared" ref="O1364:O1427" si="897">(K1364*12)+N1364</f>
        <v>27224.920000000006</v>
      </c>
      <c r="P1364" s="735">
        <f t="shared" ref="P1364:P1427" si="898">O1364*B1364</f>
        <v>54449.840000000011</v>
      </c>
      <c r="Q1364" s="711">
        <v>2</v>
      </c>
      <c r="R1364" s="746">
        <v>955.4100000000002</v>
      </c>
      <c r="S1364" s="746">
        <v>1230</v>
      </c>
      <c r="T1364" s="746"/>
      <c r="U1364" s="746"/>
      <c r="V1364" s="746"/>
      <c r="W1364" s="746"/>
      <c r="X1364" s="746"/>
      <c r="Y1364" s="746"/>
      <c r="Z1364" s="746">
        <f t="shared" ref="Z1364:Z1445" si="899">R1364+S1364+T1364+U1364+V1364+W1364+X1364+Y1364</f>
        <v>2185.4100000000003</v>
      </c>
      <c r="AA1364" s="746">
        <v>1000</v>
      </c>
      <c r="AB1364" s="746"/>
      <c r="AC1364" s="746">
        <f t="shared" ref="AC1364:AC1427" si="900">AA1364+AB1364</f>
        <v>1000</v>
      </c>
      <c r="AD1364" s="746">
        <f t="shared" ref="AD1364:AD1427" si="901">((Z1364*12)+AC1364)</f>
        <v>27224.920000000006</v>
      </c>
      <c r="AE1364" s="746">
        <f t="shared" ref="AE1364:AE1427" si="902">AD1364*Q1364</f>
        <v>54449.840000000011</v>
      </c>
      <c r="AF1364" s="746">
        <f t="shared" ref="AF1364:AG1427" si="903">O1364-AD1364</f>
        <v>0</v>
      </c>
      <c r="AG1364" s="759">
        <f t="shared" si="903"/>
        <v>0</v>
      </c>
      <c r="AH1364" s="711"/>
      <c r="AI1364" s="735"/>
    </row>
    <row r="1365" spans="1:35" x14ac:dyDescent="0.2">
      <c r="A1365" s="704" t="s">
        <v>408</v>
      </c>
      <c r="B1365" s="415">
        <v>2</v>
      </c>
      <c r="C1365" s="746">
        <v>1249.5400000000002</v>
      </c>
      <c r="D1365" s="746">
        <v>1230</v>
      </c>
      <c r="E1365" s="735"/>
      <c r="F1365" s="735"/>
      <c r="G1365" s="735"/>
      <c r="H1365" s="735"/>
      <c r="I1365" s="735"/>
      <c r="J1365" s="735"/>
      <c r="K1365" s="746">
        <f t="shared" si="895"/>
        <v>2479.54</v>
      </c>
      <c r="L1365" s="746">
        <v>1000</v>
      </c>
      <c r="M1365" s="735"/>
      <c r="N1365" s="746">
        <f t="shared" si="896"/>
        <v>1000</v>
      </c>
      <c r="O1365" s="735">
        <f t="shared" si="897"/>
        <v>30754.48</v>
      </c>
      <c r="P1365" s="735">
        <f t="shared" si="898"/>
        <v>61508.959999999999</v>
      </c>
      <c r="Q1365" s="711">
        <v>2</v>
      </c>
      <c r="R1365" s="746">
        <v>1249.5400000000002</v>
      </c>
      <c r="S1365" s="746">
        <v>1230</v>
      </c>
      <c r="T1365" s="746"/>
      <c r="U1365" s="746"/>
      <c r="V1365" s="746"/>
      <c r="W1365" s="746"/>
      <c r="X1365" s="746"/>
      <c r="Y1365" s="746"/>
      <c r="Z1365" s="746">
        <f t="shared" si="899"/>
        <v>2479.54</v>
      </c>
      <c r="AA1365" s="746">
        <v>1000</v>
      </c>
      <c r="AB1365" s="746"/>
      <c r="AC1365" s="746">
        <f t="shared" si="900"/>
        <v>1000</v>
      </c>
      <c r="AD1365" s="746">
        <f t="shared" si="901"/>
        <v>30754.48</v>
      </c>
      <c r="AE1365" s="746">
        <f t="shared" si="902"/>
        <v>61508.959999999999</v>
      </c>
      <c r="AF1365" s="746">
        <f t="shared" si="903"/>
        <v>0</v>
      </c>
      <c r="AG1365" s="759">
        <f t="shared" si="903"/>
        <v>0</v>
      </c>
      <c r="AH1365" s="711"/>
      <c r="AI1365" s="735"/>
    </row>
    <row r="1366" spans="1:35" x14ac:dyDescent="0.2">
      <c r="A1366" s="704" t="s">
        <v>390</v>
      </c>
      <c r="B1366" s="415">
        <v>1</v>
      </c>
      <c r="C1366" s="746">
        <v>1204.4099999999999</v>
      </c>
      <c r="D1366" s="746">
        <v>1170</v>
      </c>
      <c r="E1366" s="735"/>
      <c r="F1366" s="735"/>
      <c r="G1366" s="735"/>
      <c r="H1366" s="735"/>
      <c r="I1366" s="735"/>
      <c r="J1366" s="735"/>
      <c r="K1366" s="746">
        <f t="shared" si="895"/>
        <v>2374.41</v>
      </c>
      <c r="L1366" s="746">
        <v>1000</v>
      </c>
      <c r="M1366" s="735"/>
      <c r="N1366" s="746">
        <f t="shared" si="896"/>
        <v>1000</v>
      </c>
      <c r="O1366" s="735">
        <f t="shared" si="897"/>
        <v>29492.92</v>
      </c>
      <c r="P1366" s="735">
        <f t="shared" si="898"/>
        <v>29492.92</v>
      </c>
      <c r="Q1366" s="711">
        <v>1</v>
      </c>
      <c r="R1366" s="746">
        <v>1204.4099999999999</v>
      </c>
      <c r="S1366" s="746">
        <v>1170</v>
      </c>
      <c r="T1366" s="746"/>
      <c r="U1366" s="746"/>
      <c r="V1366" s="746"/>
      <c r="W1366" s="746"/>
      <c r="X1366" s="746"/>
      <c r="Y1366" s="746"/>
      <c r="Z1366" s="746">
        <f t="shared" si="899"/>
        <v>2374.41</v>
      </c>
      <c r="AA1366" s="746">
        <v>1000</v>
      </c>
      <c r="AB1366" s="746"/>
      <c r="AC1366" s="746">
        <f t="shared" si="900"/>
        <v>1000</v>
      </c>
      <c r="AD1366" s="746">
        <f t="shared" si="901"/>
        <v>29492.92</v>
      </c>
      <c r="AE1366" s="746">
        <f t="shared" si="902"/>
        <v>29492.92</v>
      </c>
      <c r="AF1366" s="746">
        <f t="shared" si="903"/>
        <v>0</v>
      </c>
      <c r="AG1366" s="759">
        <f t="shared" si="903"/>
        <v>0</v>
      </c>
      <c r="AH1366" s="711"/>
      <c r="AI1366" s="735"/>
    </row>
    <row r="1367" spans="1:35" x14ac:dyDescent="0.2">
      <c r="A1367" s="704" t="s">
        <v>391</v>
      </c>
      <c r="B1367" s="415">
        <v>2</v>
      </c>
      <c r="C1367" s="746">
        <v>1156</v>
      </c>
      <c r="D1367" s="746">
        <v>1170</v>
      </c>
      <c r="E1367" s="735"/>
      <c r="F1367" s="735"/>
      <c r="G1367" s="735"/>
      <c r="H1367" s="735"/>
      <c r="I1367" s="735"/>
      <c r="J1367" s="735"/>
      <c r="K1367" s="746">
        <f t="shared" si="895"/>
        <v>2326</v>
      </c>
      <c r="L1367" s="746">
        <v>1000</v>
      </c>
      <c r="M1367" s="735"/>
      <c r="N1367" s="746">
        <f t="shared" si="896"/>
        <v>1000</v>
      </c>
      <c r="O1367" s="735">
        <f t="shared" si="897"/>
        <v>28912</v>
      </c>
      <c r="P1367" s="735">
        <f t="shared" si="898"/>
        <v>57824</v>
      </c>
      <c r="Q1367" s="711">
        <v>2</v>
      </c>
      <c r="R1367" s="746">
        <v>1156</v>
      </c>
      <c r="S1367" s="746">
        <v>1170</v>
      </c>
      <c r="T1367" s="746"/>
      <c r="U1367" s="746"/>
      <c r="V1367" s="746"/>
      <c r="W1367" s="746"/>
      <c r="X1367" s="746"/>
      <c r="Y1367" s="746"/>
      <c r="Z1367" s="746">
        <f t="shared" si="899"/>
        <v>2326</v>
      </c>
      <c r="AA1367" s="746">
        <v>1000</v>
      </c>
      <c r="AB1367" s="746"/>
      <c r="AC1367" s="746">
        <f t="shared" si="900"/>
        <v>1000</v>
      </c>
      <c r="AD1367" s="746">
        <f t="shared" si="901"/>
        <v>28912</v>
      </c>
      <c r="AE1367" s="746">
        <f t="shared" si="902"/>
        <v>57824</v>
      </c>
      <c r="AF1367" s="746">
        <f t="shared" si="903"/>
        <v>0</v>
      </c>
      <c r="AG1367" s="759">
        <f t="shared" si="903"/>
        <v>0</v>
      </c>
      <c r="AH1367" s="711"/>
      <c r="AI1367" s="735"/>
    </row>
    <row r="1368" spans="1:35" x14ac:dyDescent="0.2">
      <c r="A1368" s="704" t="s">
        <v>392</v>
      </c>
      <c r="B1368" s="415">
        <v>10</v>
      </c>
      <c r="C1368" s="746">
        <v>998.17500000000018</v>
      </c>
      <c r="D1368" s="746">
        <v>1170</v>
      </c>
      <c r="E1368" s="735"/>
      <c r="F1368" s="735"/>
      <c r="G1368" s="735"/>
      <c r="H1368" s="735"/>
      <c r="I1368" s="735"/>
      <c r="J1368" s="735"/>
      <c r="K1368" s="746">
        <f t="shared" si="895"/>
        <v>2168.1750000000002</v>
      </c>
      <c r="L1368" s="746">
        <v>1000</v>
      </c>
      <c r="M1368" s="735"/>
      <c r="N1368" s="746">
        <f t="shared" si="896"/>
        <v>1000</v>
      </c>
      <c r="O1368" s="735">
        <f t="shared" si="897"/>
        <v>27018.100000000002</v>
      </c>
      <c r="P1368" s="735">
        <f t="shared" si="898"/>
        <v>270181</v>
      </c>
      <c r="Q1368" s="711">
        <v>10</v>
      </c>
      <c r="R1368" s="746">
        <v>998.17500000000018</v>
      </c>
      <c r="S1368" s="746">
        <v>1170</v>
      </c>
      <c r="T1368" s="746"/>
      <c r="U1368" s="746"/>
      <c r="V1368" s="746"/>
      <c r="W1368" s="746"/>
      <c r="X1368" s="746"/>
      <c r="Y1368" s="746"/>
      <c r="Z1368" s="746">
        <f t="shared" si="899"/>
        <v>2168.1750000000002</v>
      </c>
      <c r="AA1368" s="746">
        <v>1000</v>
      </c>
      <c r="AB1368" s="746"/>
      <c r="AC1368" s="746">
        <f t="shared" si="900"/>
        <v>1000</v>
      </c>
      <c r="AD1368" s="746">
        <f t="shared" si="901"/>
        <v>27018.100000000002</v>
      </c>
      <c r="AE1368" s="746">
        <f t="shared" si="902"/>
        <v>270181</v>
      </c>
      <c r="AF1368" s="746">
        <f t="shared" si="903"/>
        <v>0</v>
      </c>
      <c r="AG1368" s="759">
        <f t="shared" si="903"/>
        <v>0</v>
      </c>
      <c r="AH1368" s="711"/>
      <c r="AI1368" s="735"/>
    </row>
    <row r="1369" spans="1:35" x14ac:dyDescent="0.2">
      <c r="A1369" s="704" t="s">
        <v>439</v>
      </c>
      <c r="B1369" s="415">
        <v>2</v>
      </c>
      <c r="C1369" s="746">
        <v>866.34499999999991</v>
      </c>
      <c r="D1369" s="746">
        <v>1170</v>
      </c>
      <c r="E1369" s="735"/>
      <c r="F1369" s="735"/>
      <c r="G1369" s="735"/>
      <c r="H1369" s="735"/>
      <c r="I1369" s="735"/>
      <c r="J1369" s="735"/>
      <c r="K1369" s="746">
        <f t="shared" si="895"/>
        <v>2036.3449999999998</v>
      </c>
      <c r="L1369" s="746">
        <v>1000</v>
      </c>
      <c r="M1369" s="735"/>
      <c r="N1369" s="746">
        <f t="shared" si="896"/>
        <v>1000</v>
      </c>
      <c r="O1369" s="735">
        <f t="shared" si="897"/>
        <v>25436.14</v>
      </c>
      <c r="P1369" s="735">
        <f t="shared" si="898"/>
        <v>50872.28</v>
      </c>
      <c r="Q1369" s="711">
        <v>2</v>
      </c>
      <c r="R1369" s="746">
        <v>866.34499999999991</v>
      </c>
      <c r="S1369" s="746">
        <v>1170</v>
      </c>
      <c r="T1369" s="746"/>
      <c r="U1369" s="746"/>
      <c r="V1369" s="746"/>
      <c r="W1369" s="746"/>
      <c r="X1369" s="746"/>
      <c r="Y1369" s="746"/>
      <c r="Z1369" s="746">
        <f t="shared" si="899"/>
        <v>2036.3449999999998</v>
      </c>
      <c r="AA1369" s="746">
        <v>1000</v>
      </c>
      <c r="AB1369" s="746"/>
      <c r="AC1369" s="746">
        <f t="shared" si="900"/>
        <v>1000</v>
      </c>
      <c r="AD1369" s="746">
        <f t="shared" si="901"/>
        <v>25436.14</v>
      </c>
      <c r="AE1369" s="746">
        <f t="shared" si="902"/>
        <v>50872.28</v>
      </c>
      <c r="AF1369" s="746">
        <f t="shared" si="903"/>
        <v>0</v>
      </c>
      <c r="AG1369" s="759">
        <f t="shared" si="903"/>
        <v>0</v>
      </c>
      <c r="AH1369" s="711"/>
      <c r="AI1369" s="735"/>
    </row>
    <row r="1370" spans="1:35" x14ac:dyDescent="0.2">
      <c r="A1370" s="704"/>
      <c r="B1370" s="415"/>
      <c r="C1370" s="746"/>
      <c r="D1370" s="746"/>
      <c r="E1370" s="735"/>
      <c r="F1370" s="735"/>
      <c r="G1370" s="735"/>
      <c r="H1370" s="735"/>
      <c r="I1370" s="735"/>
      <c r="J1370" s="735"/>
      <c r="K1370" s="746"/>
      <c r="L1370" s="746"/>
      <c r="M1370" s="735"/>
      <c r="N1370" s="746"/>
      <c r="O1370" s="735"/>
      <c r="P1370" s="735"/>
      <c r="Q1370" s="711"/>
      <c r="R1370" s="746"/>
      <c r="S1370" s="746"/>
      <c r="T1370" s="746"/>
      <c r="U1370" s="746"/>
      <c r="V1370" s="746"/>
      <c r="W1370" s="746"/>
      <c r="X1370" s="746"/>
      <c r="Y1370" s="746"/>
      <c r="Z1370" s="746"/>
      <c r="AA1370" s="746"/>
      <c r="AB1370" s="746"/>
      <c r="AC1370" s="746"/>
      <c r="AD1370" s="746"/>
      <c r="AE1370" s="746"/>
      <c r="AF1370" s="746"/>
      <c r="AG1370" s="759"/>
      <c r="AH1370" s="711"/>
      <c r="AI1370" s="735"/>
    </row>
    <row r="1371" spans="1:35" ht="24" x14ac:dyDescent="0.2">
      <c r="A1371" s="705" t="s">
        <v>448</v>
      </c>
      <c r="B1371" s="835"/>
      <c r="C1371" s="836"/>
      <c r="D1371" s="836"/>
      <c r="E1371" s="744"/>
      <c r="F1371" s="744"/>
      <c r="G1371" s="744"/>
      <c r="H1371" s="744"/>
      <c r="I1371" s="744"/>
      <c r="J1371" s="744"/>
      <c r="K1371" s="746"/>
      <c r="L1371" s="746"/>
      <c r="M1371" s="744"/>
      <c r="N1371" s="746"/>
      <c r="O1371" s="735"/>
      <c r="P1371" s="735"/>
      <c r="Q1371" s="724"/>
      <c r="R1371" s="836"/>
      <c r="S1371" s="836"/>
      <c r="T1371" s="836"/>
      <c r="U1371" s="836"/>
      <c r="V1371" s="836"/>
      <c r="W1371" s="836"/>
      <c r="X1371" s="836"/>
      <c r="Y1371" s="836"/>
      <c r="Z1371" s="836"/>
      <c r="AA1371" s="836"/>
      <c r="AB1371" s="836"/>
      <c r="AC1371" s="836"/>
      <c r="AD1371" s="836"/>
      <c r="AE1371" s="836"/>
      <c r="AF1371" s="746"/>
      <c r="AG1371" s="759"/>
      <c r="AH1371" s="724"/>
      <c r="AI1371" s="744"/>
    </row>
    <row r="1372" spans="1:35" x14ac:dyDescent="0.2">
      <c r="A1372" s="704" t="s">
        <v>858</v>
      </c>
      <c r="B1372" s="415">
        <v>1</v>
      </c>
      <c r="C1372" s="746">
        <v>1394.25</v>
      </c>
      <c r="D1372" s="746"/>
      <c r="E1372" s="735"/>
      <c r="F1372" s="735"/>
      <c r="G1372" s="735"/>
      <c r="H1372" s="735"/>
      <c r="I1372" s="746">
        <v>1970</v>
      </c>
      <c r="J1372" s="735"/>
      <c r="K1372" s="746">
        <f t="shared" si="895"/>
        <v>3364.25</v>
      </c>
      <c r="L1372" s="746">
        <v>1000</v>
      </c>
      <c r="M1372" s="735"/>
      <c r="N1372" s="746">
        <f t="shared" si="896"/>
        <v>1000</v>
      </c>
      <c r="O1372" s="735">
        <f t="shared" si="897"/>
        <v>41371</v>
      </c>
      <c r="P1372" s="735">
        <f t="shared" si="898"/>
        <v>41371</v>
      </c>
      <c r="Q1372" s="711">
        <v>1</v>
      </c>
      <c r="R1372" s="746">
        <v>1394.25</v>
      </c>
      <c r="S1372" s="746"/>
      <c r="T1372" s="746"/>
      <c r="U1372" s="746"/>
      <c r="V1372" s="746"/>
      <c r="W1372" s="746"/>
      <c r="X1372" s="746">
        <v>1970</v>
      </c>
      <c r="Y1372" s="746"/>
      <c r="Z1372" s="746">
        <f t="shared" si="899"/>
        <v>3364.25</v>
      </c>
      <c r="AA1372" s="746">
        <v>1000</v>
      </c>
      <c r="AB1372" s="746"/>
      <c r="AC1372" s="746">
        <f t="shared" si="900"/>
        <v>1000</v>
      </c>
      <c r="AD1372" s="746">
        <f t="shared" si="901"/>
        <v>41371</v>
      </c>
      <c r="AE1372" s="746">
        <f t="shared" si="902"/>
        <v>41371</v>
      </c>
      <c r="AF1372" s="746">
        <f t="shared" si="903"/>
        <v>0</v>
      </c>
      <c r="AG1372" s="759">
        <f t="shared" si="903"/>
        <v>0</v>
      </c>
      <c r="AH1372" s="711"/>
      <c r="AI1372" s="735"/>
    </row>
    <row r="1373" spans="1:35" x14ac:dyDescent="0.2">
      <c r="A1373" s="704" t="s">
        <v>859</v>
      </c>
      <c r="B1373" s="415">
        <v>7</v>
      </c>
      <c r="C1373" s="746">
        <v>1394.25</v>
      </c>
      <c r="D1373" s="746"/>
      <c r="E1373" s="735"/>
      <c r="F1373" s="735"/>
      <c r="G1373" s="735"/>
      <c r="H1373" s="735"/>
      <c r="I1373" s="746">
        <v>1970</v>
      </c>
      <c r="J1373" s="735"/>
      <c r="K1373" s="746">
        <f t="shared" si="895"/>
        <v>3364.25</v>
      </c>
      <c r="L1373" s="746">
        <v>1000</v>
      </c>
      <c r="M1373" s="735"/>
      <c r="N1373" s="746">
        <f t="shared" si="896"/>
        <v>1000</v>
      </c>
      <c r="O1373" s="735">
        <f t="shared" si="897"/>
        <v>41371</v>
      </c>
      <c r="P1373" s="735">
        <f t="shared" si="898"/>
        <v>289597</v>
      </c>
      <c r="Q1373" s="711">
        <v>7</v>
      </c>
      <c r="R1373" s="746">
        <v>1394.25</v>
      </c>
      <c r="S1373" s="746"/>
      <c r="T1373" s="746"/>
      <c r="U1373" s="746"/>
      <c r="V1373" s="746"/>
      <c r="W1373" s="746"/>
      <c r="X1373" s="746">
        <v>1970</v>
      </c>
      <c r="Y1373" s="746"/>
      <c r="Z1373" s="746">
        <f t="shared" si="899"/>
        <v>3364.25</v>
      </c>
      <c r="AA1373" s="746">
        <v>1000</v>
      </c>
      <c r="AB1373" s="746"/>
      <c r="AC1373" s="746">
        <f t="shared" si="900"/>
        <v>1000</v>
      </c>
      <c r="AD1373" s="746">
        <f t="shared" si="901"/>
        <v>41371</v>
      </c>
      <c r="AE1373" s="746">
        <f t="shared" si="902"/>
        <v>289597</v>
      </c>
      <c r="AF1373" s="746">
        <f t="shared" si="903"/>
        <v>0</v>
      </c>
      <c r="AG1373" s="759">
        <f t="shared" si="903"/>
        <v>0</v>
      </c>
      <c r="AH1373" s="711"/>
      <c r="AI1373" s="735"/>
    </row>
    <row r="1374" spans="1:35" ht="24" x14ac:dyDescent="0.2">
      <c r="A1374" s="704" t="s">
        <v>860</v>
      </c>
      <c r="B1374" s="415">
        <v>9</v>
      </c>
      <c r="C1374" s="746">
        <v>1394.25</v>
      </c>
      <c r="D1374" s="746"/>
      <c r="E1374" s="735"/>
      <c r="F1374" s="735"/>
      <c r="G1374" s="735"/>
      <c r="H1374" s="735"/>
      <c r="I1374" s="746">
        <v>1970</v>
      </c>
      <c r="J1374" s="735"/>
      <c r="K1374" s="746">
        <f t="shared" si="895"/>
        <v>3364.25</v>
      </c>
      <c r="L1374" s="746">
        <v>1000</v>
      </c>
      <c r="M1374" s="735"/>
      <c r="N1374" s="746">
        <f t="shared" si="896"/>
        <v>1000</v>
      </c>
      <c r="O1374" s="735">
        <f t="shared" si="897"/>
        <v>41371</v>
      </c>
      <c r="P1374" s="735">
        <f t="shared" si="898"/>
        <v>372339</v>
      </c>
      <c r="Q1374" s="711">
        <v>9</v>
      </c>
      <c r="R1374" s="746">
        <v>1394.25</v>
      </c>
      <c r="S1374" s="746"/>
      <c r="T1374" s="746"/>
      <c r="U1374" s="746"/>
      <c r="V1374" s="746"/>
      <c r="W1374" s="746"/>
      <c r="X1374" s="746">
        <v>1970</v>
      </c>
      <c r="Y1374" s="746"/>
      <c r="Z1374" s="746">
        <f t="shared" si="899"/>
        <v>3364.25</v>
      </c>
      <c r="AA1374" s="746">
        <v>1000</v>
      </c>
      <c r="AB1374" s="746"/>
      <c r="AC1374" s="746">
        <f t="shared" si="900"/>
        <v>1000</v>
      </c>
      <c r="AD1374" s="746">
        <f t="shared" si="901"/>
        <v>41371</v>
      </c>
      <c r="AE1374" s="746">
        <f t="shared" si="902"/>
        <v>372339</v>
      </c>
      <c r="AF1374" s="746">
        <f t="shared" si="903"/>
        <v>0</v>
      </c>
      <c r="AG1374" s="759">
        <f t="shared" si="903"/>
        <v>0</v>
      </c>
      <c r="AH1374" s="711"/>
      <c r="AI1374" s="735"/>
    </row>
    <row r="1375" spans="1:35" x14ac:dyDescent="0.2">
      <c r="A1375" s="704" t="s">
        <v>861</v>
      </c>
      <c r="B1375" s="415">
        <v>2</v>
      </c>
      <c r="C1375" s="746">
        <v>1394.25</v>
      </c>
      <c r="D1375" s="746"/>
      <c r="E1375" s="735"/>
      <c r="F1375" s="735"/>
      <c r="G1375" s="735"/>
      <c r="H1375" s="735"/>
      <c r="I1375" s="746">
        <v>1970</v>
      </c>
      <c r="J1375" s="735"/>
      <c r="K1375" s="746">
        <f t="shared" si="895"/>
        <v>3364.25</v>
      </c>
      <c r="L1375" s="746">
        <v>1000</v>
      </c>
      <c r="M1375" s="735"/>
      <c r="N1375" s="746">
        <f t="shared" si="896"/>
        <v>1000</v>
      </c>
      <c r="O1375" s="735">
        <f t="shared" si="897"/>
        <v>41371</v>
      </c>
      <c r="P1375" s="735">
        <f t="shared" si="898"/>
        <v>82742</v>
      </c>
      <c r="Q1375" s="711">
        <v>2</v>
      </c>
      <c r="R1375" s="746">
        <v>1394.25</v>
      </c>
      <c r="S1375" s="746"/>
      <c r="T1375" s="746"/>
      <c r="U1375" s="746"/>
      <c r="V1375" s="746"/>
      <c r="W1375" s="746"/>
      <c r="X1375" s="746">
        <v>1970</v>
      </c>
      <c r="Y1375" s="746"/>
      <c r="Z1375" s="746">
        <f t="shared" si="899"/>
        <v>3364.25</v>
      </c>
      <c r="AA1375" s="746">
        <v>1000</v>
      </c>
      <c r="AB1375" s="746"/>
      <c r="AC1375" s="746">
        <f t="shared" si="900"/>
        <v>1000</v>
      </c>
      <c r="AD1375" s="746">
        <f t="shared" si="901"/>
        <v>41371</v>
      </c>
      <c r="AE1375" s="746">
        <f t="shared" si="902"/>
        <v>82742</v>
      </c>
      <c r="AF1375" s="746">
        <f t="shared" si="903"/>
        <v>0</v>
      </c>
      <c r="AG1375" s="759">
        <f t="shared" si="903"/>
        <v>0</v>
      </c>
      <c r="AH1375" s="711"/>
      <c r="AI1375" s="735"/>
    </row>
    <row r="1376" spans="1:35" x14ac:dyDescent="0.2">
      <c r="A1376" s="704" t="s">
        <v>862</v>
      </c>
      <c r="B1376" s="415">
        <v>1</v>
      </c>
      <c r="C1376" s="746">
        <v>1394.25</v>
      </c>
      <c r="D1376" s="746"/>
      <c r="E1376" s="735"/>
      <c r="F1376" s="735"/>
      <c r="G1376" s="735"/>
      <c r="H1376" s="735"/>
      <c r="I1376" s="746">
        <v>1970</v>
      </c>
      <c r="J1376" s="735"/>
      <c r="K1376" s="746">
        <f t="shared" si="895"/>
        <v>3364.25</v>
      </c>
      <c r="L1376" s="746">
        <v>1000</v>
      </c>
      <c r="M1376" s="735"/>
      <c r="N1376" s="746">
        <f t="shared" si="896"/>
        <v>1000</v>
      </c>
      <c r="O1376" s="735">
        <f t="shared" si="897"/>
        <v>41371</v>
      </c>
      <c r="P1376" s="735">
        <f t="shared" si="898"/>
        <v>41371</v>
      </c>
      <c r="Q1376" s="711">
        <v>1</v>
      </c>
      <c r="R1376" s="746">
        <v>1394.25</v>
      </c>
      <c r="S1376" s="746"/>
      <c r="T1376" s="746"/>
      <c r="U1376" s="746"/>
      <c r="V1376" s="746"/>
      <c r="W1376" s="746"/>
      <c r="X1376" s="746">
        <v>1970</v>
      </c>
      <c r="Y1376" s="746"/>
      <c r="Z1376" s="746">
        <f t="shared" si="899"/>
        <v>3364.25</v>
      </c>
      <c r="AA1376" s="746">
        <v>1000</v>
      </c>
      <c r="AB1376" s="746"/>
      <c r="AC1376" s="746">
        <f t="shared" si="900"/>
        <v>1000</v>
      </c>
      <c r="AD1376" s="746">
        <f t="shared" si="901"/>
        <v>41371</v>
      </c>
      <c r="AE1376" s="746">
        <f t="shared" si="902"/>
        <v>41371</v>
      </c>
      <c r="AF1376" s="746">
        <f t="shared" si="903"/>
        <v>0</v>
      </c>
      <c r="AG1376" s="759">
        <f t="shared" si="903"/>
        <v>0</v>
      </c>
      <c r="AH1376" s="711"/>
      <c r="AI1376" s="735"/>
    </row>
    <row r="1377" spans="1:35" x14ac:dyDescent="0.2">
      <c r="A1377" s="704" t="s">
        <v>863</v>
      </c>
      <c r="B1377" s="415">
        <v>1</v>
      </c>
      <c r="C1377" s="746">
        <v>1382.55</v>
      </c>
      <c r="D1377" s="746"/>
      <c r="E1377" s="735"/>
      <c r="F1377" s="735"/>
      <c r="G1377" s="735"/>
      <c r="H1377" s="735"/>
      <c r="I1377" s="746">
        <v>1750</v>
      </c>
      <c r="J1377" s="735"/>
      <c r="K1377" s="746">
        <f t="shared" si="895"/>
        <v>3132.55</v>
      </c>
      <c r="L1377" s="746">
        <v>1000</v>
      </c>
      <c r="M1377" s="735"/>
      <c r="N1377" s="746">
        <f t="shared" si="896"/>
        <v>1000</v>
      </c>
      <c r="O1377" s="735">
        <f t="shared" si="897"/>
        <v>38590.600000000006</v>
      </c>
      <c r="P1377" s="735">
        <f t="shared" si="898"/>
        <v>38590.600000000006</v>
      </c>
      <c r="Q1377" s="711">
        <v>1</v>
      </c>
      <c r="R1377" s="746">
        <v>1382.55</v>
      </c>
      <c r="S1377" s="746"/>
      <c r="T1377" s="746"/>
      <c r="U1377" s="746"/>
      <c r="V1377" s="746"/>
      <c r="W1377" s="746"/>
      <c r="X1377" s="746">
        <v>1750</v>
      </c>
      <c r="Y1377" s="746"/>
      <c r="Z1377" s="746">
        <f t="shared" si="899"/>
        <v>3132.55</v>
      </c>
      <c r="AA1377" s="746">
        <v>1000</v>
      </c>
      <c r="AB1377" s="746"/>
      <c r="AC1377" s="746">
        <f t="shared" si="900"/>
        <v>1000</v>
      </c>
      <c r="AD1377" s="746">
        <f t="shared" si="901"/>
        <v>38590.600000000006</v>
      </c>
      <c r="AE1377" s="746">
        <f t="shared" si="902"/>
        <v>38590.600000000006</v>
      </c>
      <c r="AF1377" s="746">
        <f t="shared" si="903"/>
        <v>0</v>
      </c>
      <c r="AG1377" s="759">
        <f t="shared" si="903"/>
        <v>0</v>
      </c>
      <c r="AH1377" s="711"/>
      <c r="AI1377" s="735"/>
    </row>
    <row r="1378" spans="1:35" x14ac:dyDescent="0.2">
      <c r="A1378" s="704" t="s">
        <v>864</v>
      </c>
      <c r="B1378" s="415">
        <v>33</v>
      </c>
      <c r="C1378" s="746">
        <v>1382.55</v>
      </c>
      <c r="D1378" s="746"/>
      <c r="E1378" s="735"/>
      <c r="F1378" s="735"/>
      <c r="G1378" s="735"/>
      <c r="H1378" s="735"/>
      <c r="I1378" s="746">
        <v>1750</v>
      </c>
      <c r="J1378" s="735"/>
      <c r="K1378" s="746">
        <f t="shared" si="895"/>
        <v>3132.55</v>
      </c>
      <c r="L1378" s="746">
        <v>1000</v>
      </c>
      <c r="M1378" s="735"/>
      <c r="N1378" s="746">
        <f t="shared" si="896"/>
        <v>1000</v>
      </c>
      <c r="O1378" s="735">
        <f t="shared" si="897"/>
        <v>38590.600000000006</v>
      </c>
      <c r="P1378" s="735">
        <f t="shared" si="898"/>
        <v>1273489.8000000003</v>
      </c>
      <c r="Q1378" s="711">
        <v>33</v>
      </c>
      <c r="R1378" s="746">
        <v>1382.55</v>
      </c>
      <c r="S1378" s="746"/>
      <c r="T1378" s="746"/>
      <c r="U1378" s="746"/>
      <c r="V1378" s="746"/>
      <c r="W1378" s="746"/>
      <c r="X1378" s="746">
        <v>1750</v>
      </c>
      <c r="Y1378" s="746"/>
      <c r="Z1378" s="746">
        <f t="shared" si="899"/>
        <v>3132.55</v>
      </c>
      <c r="AA1378" s="746">
        <v>1000</v>
      </c>
      <c r="AB1378" s="746"/>
      <c r="AC1378" s="746">
        <f t="shared" si="900"/>
        <v>1000</v>
      </c>
      <c r="AD1378" s="746">
        <f t="shared" si="901"/>
        <v>38590.600000000006</v>
      </c>
      <c r="AE1378" s="746">
        <f t="shared" si="902"/>
        <v>1273489.8000000003</v>
      </c>
      <c r="AF1378" s="746">
        <f t="shared" si="903"/>
        <v>0</v>
      </c>
      <c r="AG1378" s="759">
        <f t="shared" si="903"/>
        <v>0</v>
      </c>
      <c r="AH1378" s="711"/>
      <c r="AI1378" s="735"/>
    </row>
    <row r="1379" spans="1:35" ht="24" x14ac:dyDescent="0.2">
      <c r="A1379" s="704" t="s">
        <v>865</v>
      </c>
      <c r="B1379" s="415">
        <v>5</v>
      </c>
      <c r="C1379" s="746">
        <v>1382.55</v>
      </c>
      <c r="D1379" s="746"/>
      <c r="E1379" s="735"/>
      <c r="F1379" s="735"/>
      <c r="G1379" s="735"/>
      <c r="H1379" s="735"/>
      <c r="I1379" s="746">
        <v>1750</v>
      </c>
      <c r="J1379" s="735"/>
      <c r="K1379" s="746">
        <f t="shared" si="895"/>
        <v>3132.55</v>
      </c>
      <c r="L1379" s="746">
        <v>1000</v>
      </c>
      <c r="M1379" s="735"/>
      <c r="N1379" s="746">
        <f t="shared" si="896"/>
        <v>1000</v>
      </c>
      <c r="O1379" s="735">
        <f t="shared" si="897"/>
        <v>38590.600000000006</v>
      </c>
      <c r="P1379" s="735">
        <f t="shared" si="898"/>
        <v>192953.00000000003</v>
      </c>
      <c r="Q1379" s="711">
        <v>5</v>
      </c>
      <c r="R1379" s="746">
        <v>1382.55</v>
      </c>
      <c r="S1379" s="746"/>
      <c r="T1379" s="746"/>
      <c r="U1379" s="746"/>
      <c r="V1379" s="746"/>
      <c r="W1379" s="746"/>
      <c r="X1379" s="746">
        <v>1750</v>
      </c>
      <c r="Y1379" s="746"/>
      <c r="Z1379" s="746">
        <f t="shared" si="899"/>
        <v>3132.55</v>
      </c>
      <c r="AA1379" s="746">
        <v>1000</v>
      </c>
      <c r="AB1379" s="746"/>
      <c r="AC1379" s="746">
        <f t="shared" si="900"/>
        <v>1000</v>
      </c>
      <c r="AD1379" s="746">
        <f t="shared" si="901"/>
        <v>38590.600000000006</v>
      </c>
      <c r="AE1379" s="746">
        <f t="shared" si="902"/>
        <v>192953.00000000003</v>
      </c>
      <c r="AF1379" s="746">
        <f t="shared" si="903"/>
        <v>0</v>
      </c>
      <c r="AG1379" s="759">
        <f t="shared" si="903"/>
        <v>0</v>
      </c>
      <c r="AH1379" s="711"/>
      <c r="AI1379" s="735"/>
    </row>
    <row r="1380" spans="1:35" ht="24" x14ac:dyDescent="0.2">
      <c r="A1380" s="704" t="s">
        <v>866</v>
      </c>
      <c r="B1380" s="415">
        <v>1</v>
      </c>
      <c r="C1380" s="746">
        <v>1382.55</v>
      </c>
      <c r="D1380" s="746"/>
      <c r="E1380" s="735"/>
      <c r="F1380" s="735"/>
      <c r="G1380" s="735"/>
      <c r="H1380" s="735"/>
      <c r="I1380" s="746">
        <v>1750</v>
      </c>
      <c r="J1380" s="735"/>
      <c r="K1380" s="746">
        <f t="shared" si="895"/>
        <v>3132.55</v>
      </c>
      <c r="L1380" s="746">
        <v>1000</v>
      </c>
      <c r="M1380" s="735"/>
      <c r="N1380" s="746">
        <f t="shared" si="896"/>
        <v>1000</v>
      </c>
      <c r="O1380" s="735">
        <f t="shared" si="897"/>
        <v>38590.600000000006</v>
      </c>
      <c r="P1380" s="735">
        <f t="shared" si="898"/>
        <v>38590.600000000006</v>
      </c>
      <c r="Q1380" s="711">
        <v>1</v>
      </c>
      <c r="R1380" s="746">
        <v>1382.55</v>
      </c>
      <c r="S1380" s="746"/>
      <c r="T1380" s="746"/>
      <c r="U1380" s="746"/>
      <c r="V1380" s="746"/>
      <c r="W1380" s="746"/>
      <c r="X1380" s="746">
        <v>1750</v>
      </c>
      <c r="Y1380" s="746"/>
      <c r="Z1380" s="746">
        <f t="shared" si="899"/>
        <v>3132.55</v>
      </c>
      <c r="AA1380" s="746">
        <v>1000</v>
      </c>
      <c r="AB1380" s="746"/>
      <c r="AC1380" s="746">
        <f t="shared" si="900"/>
        <v>1000</v>
      </c>
      <c r="AD1380" s="746">
        <f t="shared" si="901"/>
        <v>38590.600000000006</v>
      </c>
      <c r="AE1380" s="746">
        <f t="shared" si="902"/>
        <v>38590.600000000006</v>
      </c>
      <c r="AF1380" s="746">
        <f t="shared" si="903"/>
        <v>0</v>
      </c>
      <c r="AG1380" s="759">
        <f t="shared" si="903"/>
        <v>0</v>
      </c>
      <c r="AH1380" s="711"/>
      <c r="AI1380" s="735"/>
    </row>
    <row r="1381" spans="1:35" ht="24" x14ac:dyDescent="0.2">
      <c r="A1381" s="704" t="s">
        <v>867</v>
      </c>
      <c r="B1381" s="415">
        <v>1</v>
      </c>
      <c r="C1381" s="746">
        <v>1382.55</v>
      </c>
      <c r="D1381" s="746"/>
      <c r="E1381" s="735"/>
      <c r="F1381" s="735"/>
      <c r="G1381" s="735"/>
      <c r="H1381" s="735"/>
      <c r="I1381" s="746">
        <v>1750</v>
      </c>
      <c r="J1381" s="735"/>
      <c r="K1381" s="746">
        <f t="shared" si="895"/>
        <v>3132.55</v>
      </c>
      <c r="L1381" s="746">
        <v>1000</v>
      </c>
      <c r="M1381" s="735"/>
      <c r="N1381" s="746">
        <f t="shared" si="896"/>
        <v>1000</v>
      </c>
      <c r="O1381" s="735">
        <f t="shared" si="897"/>
        <v>38590.600000000006</v>
      </c>
      <c r="P1381" s="735">
        <f t="shared" si="898"/>
        <v>38590.600000000006</v>
      </c>
      <c r="Q1381" s="711">
        <v>1</v>
      </c>
      <c r="R1381" s="746">
        <v>1382.55</v>
      </c>
      <c r="S1381" s="746"/>
      <c r="T1381" s="746"/>
      <c r="U1381" s="746"/>
      <c r="V1381" s="746"/>
      <c r="W1381" s="746"/>
      <c r="X1381" s="746">
        <v>1750</v>
      </c>
      <c r="Y1381" s="746"/>
      <c r="Z1381" s="746">
        <f t="shared" si="899"/>
        <v>3132.55</v>
      </c>
      <c r="AA1381" s="746">
        <v>1000</v>
      </c>
      <c r="AB1381" s="746"/>
      <c r="AC1381" s="746">
        <f t="shared" si="900"/>
        <v>1000</v>
      </c>
      <c r="AD1381" s="746">
        <f t="shared" si="901"/>
        <v>38590.600000000006</v>
      </c>
      <c r="AE1381" s="746">
        <f t="shared" si="902"/>
        <v>38590.600000000006</v>
      </c>
      <c r="AF1381" s="746">
        <f t="shared" si="903"/>
        <v>0</v>
      </c>
      <c r="AG1381" s="759">
        <f t="shared" si="903"/>
        <v>0</v>
      </c>
      <c r="AH1381" s="711"/>
      <c r="AI1381" s="735"/>
    </row>
    <row r="1382" spans="1:35" ht="24" x14ac:dyDescent="0.2">
      <c r="A1382" s="704" t="s">
        <v>868</v>
      </c>
      <c r="B1382" s="415">
        <v>2</v>
      </c>
      <c r="C1382" s="746">
        <v>1382.55</v>
      </c>
      <c r="D1382" s="746"/>
      <c r="E1382" s="735"/>
      <c r="F1382" s="735"/>
      <c r="G1382" s="735"/>
      <c r="H1382" s="735"/>
      <c r="I1382" s="746">
        <v>1750</v>
      </c>
      <c r="J1382" s="735"/>
      <c r="K1382" s="746">
        <f t="shared" si="895"/>
        <v>3132.55</v>
      </c>
      <c r="L1382" s="746">
        <v>1000</v>
      </c>
      <c r="M1382" s="735"/>
      <c r="N1382" s="746">
        <f t="shared" si="896"/>
        <v>1000</v>
      </c>
      <c r="O1382" s="735">
        <f t="shared" si="897"/>
        <v>38590.600000000006</v>
      </c>
      <c r="P1382" s="735">
        <f t="shared" si="898"/>
        <v>77181.200000000012</v>
      </c>
      <c r="Q1382" s="711">
        <v>2</v>
      </c>
      <c r="R1382" s="746">
        <v>1382.55</v>
      </c>
      <c r="S1382" s="746"/>
      <c r="T1382" s="746"/>
      <c r="U1382" s="746"/>
      <c r="V1382" s="746"/>
      <c r="W1382" s="746"/>
      <c r="X1382" s="746">
        <v>1750</v>
      </c>
      <c r="Y1382" s="746"/>
      <c r="Z1382" s="746">
        <f t="shared" si="899"/>
        <v>3132.55</v>
      </c>
      <c r="AA1382" s="746">
        <v>1000</v>
      </c>
      <c r="AB1382" s="746"/>
      <c r="AC1382" s="746">
        <f t="shared" si="900"/>
        <v>1000</v>
      </c>
      <c r="AD1382" s="746">
        <f t="shared" si="901"/>
        <v>38590.600000000006</v>
      </c>
      <c r="AE1382" s="746">
        <f t="shared" si="902"/>
        <v>77181.200000000012</v>
      </c>
      <c r="AF1382" s="746">
        <f t="shared" si="903"/>
        <v>0</v>
      </c>
      <c r="AG1382" s="759">
        <f t="shared" si="903"/>
        <v>0</v>
      </c>
      <c r="AH1382" s="711"/>
      <c r="AI1382" s="735"/>
    </row>
    <row r="1383" spans="1:35" x14ac:dyDescent="0.2">
      <c r="A1383" s="704" t="s">
        <v>869</v>
      </c>
      <c r="B1383" s="415">
        <v>1</v>
      </c>
      <c r="C1383" s="746">
        <v>1394.25</v>
      </c>
      <c r="D1383" s="746"/>
      <c r="E1383" s="735"/>
      <c r="F1383" s="735"/>
      <c r="G1383" s="735"/>
      <c r="H1383" s="735"/>
      <c r="I1383" s="746">
        <v>1750</v>
      </c>
      <c r="J1383" s="735"/>
      <c r="K1383" s="746">
        <f t="shared" si="895"/>
        <v>3144.25</v>
      </c>
      <c r="L1383" s="746">
        <v>1000</v>
      </c>
      <c r="M1383" s="735"/>
      <c r="N1383" s="746">
        <f t="shared" si="896"/>
        <v>1000</v>
      </c>
      <c r="O1383" s="735">
        <f t="shared" si="897"/>
        <v>38731</v>
      </c>
      <c r="P1383" s="735">
        <f t="shared" si="898"/>
        <v>38731</v>
      </c>
      <c r="Q1383" s="711">
        <v>1</v>
      </c>
      <c r="R1383" s="746">
        <v>1394.25</v>
      </c>
      <c r="S1383" s="746"/>
      <c r="T1383" s="746"/>
      <c r="U1383" s="746"/>
      <c r="V1383" s="746"/>
      <c r="W1383" s="746"/>
      <c r="X1383" s="746">
        <v>1750</v>
      </c>
      <c r="Y1383" s="746"/>
      <c r="Z1383" s="746">
        <f t="shared" si="899"/>
        <v>3144.25</v>
      </c>
      <c r="AA1383" s="746">
        <v>1000</v>
      </c>
      <c r="AB1383" s="746"/>
      <c r="AC1383" s="746">
        <f t="shared" si="900"/>
        <v>1000</v>
      </c>
      <c r="AD1383" s="746">
        <f t="shared" si="901"/>
        <v>38731</v>
      </c>
      <c r="AE1383" s="746">
        <f t="shared" si="902"/>
        <v>38731</v>
      </c>
      <c r="AF1383" s="746">
        <f t="shared" si="903"/>
        <v>0</v>
      </c>
      <c r="AG1383" s="759">
        <f t="shared" si="903"/>
        <v>0</v>
      </c>
      <c r="AH1383" s="711"/>
      <c r="AI1383" s="735"/>
    </row>
    <row r="1384" spans="1:35" x14ac:dyDescent="0.2">
      <c r="A1384" s="704" t="s">
        <v>870</v>
      </c>
      <c r="B1384" s="415">
        <v>4</v>
      </c>
      <c r="C1384" s="746">
        <v>1382.55</v>
      </c>
      <c r="D1384" s="746"/>
      <c r="E1384" s="735"/>
      <c r="F1384" s="735"/>
      <c r="G1384" s="735"/>
      <c r="H1384" s="735"/>
      <c r="I1384" s="746">
        <v>1750</v>
      </c>
      <c r="J1384" s="735"/>
      <c r="K1384" s="746">
        <f t="shared" si="895"/>
        <v>3132.55</v>
      </c>
      <c r="L1384" s="746">
        <v>1000</v>
      </c>
      <c r="M1384" s="735"/>
      <c r="N1384" s="746">
        <f t="shared" si="896"/>
        <v>1000</v>
      </c>
      <c r="O1384" s="735">
        <f t="shared" si="897"/>
        <v>38590.600000000006</v>
      </c>
      <c r="P1384" s="735">
        <f t="shared" si="898"/>
        <v>154362.40000000002</v>
      </c>
      <c r="Q1384" s="711">
        <v>4</v>
      </c>
      <c r="R1384" s="746">
        <v>1382.55</v>
      </c>
      <c r="S1384" s="746"/>
      <c r="T1384" s="746"/>
      <c r="U1384" s="746"/>
      <c r="V1384" s="746"/>
      <c r="W1384" s="746"/>
      <c r="X1384" s="746">
        <v>1750</v>
      </c>
      <c r="Y1384" s="746"/>
      <c r="Z1384" s="746">
        <f t="shared" si="899"/>
        <v>3132.55</v>
      </c>
      <c r="AA1384" s="746">
        <v>1000</v>
      </c>
      <c r="AB1384" s="746"/>
      <c r="AC1384" s="746">
        <f t="shared" si="900"/>
        <v>1000</v>
      </c>
      <c r="AD1384" s="746">
        <f t="shared" si="901"/>
        <v>38590.600000000006</v>
      </c>
      <c r="AE1384" s="746">
        <f t="shared" si="902"/>
        <v>154362.40000000002</v>
      </c>
      <c r="AF1384" s="746">
        <f t="shared" si="903"/>
        <v>0</v>
      </c>
      <c r="AG1384" s="759">
        <f t="shared" si="903"/>
        <v>0</v>
      </c>
      <c r="AH1384" s="711"/>
      <c r="AI1384" s="735"/>
    </row>
    <row r="1385" spans="1:35" ht="24" x14ac:dyDescent="0.2">
      <c r="A1385" s="704" t="s">
        <v>871</v>
      </c>
      <c r="B1385" s="415">
        <v>1</v>
      </c>
      <c r="C1385" s="746">
        <v>1370.85</v>
      </c>
      <c r="D1385" s="746"/>
      <c r="E1385" s="735"/>
      <c r="F1385" s="735"/>
      <c r="G1385" s="735"/>
      <c r="H1385" s="735"/>
      <c r="I1385" s="746">
        <v>1560</v>
      </c>
      <c r="J1385" s="735"/>
      <c r="K1385" s="746">
        <f t="shared" si="895"/>
        <v>2930.85</v>
      </c>
      <c r="L1385" s="746">
        <v>1000</v>
      </c>
      <c r="M1385" s="735"/>
      <c r="N1385" s="746">
        <f t="shared" si="896"/>
        <v>1000</v>
      </c>
      <c r="O1385" s="735">
        <f t="shared" si="897"/>
        <v>36170.199999999997</v>
      </c>
      <c r="P1385" s="735">
        <f t="shared" si="898"/>
        <v>36170.199999999997</v>
      </c>
      <c r="Q1385" s="711">
        <v>1</v>
      </c>
      <c r="R1385" s="746">
        <v>1370.85</v>
      </c>
      <c r="S1385" s="746"/>
      <c r="T1385" s="746"/>
      <c r="U1385" s="746"/>
      <c r="V1385" s="746"/>
      <c r="W1385" s="746"/>
      <c r="X1385" s="746">
        <v>1560</v>
      </c>
      <c r="Y1385" s="746"/>
      <c r="Z1385" s="746">
        <f t="shared" si="899"/>
        <v>2930.85</v>
      </c>
      <c r="AA1385" s="746">
        <v>1000</v>
      </c>
      <c r="AB1385" s="746"/>
      <c r="AC1385" s="746">
        <f t="shared" si="900"/>
        <v>1000</v>
      </c>
      <c r="AD1385" s="746">
        <f t="shared" si="901"/>
        <v>36170.199999999997</v>
      </c>
      <c r="AE1385" s="746">
        <f t="shared" si="902"/>
        <v>36170.199999999997</v>
      </c>
      <c r="AF1385" s="746">
        <f t="shared" si="903"/>
        <v>0</v>
      </c>
      <c r="AG1385" s="759">
        <f t="shared" si="903"/>
        <v>0</v>
      </c>
      <c r="AH1385" s="711"/>
      <c r="AI1385" s="735"/>
    </row>
    <row r="1386" spans="1:35" ht="24" x14ac:dyDescent="0.2">
      <c r="A1386" s="704" t="s">
        <v>872</v>
      </c>
      <c r="B1386" s="415">
        <v>47</v>
      </c>
      <c r="C1386" s="746">
        <v>1370.85</v>
      </c>
      <c r="D1386" s="746"/>
      <c r="E1386" s="735"/>
      <c r="F1386" s="735"/>
      <c r="G1386" s="735"/>
      <c r="H1386" s="735"/>
      <c r="I1386" s="746">
        <v>1560</v>
      </c>
      <c r="J1386" s="735"/>
      <c r="K1386" s="746">
        <f t="shared" si="895"/>
        <v>2930.85</v>
      </c>
      <c r="L1386" s="746">
        <v>1000</v>
      </c>
      <c r="M1386" s="735"/>
      <c r="N1386" s="746">
        <f t="shared" si="896"/>
        <v>1000</v>
      </c>
      <c r="O1386" s="735">
        <f t="shared" si="897"/>
        <v>36170.199999999997</v>
      </c>
      <c r="P1386" s="735">
        <f t="shared" si="898"/>
        <v>1699999.4</v>
      </c>
      <c r="Q1386" s="711">
        <v>47</v>
      </c>
      <c r="R1386" s="746">
        <v>1370.85</v>
      </c>
      <c r="S1386" s="746"/>
      <c r="T1386" s="746"/>
      <c r="U1386" s="746"/>
      <c r="V1386" s="746"/>
      <c r="W1386" s="746"/>
      <c r="X1386" s="746">
        <v>1560</v>
      </c>
      <c r="Y1386" s="746"/>
      <c r="Z1386" s="746">
        <f t="shared" si="899"/>
        <v>2930.85</v>
      </c>
      <c r="AA1386" s="746">
        <v>1000</v>
      </c>
      <c r="AB1386" s="746"/>
      <c r="AC1386" s="746">
        <f t="shared" si="900"/>
        <v>1000</v>
      </c>
      <c r="AD1386" s="746">
        <f t="shared" si="901"/>
        <v>36170.199999999997</v>
      </c>
      <c r="AE1386" s="746">
        <f t="shared" si="902"/>
        <v>1699999.4</v>
      </c>
      <c r="AF1386" s="746">
        <f t="shared" si="903"/>
        <v>0</v>
      </c>
      <c r="AG1386" s="759">
        <f t="shared" si="903"/>
        <v>0</v>
      </c>
      <c r="AH1386" s="711"/>
      <c r="AI1386" s="735"/>
    </row>
    <row r="1387" spans="1:35" ht="24" x14ac:dyDescent="0.2">
      <c r="A1387" s="704" t="s">
        <v>873</v>
      </c>
      <c r="B1387" s="415">
        <v>2</v>
      </c>
      <c r="C1387" s="746">
        <v>1370.85</v>
      </c>
      <c r="D1387" s="746"/>
      <c r="E1387" s="735"/>
      <c r="F1387" s="735"/>
      <c r="G1387" s="735"/>
      <c r="H1387" s="735"/>
      <c r="I1387" s="746">
        <v>1560</v>
      </c>
      <c r="J1387" s="735"/>
      <c r="K1387" s="746">
        <f t="shared" si="895"/>
        <v>2930.85</v>
      </c>
      <c r="L1387" s="746">
        <v>1000</v>
      </c>
      <c r="M1387" s="735"/>
      <c r="N1387" s="746">
        <f t="shared" si="896"/>
        <v>1000</v>
      </c>
      <c r="O1387" s="735">
        <f t="shared" si="897"/>
        <v>36170.199999999997</v>
      </c>
      <c r="P1387" s="735">
        <f t="shared" si="898"/>
        <v>72340.399999999994</v>
      </c>
      <c r="Q1387" s="711">
        <v>2</v>
      </c>
      <c r="R1387" s="746">
        <v>1370.85</v>
      </c>
      <c r="S1387" s="746"/>
      <c r="T1387" s="746"/>
      <c r="U1387" s="746"/>
      <c r="V1387" s="746"/>
      <c r="W1387" s="746"/>
      <c r="X1387" s="746">
        <v>1560</v>
      </c>
      <c r="Y1387" s="746"/>
      <c r="Z1387" s="746">
        <f t="shared" si="899"/>
        <v>2930.85</v>
      </c>
      <c r="AA1387" s="746">
        <v>1000</v>
      </c>
      <c r="AB1387" s="746"/>
      <c r="AC1387" s="746">
        <f t="shared" si="900"/>
        <v>1000</v>
      </c>
      <c r="AD1387" s="746">
        <f t="shared" si="901"/>
        <v>36170.199999999997</v>
      </c>
      <c r="AE1387" s="746">
        <f t="shared" si="902"/>
        <v>72340.399999999994</v>
      </c>
      <c r="AF1387" s="746">
        <f t="shared" si="903"/>
        <v>0</v>
      </c>
      <c r="AG1387" s="759">
        <f t="shared" si="903"/>
        <v>0</v>
      </c>
      <c r="AH1387" s="711"/>
      <c r="AI1387" s="735"/>
    </row>
    <row r="1388" spans="1:35" ht="24" x14ac:dyDescent="0.2">
      <c r="A1388" s="704" t="s">
        <v>874</v>
      </c>
      <c r="B1388" s="415">
        <v>4</v>
      </c>
      <c r="C1388" s="746">
        <v>1370.85</v>
      </c>
      <c r="D1388" s="746"/>
      <c r="E1388" s="735"/>
      <c r="F1388" s="735"/>
      <c r="G1388" s="735"/>
      <c r="H1388" s="735"/>
      <c r="I1388" s="746">
        <v>1560</v>
      </c>
      <c r="J1388" s="735"/>
      <c r="K1388" s="746">
        <f t="shared" si="895"/>
        <v>2930.85</v>
      </c>
      <c r="L1388" s="746">
        <v>1000</v>
      </c>
      <c r="M1388" s="735"/>
      <c r="N1388" s="746">
        <f t="shared" si="896"/>
        <v>1000</v>
      </c>
      <c r="O1388" s="735">
        <f t="shared" si="897"/>
        <v>36170.199999999997</v>
      </c>
      <c r="P1388" s="735">
        <f t="shared" si="898"/>
        <v>144680.79999999999</v>
      </c>
      <c r="Q1388" s="711">
        <v>4</v>
      </c>
      <c r="R1388" s="746">
        <v>1370.85</v>
      </c>
      <c r="S1388" s="746"/>
      <c r="T1388" s="746"/>
      <c r="U1388" s="746"/>
      <c r="V1388" s="746"/>
      <c r="W1388" s="746"/>
      <c r="X1388" s="746">
        <v>1560</v>
      </c>
      <c r="Y1388" s="746"/>
      <c r="Z1388" s="746">
        <f t="shared" si="899"/>
        <v>2930.85</v>
      </c>
      <c r="AA1388" s="746">
        <v>1000</v>
      </c>
      <c r="AB1388" s="746"/>
      <c r="AC1388" s="746">
        <f t="shared" si="900"/>
        <v>1000</v>
      </c>
      <c r="AD1388" s="746">
        <f t="shared" si="901"/>
        <v>36170.199999999997</v>
      </c>
      <c r="AE1388" s="746">
        <f t="shared" si="902"/>
        <v>144680.79999999999</v>
      </c>
      <c r="AF1388" s="746">
        <f t="shared" si="903"/>
        <v>0</v>
      </c>
      <c r="AG1388" s="759">
        <f t="shared" si="903"/>
        <v>0</v>
      </c>
      <c r="AH1388" s="711"/>
      <c r="AI1388" s="735"/>
    </row>
    <row r="1389" spans="1:35" ht="24" x14ac:dyDescent="0.2">
      <c r="A1389" s="704" t="s">
        <v>875</v>
      </c>
      <c r="B1389" s="415">
        <v>1</v>
      </c>
      <c r="C1389" s="746">
        <v>1370.85</v>
      </c>
      <c r="D1389" s="746"/>
      <c r="E1389" s="735"/>
      <c r="F1389" s="735"/>
      <c r="G1389" s="735"/>
      <c r="H1389" s="735"/>
      <c r="I1389" s="746">
        <v>1560</v>
      </c>
      <c r="J1389" s="735"/>
      <c r="K1389" s="746">
        <f t="shared" si="895"/>
        <v>2930.85</v>
      </c>
      <c r="L1389" s="746">
        <v>1000</v>
      </c>
      <c r="M1389" s="735"/>
      <c r="N1389" s="746">
        <f t="shared" si="896"/>
        <v>1000</v>
      </c>
      <c r="O1389" s="735">
        <f t="shared" si="897"/>
        <v>36170.199999999997</v>
      </c>
      <c r="P1389" s="735">
        <f t="shared" si="898"/>
        <v>36170.199999999997</v>
      </c>
      <c r="Q1389" s="711">
        <v>1</v>
      </c>
      <c r="R1389" s="746">
        <v>1370.85</v>
      </c>
      <c r="S1389" s="746"/>
      <c r="T1389" s="746"/>
      <c r="U1389" s="746"/>
      <c r="V1389" s="746"/>
      <c r="W1389" s="746"/>
      <c r="X1389" s="746">
        <v>1560</v>
      </c>
      <c r="Y1389" s="746"/>
      <c r="Z1389" s="746">
        <f t="shared" si="899"/>
        <v>2930.85</v>
      </c>
      <c r="AA1389" s="746">
        <v>1000</v>
      </c>
      <c r="AB1389" s="746"/>
      <c r="AC1389" s="746">
        <f t="shared" si="900"/>
        <v>1000</v>
      </c>
      <c r="AD1389" s="746">
        <f t="shared" si="901"/>
        <v>36170.199999999997</v>
      </c>
      <c r="AE1389" s="746">
        <f t="shared" si="902"/>
        <v>36170.199999999997</v>
      </c>
      <c r="AF1389" s="746">
        <f t="shared" si="903"/>
        <v>0</v>
      </c>
      <c r="AG1389" s="759">
        <f t="shared" si="903"/>
        <v>0</v>
      </c>
      <c r="AH1389" s="711"/>
      <c r="AI1389" s="735"/>
    </row>
    <row r="1390" spans="1:35" ht="24" x14ac:dyDescent="0.2">
      <c r="A1390" s="704" t="s">
        <v>876</v>
      </c>
      <c r="B1390" s="415">
        <v>1</v>
      </c>
      <c r="C1390" s="746">
        <v>1370.85</v>
      </c>
      <c r="D1390" s="746"/>
      <c r="E1390" s="735"/>
      <c r="F1390" s="735"/>
      <c r="G1390" s="735"/>
      <c r="H1390" s="735"/>
      <c r="I1390" s="746">
        <v>1560</v>
      </c>
      <c r="J1390" s="735"/>
      <c r="K1390" s="746">
        <f t="shared" si="895"/>
        <v>2930.85</v>
      </c>
      <c r="L1390" s="746">
        <v>1000</v>
      </c>
      <c r="M1390" s="735"/>
      <c r="N1390" s="746">
        <f t="shared" si="896"/>
        <v>1000</v>
      </c>
      <c r="O1390" s="735">
        <f t="shared" si="897"/>
        <v>36170.199999999997</v>
      </c>
      <c r="P1390" s="735">
        <f t="shared" si="898"/>
        <v>36170.199999999997</v>
      </c>
      <c r="Q1390" s="711">
        <v>1</v>
      </c>
      <c r="R1390" s="746">
        <v>1370.85</v>
      </c>
      <c r="S1390" s="746"/>
      <c r="T1390" s="746"/>
      <c r="U1390" s="746"/>
      <c r="V1390" s="746"/>
      <c r="W1390" s="746"/>
      <c r="X1390" s="746">
        <v>1560</v>
      </c>
      <c r="Y1390" s="746"/>
      <c r="Z1390" s="746">
        <f t="shared" si="899"/>
        <v>2930.85</v>
      </c>
      <c r="AA1390" s="746">
        <v>1000</v>
      </c>
      <c r="AB1390" s="746"/>
      <c r="AC1390" s="746">
        <f t="shared" si="900"/>
        <v>1000</v>
      </c>
      <c r="AD1390" s="746">
        <f t="shared" si="901"/>
        <v>36170.199999999997</v>
      </c>
      <c r="AE1390" s="746">
        <f t="shared" si="902"/>
        <v>36170.199999999997</v>
      </c>
      <c r="AF1390" s="746">
        <f t="shared" si="903"/>
        <v>0</v>
      </c>
      <c r="AG1390" s="759">
        <f t="shared" si="903"/>
        <v>0</v>
      </c>
      <c r="AH1390" s="711"/>
      <c r="AI1390" s="735"/>
    </row>
    <row r="1391" spans="1:35" ht="24" x14ac:dyDescent="0.2">
      <c r="A1391" s="704" t="s">
        <v>877</v>
      </c>
      <c r="B1391" s="415">
        <v>3</v>
      </c>
      <c r="C1391" s="746">
        <v>1359.15</v>
      </c>
      <c r="D1391" s="746"/>
      <c r="E1391" s="735"/>
      <c r="F1391" s="735"/>
      <c r="G1391" s="735"/>
      <c r="H1391" s="735"/>
      <c r="I1391" s="746">
        <v>1560</v>
      </c>
      <c r="J1391" s="735"/>
      <c r="K1391" s="746">
        <f t="shared" si="895"/>
        <v>2919.15</v>
      </c>
      <c r="L1391" s="746">
        <v>1000</v>
      </c>
      <c r="M1391" s="735"/>
      <c r="N1391" s="746">
        <f t="shared" si="896"/>
        <v>1000</v>
      </c>
      <c r="O1391" s="735">
        <f t="shared" si="897"/>
        <v>36029.800000000003</v>
      </c>
      <c r="P1391" s="735">
        <f t="shared" si="898"/>
        <v>108089.40000000001</v>
      </c>
      <c r="Q1391" s="711">
        <v>3</v>
      </c>
      <c r="R1391" s="746">
        <v>1359.15</v>
      </c>
      <c r="S1391" s="746"/>
      <c r="T1391" s="746"/>
      <c r="U1391" s="746"/>
      <c r="V1391" s="746"/>
      <c r="W1391" s="746"/>
      <c r="X1391" s="746">
        <v>1560</v>
      </c>
      <c r="Y1391" s="746"/>
      <c r="Z1391" s="746">
        <f t="shared" si="899"/>
        <v>2919.15</v>
      </c>
      <c r="AA1391" s="746">
        <v>1000</v>
      </c>
      <c r="AB1391" s="746"/>
      <c r="AC1391" s="746">
        <f t="shared" si="900"/>
        <v>1000</v>
      </c>
      <c r="AD1391" s="746">
        <f t="shared" si="901"/>
        <v>36029.800000000003</v>
      </c>
      <c r="AE1391" s="746">
        <f t="shared" si="902"/>
        <v>108089.40000000001</v>
      </c>
      <c r="AF1391" s="746">
        <f t="shared" si="903"/>
        <v>0</v>
      </c>
      <c r="AG1391" s="759">
        <f t="shared" si="903"/>
        <v>0</v>
      </c>
      <c r="AH1391" s="711"/>
      <c r="AI1391" s="735"/>
    </row>
    <row r="1392" spans="1:35" ht="24" x14ac:dyDescent="0.2">
      <c r="A1392" s="704" t="s">
        <v>878</v>
      </c>
      <c r="B1392" s="415">
        <v>6</v>
      </c>
      <c r="C1392" s="746">
        <v>1359.15</v>
      </c>
      <c r="D1392" s="746"/>
      <c r="E1392" s="735"/>
      <c r="F1392" s="735"/>
      <c r="G1392" s="735"/>
      <c r="H1392" s="735"/>
      <c r="I1392" s="746">
        <v>1400</v>
      </c>
      <c r="J1392" s="735"/>
      <c r="K1392" s="746">
        <f t="shared" si="895"/>
        <v>2759.15</v>
      </c>
      <c r="L1392" s="746">
        <v>1000</v>
      </c>
      <c r="M1392" s="735"/>
      <c r="N1392" s="746">
        <f t="shared" si="896"/>
        <v>1000</v>
      </c>
      <c r="O1392" s="735">
        <f t="shared" si="897"/>
        <v>34109.800000000003</v>
      </c>
      <c r="P1392" s="735">
        <f t="shared" si="898"/>
        <v>204658.80000000002</v>
      </c>
      <c r="Q1392" s="711">
        <v>6</v>
      </c>
      <c r="R1392" s="746">
        <v>1359.15</v>
      </c>
      <c r="S1392" s="746"/>
      <c r="T1392" s="746"/>
      <c r="U1392" s="746"/>
      <c r="V1392" s="746"/>
      <c r="W1392" s="746"/>
      <c r="X1392" s="746">
        <v>1400</v>
      </c>
      <c r="Y1392" s="746"/>
      <c r="Z1392" s="746">
        <f t="shared" si="899"/>
        <v>2759.15</v>
      </c>
      <c r="AA1392" s="746">
        <v>1000</v>
      </c>
      <c r="AB1392" s="746"/>
      <c r="AC1392" s="746">
        <f t="shared" si="900"/>
        <v>1000</v>
      </c>
      <c r="AD1392" s="746">
        <f t="shared" si="901"/>
        <v>34109.800000000003</v>
      </c>
      <c r="AE1392" s="746">
        <f t="shared" si="902"/>
        <v>204658.80000000002</v>
      </c>
      <c r="AF1392" s="746">
        <f t="shared" si="903"/>
        <v>0</v>
      </c>
      <c r="AG1392" s="759">
        <f t="shared" si="903"/>
        <v>0</v>
      </c>
      <c r="AH1392" s="711"/>
      <c r="AI1392" s="735"/>
    </row>
    <row r="1393" spans="1:35" ht="24" x14ac:dyDescent="0.2">
      <c r="A1393" s="704" t="s">
        <v>879</v>
      </c>
      <c r="B1393" s="415">
        <v>74</v>
      </c>
      <c r="C1393" s="837">
        <v>1344.2</v>
      </c>
      <c r="D1393" s="837"/>
      <c r="E1393" s="735"/>
      <c r="F1393" s="735"/>
      <c r="G1393" s="735"/>
      <c r="H1393" s="735"/>
      <c r="I1393" s="746">
        <v>1400</v>
      </c>
      <c r="J1393" s="735"/>
      <c r="K1393" s="837">
        <f t="shared" si="895"/>
        <v>2744.2</v>
      </c>
      <c r="L1393" s="837">
        <v>1000</v>
      </c>
      <c r="M1393" s="735"/>
      <c r="N1393" s="837">
        <f t="shared" si="896"/>
        <v>1000</v>
      </c>
      <c r="O1393" s="735">
        <f t="shared" si="897"/>
        <v>33930.399999999994</v>
      </c>
      <c r="P1393" s="735">
        <f t="shared" si="898"/>
        <v>2510849.5999999996</v>
      </c>
      <c r="Q1393" s="711">
        <v>77</v>
      </c>
      <c r="R1393" s="837">
        <v>1344.2</v>
      </c>
      <c r="S1393" s="837"/>
      <c r="T1393" s="837"/>
      <c r="U1393" s="837"/>
      <c r="V1393" s="837"/>
      <c r="W1393" s="837"/>
      <c r="X1393" s="837">
        <v>1400</v>
      </c>
      <c r="Y1393" s="837"/>
      <c r="Z1393" s="837">
        <f t="shared" si="899"/>
        <v>2744.2</v>
      </c>
      <c r="AA1393" s="837">
        <v>1000</v>
      </c>
      <c r="AB1393" s="837"/>
      <c r="AC1393" s="837">
        <f t="shared" si="900"/>
        <v>1000</v>
      </c>
      <c r="AD1393" s="837">
        <f t="shared" si="901"/>
        <v>33930.399999999994</v>
      </c>
      <c r="AE1393" s="837">
        <f t="shared" si="902"/>
        <v>2612640.7999999993</v>
      </c>
      <c r="AF1393" s="837">
        <f t="shared" si="903"/>
        <v>0</v>
      </c>
      <c r="AG1393" s="838">
        <f t="shared" si="903"/>
        <v>-101791.19999999972</v>
      </c>
      <c r="AH1393" s="711"/>
      <c r="AI1393" s="735"/>
    </row>
    <row r="1394" spans="1:35" ht="24" x14ac:dyDescent="0.2">
      <c r="A1394" s="704" t="s">
        <v>880</v>
      </c>
      <c r="B1394" s="415">
        <v>9</v>
      </c>
      <c r="C1394" s="746">
        <v>1344.2</v>
      </c>
      <c r="D1394" s="746"/>
      <c r="E1394" s="735"/>
      <c r="F1394" s="735"/>
      <c r="G1394" s="735"/>
      <c r="H1394" s="735"/>
      <c r="I1394" s="746">
        <v>1400</v>
      </c>
      <c r="J1394" s="735"/>
      <c r="K1394" s="746">
        <f t="shared" si="895"/>
        <v>2744.2</v>
      </c>
      <c r="L1394" s="746">
        <v>1000</v>
      </c>
      <c r="M1394" s="735"/>
      <c r="N1394" s="746">
        <f t="shared" si="896"/>
        <v>1000</v>
      </c>
      <c r="O1394" s="735">
        <f t="shared" si="897"/>
        <v>33930.399999999994</v>
      </c>
      <c r="P1394" s="735">
        <f t="shared" si="898"/>
        <v>305373.59999999998</v>
      </c>
      <c r="Q1394" s="711">
        <v>9</v>
      </c>
      <c r="R1394" s="746">
        <v>1344.2</v>
      </c>
      <c r="S1394" s="746"/>
      <c r="T1394" s="746"/>
      <c r="U1394" s="746"/>
      <c r="V1394" s="746"/>
      <c r="W1394" s="746"/>
      <c r="X1394" s="746">
        <v>1400</v>
      </c>
      <c r="Y1394" s="746"/>
      <c r="Z1394" s="746">
        <f t="shared" si="899"/>
        <v>2744.2</v>
      </c>
      <c r="AA1394" s="746">
        <v>1000</v>
      </c>
      <c r="AB1394" s="746"/>
      <c r="AC1394" s="746">
        <f t="shared" si="900"/>
        <v>1000</v>
      </c>
      <c r="AD1394" s="746">
        <f t="shared" si="901"/>
        <v>33930.399999999994</v>
      </c>
      <c r="AE1394" s="746">
        <f t="shared" si="902"/>
        <v>305373.59999999998</v>
      </c>
      <c r="AF1394" s="746">
        <f t="shared" si="903"/>
        <v>0</v>
      </c>
      <c r="AG1394" s="759">
        <f t="shared" si="903"/>
        <v>0</v>
      </c>
      <c r="AH1394" s="711"/>
      <c r="AI1394" s="735"/>
    </row>
    <row r="1395" spans="1:35" x14ac:dyDescent="0.2">
      <c r="A1395" s="704" t="s">
        <v>881</v>
      </c>
      <c r="B1395" s="415">
        <v>5</v>
      </c>
      <c r="C1395" s="746">
        <v>1344.2</v>
      </c>
      <c r="D1395" s="746"/>
      <c r="E1395" s="735"/>
      <c r="F1395" s="735"/>
      <c r="G1395" s="735"/>
      <c r="H1395" s="735"/>
      <c r="I1395" s="746">
        <v>1350</v>
      </c>
      <c r="J1395" s="735"/>
      <c r="K1395" s="746">
        <f t="shared" si="895"/>
        <v>2694.2</v>
      </c>
      <c r="L1395" s="746">
        <v>1000</v>
      </c>
      <c r="M1395" s="735"/>
      <c r="N1395" s="746">
        <f t="shared" si="896"/>
        <v>1000</v>
      </c>
      <c r="O1395" s="735">
        <f t="shared" si="897"/>
        <v>33330.399999999994</v>
      </c>
      <c r="P1395" s="735">
        <f t="shared" si="898"/>
        <v>166651.99999999997</v>
      </c>
      <c r="Q1395" s="711">
        <v>5</v>
      </c>
      <c r="R1395" s="746">
        <v>1344.2</v>
      </c>
      <c r="S1395" s="746"/>
      <c r="T1395" s="746"/>
      <c r="U1395" s="746"/>
      <c r="V1395" s="746"/>
      <c r="W1395" s="746"/>
      <c r="X1395" s="746">
        <v>1350</v>
      </c>
      <c r="Y1395" s="746"/>
      <c r="Z1395" s="746">
        <f t="shared" si="899"/>
        <v>2694.2</v>
      </c>
      <c r="AA1395" s="746">
        <v>1000</v>
      </c>
      <c r="AB1395" s="746"/>
      <c r="AC1395" s="746">
        <f t="shared" si="900"/>
        <v>1000</v>
      </c>
      <c r="AD1395" s="746">
        <f t="shared" si="901"/>
        <v>33330.399999999994</v>
      </c>
      <c r="AE1395" s="746">
        <f t="shared" si="902"/>
        <v>166651.99999999997</v>
      </c>
      <c r="AF1395" s="746">
        <f t="shared" si="903"/>
        <v>0</v>
      </c>
      <c r="AG1395" s="759">
        <f t="shared" si="903"/>
        <v>0</v>
      </c>
      <c r="AH1395" s="711"/>
      <c r="AI1395" s="735"/>
    </row>
    <row r="1396" spans="1:35" ht="24" x14ac:dyDescent="0.2">
      <c r="A1396" s="704" t="s">
        <v>882</v>
      </c>
      <c r="B1396" s="415">
        <v>3</v>
      </c>
      <c r="C1396" s="746">
        <v>1344.2</v>
      </c>
      <c r="D1396" s="746"/>
      <c r="E1396" s="735"/>
      <c r="F1396" s="735"/>
      <c r="G1396" s="735"/>
      <c r="H1396" s="735"/>
      <c r="I1396" s="746">
        <v>1350</v>
      </c>
      <c r="J1396" s="735"/>
      <c r="K1396" s="746">
        <f t="shared" si="895"/>
        <v>2694.2</v>
      </c>
      <c r="L1396" s="746">
        <v>1000</v>
      </c>
      <c r="M1396" s="735"/>
      <c r="N1396" s="746">
        <f t="shared" si="896"/>
        <v>1000</v>
      </c>
      <c r="O1396" s="735">
        <f t="shared" si="897"/>
        <v>33330.399999999994</v>
      </c>
      <c r="P1396" s="735">
        <f t="shared" si="898"/>
        <v>99991.199999999983</v>
      </c>
      <c r="Q1396" s="711">
        <v>3</v>
      </c>
      <c r="R1396" s="746">
        <v>1344.2</v>
      </c>
      <c r="S1396" s="746"/>
      <c r="T1396" s="746"/>
      <c r="U1396" s="746"/>
      <c r="V1396" s="746"/>
      <c r="W1396" s="746"/>
      <c r="X1396" s="746">
        <v>1350</v>
      </c>
      <c r="Y1396" s="746"/>
      <c r="Z1396" s="746">
        <f t="shared" si="899"/>
        <v>2694.2</v>
      </c>
      <c r="AA1396" s="746">
        <v>1000</v>
      </c>
      <c r="AB1396" s="746"/>
      <c r="AC1396" s="746">
        <f t="shared" si="900"/>
        <v>1000</v>
      </c>
      <c r="AD1396" s="746">
        <f t="shared" si="901"/>
        <v>33330.399999999994</v>
      </c>
      <c r="AE1396" s="746">
        <f t="shared" si="902"/>
        <v>99991.199999999983</v>
      </c>
      <c r="AF1396" s="746">
        <f t="shared" si="903"/>
        <v>0</v>
      </c>
      <c r="AG1396" s="759">
        <f t="shared" si="903"/>
        <v>0</v>
      </c>
      <c r="AH1396" s="711"/>
      <c r="AI1396" s="735"/>
    </row>
    <row r="1397" spans="1:35" ht="24" x14ac:dyDescent="0.2">
      <c r="A1397" s="704" t="s">
        <v>883</v>
      </c>
      <c r="B1397" s="415">
        <v>4</v>
      </c>
      <c r="C1397" s="746">
        <v>1344.2</v>
      </c>
      <c r="D1397" s="746"/>
      <c r="E1397" s="735"/>
      <c r="F1397" s="735"/>
      <c r="G1397" s="735"/>
      <c r="H1397" s="735"/>
      <c r="I1397" s="746">
        <v>1350</v>
      </c>
      <c r="J1397" s="735"/>
      <c r="K1397" s="746">
        <f t="shared" si="895"/>
        <v>2694.2</v>
      </c>
      <c r="L1397" s="746">
        <v>1000</v>
      </c>
      <c r="M1397" s="735"/>
      <c r="N1397" s="746">
        <f t="shared" si="896"/>
        <v>1000</v>
      </c>
      <c r="O1397" s="735">
        <f t="shared" si="897"/>
        <v>33330.399999999994</v>
      </c>
      <c r="P1397" s="735">
        <f t="shared" si="898"/>
        <v>133321.59999999998</v>
      </c>
      <c r="Q1397" s="711">
        <v>4</v>
      </c>
      <c r="R1397" s="746">
        <v>1344.2</v>
      </c>
      <c r="S1397" s="746"/>
      <c r="T1397" s="746"/>
      <c r="U1397" s="746"/>
      <c r="V1397" s="746"/>
      <c r="W1397" s="746"/>
      <c r="X1397" s="746">
        <v>1350</v>
      </c>
      <c r="Y1397" s="746"/>
      <c r="Z1397" s="746">
        <f t="shared" si="899"/>
        <v>2694.2</v>
      </c>
      <c r="AA1397" s="746">
        <v>1000</v>
      </c>
      <c r="AB1397" s="746"/>
      <c r="AC1397" s="746">
        <f t="shared" si="900"/>
        <v>1000</v>
      </c>
      <c r="AD1397" s="746">
        <f t="shared" si="901"/>
        <v>33330.399999999994</v>
      </c>
      <c r="AE1397" s="746">
        <f t="shared" si="902"/>
        <v>133321.59999999998</v>
      </c>
      <c r="AF1397" s="746">
        <f t="shared" si="903"/>
        <v>0</v>
      </c>
      <c r="AG1397" s="759">
        <f t="shared" si="903"/>
        <v>0</v>
      </c>
      <c r="AH1397" s="711"/>
      <c r="AI1397" s="735"/>
    </row>
    <row r="1398" spans="1:35" x14ac:dyDescent="0.2">
      <c r="A1398" s="704" t="s">
        <v>884</v>
      </c>
      <c r="B1398" s="415">
        <v>12</v>
      </c>
      <c r="C1398" s="746">
        <v>1355.9</v>
      </c>
      <c r="D1398" s="746"/>
      <c r="E1398" s="735"/>
      <c r="F1398" s="735"/>
      <c r="G1398" s="735"/>
      <c r="H1398" s="735"/>
      <c r="I1398" s="746">
        <v>1250</v>
      </c>
      <c r="J1398" s="735"/>
      <c r="K1398" s="746">
        <f t="shared" si="895"/>
        <v>2605.9</v>
      </c>
      <c r="L1398" s="746">
        <v>1000</v>
      </c>
      <c r="M1398" s="735"/>
      <c r="N1398" s="746">
        <f t="shared" si="896"/>
        <v>1000</v>
      </c>
      <c r="O1398" s="735">
        <f t="shared" si="897"/>
        <v>32270.800000000003</v>
      </c>
      <c r="P1398" s="735">
        <f t="shared" si="898"/>
        <v>387249.60000000003</v>
      </c>
      <c r="Q1398" s="711">
        <v>12</v>
      </c>
      <c r="R1398" s="746">
        <v>1355.9</v>
      </c>
      <c r="S1398" s="746"/>
      <c r="T1398" s="746"/>
      <c r="U1398" s="746"/>
      <c r="V1398" s="746"/>
      <c r="W1398" s="746"/>
      <c r="X1398" s="746">
        <v>1250</v>
      </c>
      <c r="Y1398" s="746"/>
      <c r="Z1398" s="746">
        <f t="shared" si="899"/>
        <v>2605.9</v>
      </c>
      <c r="AA1398" s="746">
        <v>1000</v>
      </c>
      <c r="AB1398" s="746"/>
      <c r="AC1398" s="746">
        <f t="shared" si="900"/>
        <v>1000</v>
      </c>
      <c r="AD1398" s="746">
        <f t="shared" si="901"/>
        <v>32270.800000000003</v>
      </c>
      <c r="AE1398" s="746">
        <f t="shared" si="902"/>
        <v>387249.60000000003</v>
      </c>
      <c r="AF1398" s="746">
        <f t="shared" si="903"/>
        <v>0</v>
      </c>
      <c r="AG1398" s="759">
        <f t="shared" si="903"/>
        <v>0</v>
      </c>
      <c r="AH1398" s="711"/>
      <c r="AI1398" s="735"/>
    </row>
    <row r="1399" spans="1:35" x14ac:dyDescent="0.2">
      <c r="A1399" s="704" t="s">
        <v>885</v>
      </c>
      <c r="B1399" s="415">
        <v>4</v>
      </c>
      <c r="C1399" s="746">
        <v>1350.05</v>
      </c>
      <c r="D1399" s="746"/>
      <c r="E1399" s="735"/>
      <c r="F1399" s="735"/>
      <c r="G1399" s="735"/>
      <c r="H1399" s="735"/>
      <c r="I1399" s="746">
        <v>1570</v>
      </c>
      <c r="J1399" s="735"/>
      <c r="K1399" s="746">
        <f t="shared" si="895"/>
        <v>2920.05</v>
      </c>
      <c r="L1399" s="746">
        <v>1000</v>
      </c>
      <c r="M1399" s="735"/>
      <c r="N1399" s="746">
        <f t="shared" si="896"/>
        <v>1000</v>
      </c>
      <c r="O1399" s="735">
        <f t="shared" si="897"/>
        <v>36040.600000000006</v>
      </c>
      <c r="P1399" s="735">
        <f t="shared" si="898"/>
        <v>144162.40000000002</v>
      </c>
      <c r="Q1399" s="711">
        <v>4</v>
      </c>
      <c r="R1399" s="746">
        <v>1350.05</v>
      </c>
      <c r="S1399" s="746"/>
      <c r="T1399" s="746"/>
      <c r="U1399" s="746"/>
      <c r="V1399" s="746"/>
      <c r="W1399" s="746"/>
      <c r="X1399" s="746">
        <v>1570</v>
      </c>
      <c r="Y1399" s="746"/>
      <c r="Z1399" s="746">
        <f t="shared" si="899"/>
        <v>2920.05</v>
      </c>
      <c r="AA1399" s="746">
        <v>1000</v>
      </c>
      <c r="AB1399" s="746"/>
      <c r="AC1399" s="746">
        <f t="shared" si="900"/>
        <v>1000</v>
      </c>
      <c r="AD1399" s="746">
        <f t="shared" si="901"/>
        <v>36040.600000000006</v>
      </c>
      <c r="AE1399" s="746">
        <f t="shared" si="902"/>
        <v>144162.40000000002</v>
      </c>
      <c r="AF1399" s="746">
        <f t="shared" si="903"/>
        <v>0</v>
      </c>
      <c r="AG1399" s="759">
        <f t="shared" si="903"/>
        <v>0</v>
      </c>
      <c r="AH1399" s="711"/>
      <c r="AI1399" s="735"/>
    </row>
    <row r="1400" spans="1:35" x14ac:dyDescent="0.2">
      <c r="A1400" s="704" t="s">
        <v>886</v>
      </c>
      <c r="B1400" s="415">
        <v>8</v>
      </c>
      <c r="C1400" s="746">
        <v>1344.2</v>
      </c>
      <c r="D1400" s="746"/>
      <c r="E1400" s="735"/>
      <c r="F1400" s="735"/>
      <c r="G1400" s="735"/>
      <c r="H1400" s="735"/>
      <c r="I1400" s="746">
        <v>1553</v>
      </c>
      <c r="J1400" s="735"/>
      <c r="K1400" s="746">
        <f t="shared" si="895"/>
        <v>2897.2</v>
      </c>
      <c r="L1400" s="746">
        <v>1000</v>
      </c>
      <c r="M1400" s="735"/>
      <c r="N1400" s="746">
        <f t="shared" si="896"/>
        <v>1000</v>
      </c>
      <c r="O1400" s="735">
        <f t="shared" si="897"/>
        <v>35766.399999999994</v>
      </c>
      <c r="P1400" s="735">
        <f t="shared" si="898"/>
        <v>286131.19999999995</v>
      </c>
      <c r="Q1400" s="711">
        <v>8</v>
      </c>
      <c r="R1400" s="746">
        <v>1344.2</v>
      </c>
      <c r="S1400" s="746"/>
      <c r="T1400" s="746"/>
      <c r="U1400" s="746"/>
      <c r="V1400" s="746"/>
      <c r="W1400" s="746"/>
      <c r="X1400" s="746">
        <v>1553</v>
      </c>
      <c r="Y1400" s="746"/>
      <c r="Z1400" s="746">
        <f t="shared" si="899"/>
        <v>2897.2</v>
      </c>
      <c r="AA1400" s="746">
        <v>1000</v>
      </c>
      <c r="AB1400" s="746"/>
      <c r="AC1400" s="746">
        <f t="shared" si="900"/>
        <v>1000</v>
      </c>
      <c r="AD1400" s="746">
        <f t="shared" si="901"/>
        <v>35766.399999999994</v>
      </c>
      <c r="AE1400" s="746">
        <f t="shared" si="902"/>
        <v>286131.19999999995</v>
      </c>
      <c r="AF1400" s="746">
        <f t="shared" si="903"/>
        <v>0</v>
      </c>
      <c r="AG1400" s="759">
        <f t="shared" si="903"/>
        <v>0</v>
      </c>
      <c r="AH1400" s="711"/>
      <c r="AI1400" s="735"/>
    </row>
    <row r="1401" spans="1:35" x14ac:dyDescent="0.2">
      <c r="A1401" s="704" t="s">
        <v>887</v>
      </c>
      <c r="B1401" s="415">
        <v>8</v>
      </c>
      <c r="C1401" s="746">
        <v>1326.65</v>
      </c>
      <c r="D1401" s="746"/>
      <c r="E1401" s="735"/>
      <c r="F1401" s="735"/>
      <c r="G1401" s="735"/>
      <c r="H1401" s="735"/>
      <c r="I1401" s="746">
        <v>1689</v>
      </c>
      <c r="J1401" s="735"/>
      <c r="K1401" s="746">
        <f t="shared" si="895"/>
        <v>3015.65</v>
      </c>
      <c r="L1401" s="746">
        <v>1000</v>
      </c>
      <c r="M1401" s="735"/>
      <c r="N1401" s="746">
        <f t="shared" si="896"/>
        <v>1000</v>
      </c>
      <c r="O1401" s="735">
        <f t="shared" si="897"/>
        <v>37187.800000000003</v>
      </c>
      <c r="P1401" s="735">
        <f t="shared" si="898"/>
        <v>297502.40000000002</v>
      </c>
      <c r="Q1401" s="711">
        <v>9</v>
      </c>
      <c r="R1401" s="746">
        <v>1326.65</v>
      </c>
      <c r="S1401" s="746"/>
      <c r="T1401" s="746"/>
      <c r="U1401" s="746"/>
      <c r="V1401" s="746"/>
      <c r="W1401" s="746"/>
      <c r="X1401" s="746">
        <v>1689</v>
      </c>
      <c r="Y1401" s="746"/>
      <c r="Z1401" s="746">
        <f t="shared" si="899"/>
        <v>3015.65</v>
      </c>
      <c r="AA1401" s="746">
        <v>1000</v>
      </c>
      <c r="AB1401" s="746"/>
      <c r="AC1401" s="746">
        <f t="shared" si="900"/>
        <v>1000</v>
      </c>
      <c r="AD1401" s="746">
        <f t="shared" si="901"/>
        <v>37187.800000000003</v>
      </c>
      <c r="AE1401" s="746">
        <f t="shared" si="902"/>
        <v>334690.2</v>
      </c>
      <c r="AF1401" s="746">
        <f t="shared" si="903"/>
        <v>0</v>
      </c>
      <c r="AG1401" s="759">
        <f t="shared" si="903"/>
        <v>-37187.799999999988</v>
      </c>
      <c r="AH1401" s="711"/>
      <c r="AI1401" s="735"/>
    </row>
    <row r="1402" spans="1:35" ht="24" x14ac:dyDescent="0.2">
      <c r="A1402" s="704" t="s">
        <v>888</v>
      </c>
      <c r="B1402" s="415">
        <v>1</v>
      </c>
      <c r="C1402" s="746">
        <v>1344.2</v>
      </c>
      <c r="D1402" s="746"/>
      <c r="E1402" s="735"/>
      <c r="F1402" s="735"/>
      <c r="G1402" s="735"/>
      <c r="H1402" s="735"/>
      <c r="I1402" s="746">
        <v>1553</v>
      </c>
      <c r="J1402" s="735"/>
      <c r="K1402" s="746">
        <f t="shared" si="895"/>
        <v>2897.2</v>
      </c>
      <c r="L1402" s="746">
        <v>1000</v>
      </c>
      <c r="M1402" s="735"/>
      <c r="N1402" s="746">
        <f t="shared" si="896"/>
        <v>1000</v>
      </c>
      <c r="O1402" s="735">
        <f t="shared" si="897"/>
        <v>35766.399999999994</v>
      </c>
      <c r="P1402" s="735">
        <f t="shared" si="898"/>
        <v>35766.399999999994</v>
      </c>
      <c r="Q1402" s="711">
        <v>1</v>
      </c>
      <c r="R1402" s="746">
        <v>1344.2</v>
      </c>
      <c r="S1402" s="746"/>
      <c r="T1402" s="746"/>
      <c r="U1402" s="746"/>
      <c r="V1402" s="746"/>
      <c r="W1402" s="746"/>
      <c r="X1402" s="746">
        <v>1553</v>
      </c>
      <c r="Y1402" s="746"/>
      <c r="Z1402" s="746">
        <f t="shared" si="899"/>
        <v>2897.2</v>
      </c>
      <c r="AA1402" s="746">
        <v>1000</v>
      </c>
      <c r="AB1402" s="746"/>
      <c r="AC1402" s="746">
        <f t="shared" si="900"/>
        <v>1000</v>
      </c>
      <c r="AD1402" s="746">
        <f t="shared" si="901"/>
        <v>35766.399999999994</v>
      </c>
      <c r="AE1402" s="746">
        <f t="shared" si="902"/>
        <v>35766.399999999994</v>
      </c>
      <c r="AF1402" s="746">
        <f t="shared" si="903"/>
        <v>0</v>
      </c>
      <c r="AG1402" s="759">
        <f t="shared" si="903"/>
        <v>0</v>
      </c>
      <c r="AH1402" s="711"/>
      <c r="AI1402" s="735"/>
    </row>
    <row r="1403" spans="1:35" ht="24" x14ac:dyDescent="0.2">
      <c r="A1403" s="704" t="s">
        <v>889</v>
      </c>
      <c r="B1403" s="415">
        <v>1</v>
      </c>
      <c r="C1403" s="746">
        <v>1344.2</v>
      </c>
      <c r="D1403" s="746"/>
      <c r="E1403" s="735"/>
      <c r="F1403" s="735"/>
      <c r="G1403" s="735"/>
      <c r="H1403" s="735"/>
      <c r="I1403" s="746">
        <v>1553</v>
      </c>
      <c r="J1403" s="735"/>
      <c r="K1403" s="746">
        <f t="shared" si="895"/>
        <v>2897.2</v>
      </c>
      <c r="L1403" s="746">
        <v>1000</v>
      </c>
      <c r="M1403" s="735"/>
      <c r="N1403" s="746">
        <f t="shared" si="896"/>
        <v>1000</v>
      </c>
      <c r="O1403" s="735">
        <f t="shared" si="897"/>
        <v>35766.399999999994</v>
      </c>
      <c r="P1403" s="735">
        <f t="shared" si="898"/>
        <v>35766.399999999994</v>
      </c>
      <c r="Q1403" s="711">
        <v>1</v>
      </c>
      <c r="R1403" s="746">
        <v>1344.2</v>
      </c>
      <c r="S1403" s="746"/>
      <c r="T1403" s="746"/>
      <c r="U1403" s="746"/>
      <c r="V1403" s="746"/>
      <c r="W1403" s="746"/>
      <c r="X1403" s="746">
        <v>1553</v>
      </c>
      <c r="Y1403" s="746"/>
      <c r="Z1403" s="746">
        <f t="shared" si="899"/>
        <v>2897.2</v>
      </c>
      <c r="AA1403" s="746">
        <v>1000</v>
      </c>
      <c r="AB1403" s="746"/>
      <c r="AC1403" s="746">
        <f t="shared" si="900"/>
        <v>1000</v>
      </c>
      <c r="AD1403" s="746">
        <f t="shared" si="901"/>
        <v>35766.399999999994</v>
      </c>
      <c r="AE1403" s="746">
        <f t="shared" si="902"/>
        <v>35766.399999999994</v>
      </c>
      <c r="AF1403" s="746">
        <f t="shared" si="903"/>
        <v>0</v>
      </c>
      <c r="AG1403" s="759">
        <f t="shared" si="903"/>
        <v>0</v>
      </c>
      <c r="AH1403" s="711"/>
      <c r="AI1403" s="735"/>
    </row>
    <row r="1404" spans="1:35" ht="24" x14ac:dyDescent="0.2">
      <c r="A1404" s="704" t="s">
        <v>890</v>
      </c>
      <c r="B1404" s="415">
        <v>2</v>
      </c>
      <c r="C1404" s="746">
        <v>1548.95</v>
      </c>
      <c r="D1404" s="746"/>
      <c r="E1404" s="735"/>
      <c r="F1404" s="735"/>
      <c r="G1404" s="735"/>
      <c r="H1404" s="735"/>
      <c r="I1404" s="746">
        <v>1200</v>
      </c>
      <c r="J1404" s="735"/>
      <c r="K1404" s="746">
        <f t="shared" si="895"/>
        <v>2748.95</v>
      </c>
      <c r="L1404" s="746">
        <v>1000</v>
      </c>
      <c r="M1404" s="735"/>
      <c r="N1404" s="746">
        <f t="shared" si="896"/>
        <v>1000</v>
      </c>
      <c r="O1404" s="735">
        <f t="shared" si="897"/>
        <v>33987.399999999994</v>
      </c>
      <c r="P1404" s="735">
        <f t="shared" si="898"/>
        <v>67974.799999999988</v>
      </c>
      <c r="Q1404" s="711">
        <v>2</v>
      </c>
      <c r="R1404" s="746">
        <v>1548.95</v>
      </c>
      <c r="S1404" s="746"/>
      <c r="T1404" s="746"/>
      <c r="U1404" s="746"/>
      <c r="V1404" s="746"/>
      <c r="W1404" s="746"/>
      <c r="X1404" s="746">
        <v>1200</v>
      </c>
      <c r="Y1404" s="746"/>
      <c r="Z1404" s="746">
        <f t="shared" si="899"/>
        <v>2748.95</v>
      </c>
      <c r="AA1404" s="746">
        <v>1000</v>
      </c>
      <c r="AB1404" s="746"/>
      <c r="AC1404" s="746">
        <f t="shared" si="900"/>
        <v>1000</v>
      </c>
      <c r="AD1404" s="746">
        <f t="shared" si="901"/>
        <v>33987.399999999994</v>
      </c>
      <c r="AE1404" s="746">
        <f t="shared" si="902"/>
        <v>67974.799999999988</v>
      </c>
      <c r="AF1404" s="746">
        <f t="shared" si="903"/>
        <v>0</v>
      </c>
      <c r="AG1404" s="759">
        <f t="shared" si="903"/>
        <v>0</v>
      </c>
      <c r="AH1404" s="711"/>
      <c r="AI1404" s="735"/>
    </row>
    <row r="1405" spans="1:35" ht="24" x14ac:dyDescent="0.2">
      <c r="A1405" s="704" t="s">
        <v>891</v>
      </c>
      <c r="B1405" s="415">
        <v>1</v>
      </c>
      <c r="C1405" s="746">
        <v>1510.6</v>
      </c>
      <c r="D1405" s="746"/>
      <c r="E1405" s="735"/>
      <c r="F1405" s="735"/>
      <c r="G1405" s="735"/>
      <c r="H1405" s="735"/>
      <c r="I1405" s="746">
        <v>1155</v>
      </c>
      <c r="J1405" s="735"/>
      <c r="K1405" s="746">
        <f t="shared" si="895"/>
        <v>2665.6</v>
      </c>
      <c r="L1405" s="746">
        <v>1000</v>
      </c>
      <c r="M1405" s="735"/>
      <c r="N1405" s="746">
        <f t="shared" si="896"/>
        <v>1000</v>
      </c>
      <c r="O1405" s="735">
        <f t="shared" si="897"/>
        <v>32987.199999999997</v>
      </c>
      <c r="P1405" s="735">
        <f t="shared" si="898"/>
        <v>32987.199999999997</v>
      </c>
      <c r="Q1405" s="711">
        <v>1</v>
      </c>
      <c r="R1405" s="746">
        <v>1510.6</v>
      </c>
      <c r="S1405" s="746"/>
      <c r="T1405" s="746"/>
      <c r="U1405" s="746"/>
      <c r="V1405" s="746"/>
      <c r="W1405" s="746"/>
      <c r="X1405" s="746">
        <v>1155</v>
      </c>
      <c r="Y1405" s="746"/>
      <c r="Z1405" s="746">
        <f t="shared" si="899"/>
        <v>2665.6</v>
      </c>
      <c r="AA1405" s="746">
        <v>1000</v>
      </c>
      <c r="AB1405" s="746"/>
      <c r="AC1405" s="746">
        <f t="shared" si="900"/>
        <v>1000</v>
      </c>
      <c r="AD1405" s="746">
        <f t="shared" si="901"/>
        <v>32987.199999999997</v>
      </c>
      <c r="AE1405" s="746">
        <f t="shared" si="902"/>
        <v>32987.199999999997</v>
      </c>
      <c r="AF1405" s="746">
        <f t="shared" si="903"/>
        <v>0</v>
      </c>
      <c r="AG1405" s="759">
        <f t="shared" si="903"/>
        <v>0</v>
      </c>
      <c r="AH1405" s="711"/>
      <c r="AI1405" s="735"/>
    </row>
    <row r="1406" spans="1:35" x14ac:dyDescent="0.2">
      <c r="A1406" s="704"/>
      <c r="B1406" s="415"/>
      <c r="C1406" s="746"/>
      <c r="D1406" s="746"/>
      <c r="E1406" s="735"/>
      <c r="F1406" s="735"/>
      <c r="G1406" s="735"/>
      <c r="H1406" s="735"/>
      <c r="I1406" s="746"/>
      <c r="J1406" s="735"/>
      <c r="K1406" s="746"/>
      <c r="L1406" s="746"/>
      <c r="M1406" s="735"/>
      <c r="N1406" s="746"/>
      <c r="O1406" s="735"/>
      <c r="P1406" s="735"/>
      <c r="Q1406" s="711"/>
      <c r="R1406" s="746"/>
      <c r="S1406" s="746"/>
      <c r="T1406" s="746"/>
      <c r="U1406" s="746"/>
      <c r="V1406" s="746"/>
      <c r="W1406" s="746"/>
      <c r="X1406" s="746"/>
      <c r="Y1406" s="746"/>
      <c r="Z1406" s="746"/>
      <c r="AA1406" s="746"/>
      <c r="AB1406" s="746"/>
      <c r="AC1406" s="746"/>
      <c r="AD1406" s="746"/>
      <c r="AE1406" s="746"/>
      <c r="AF1406" s="746"/>
      <c r="AG1406" s="759"/>
      <c r="AH1406" s="711"/>
      <c r="AI1406" s="735"/>
    </row>
    <row r="1407" spans="1:35" ht="36" x14ac:dyDescent="0.2">
      <c r="A1407" s="705" t="s">
        <v>511</v>
      </c>
      <c r="B1407" s="835"/>
      <c r="C1407" s="839"/>
      <c r="D1407" s="839"/>
      <c r="E1407" s="744"/>
      <c r="F1407" s="744"/>
      <c r="G1407" s="744"/>
      <c r="H1407" s="744"/>
      <c r="I1407" s="839"/>
      <c r="J1407" s="744"/>
      <c r="K1407" s="746"/>
      <c r="L1407" s="746"/>
      <c r="M1407" s="744"/>
      <c r="N1407" s="746"/>
      <c r="O1407" s="735"/>
      <c r="P1407" s="735"/>
      <c r="Q1407" s="724"/>
      <c r="R1407" s="839"/>
      <c r="S1407" s="839"/>
      <c r="T1407" s="839"/>
      <c r="U1407" s="839"/>
      <c r="V1407" s="839"/>
      <c r="W1407" s="839"/>
      <c r="X1407" s="839"/>
      <c r="Y1407" s="839"/>
      <c r="Z1407" s="839"/>
      <c r="AA1407" s="839"/>
      <c r="AB1407" s="839"/>
      <c r="AC1407" s="839"/>
      <c r="AD1407" s="839"/>
      <c r="AE1407" s="839"/>
      <c r="AF1407" s="746"/>
      <c r="AG1407" s="759"/>
      <c r="AH1407" s="724"/>
      <c r="AI1407" s="744"/>
    </row>
    <row r="1408" spans="1:35" ht="24" x14ac:dyDescent="0.2">
      <c r="A1408" s="704" t="s">
        <v>892</v>
      </c>
      <c r="B1408" s="415">
        <v>1</v>
      </c>
      <c r="C1408" s="746">
        <v>2173.6</v>
      </c>
      <c r="D1408" s="746"/>
      <c r="E1408" s="735"/>
      <c r="F1408" s="735"/>
      <c r="G1408" s="735"/>
      <c r="H1408" s="735"/>
      <c r="I1408" s="746">
        <v>2279</v>
      </c>
      <c r="J1408" s="735"/>
      <c r="K1408" s="746">
        <f t="shared" si="895"/>
        <v>4452.6000000000004</v>
      </c>
      <c r="L1408" s="746">
        <v>1000</v>
      </c>
      <c r="M1408" s="735"/>
      <c r="N1408" s="746">
        <f t="shared" si="896"/>
        <v>1000</v>
      </c>
      <c r="O1408" s="735">
        <f t="shared" si="897"/>
        <v>54431.200000000004</v>
      </c>
      <c r="P1408" s="735">
        <f t="shared" si="898"/>
        <v>54431.200000000004</v>
      </c>
      <c r="Q1408" s="711">
        <v>1</v>
      </c>
      <c r="R1408" s="746">
        <v>2173.6</v>
      </c>
      <c r="S1408" s="746"/>
      <c r="T1408" s="746"/>
      <c r="U1408" s="746"/>
      <c r="V1408" s="746"/>
      <c r="W1408" s="746"/>
      <c r="X1408" s="746">
        <v>2279</v>
      </c>
      <c r="Y1408" s="746"/>
      <c r="Z1408" s="746">
        <f t="shared" si="899"/>
        <v>4452.6000000000004</v>
      </c>
      <c r="AA1408" s="746">
        <v>1000</v>
      </c>
      <c r="AB1408" s="746"/>
      <c r="AC1408" s="746">
        <f t="shared" si="900"/>
        <v>1000</v>
      </c>
      <c r="AD1408" s="746">
        <f t="shared" si="901"/>
        <v>54431.200000000004</v>
      </c>
      <c r="AE1408" s="746">
        <f t="shared" si="902"/>
        <v>54431.200000000004</v>
      </c>
      <c r="AF1408" s="746">
        <f t="shared" si="903"/>
        <v>0</v>
      </c>
      <c r="AG1408" s="759">
        <f t="shared" si="903"/>
        <v>0</v>
      </c>
      <c r="AH1408" s="711"/>
      <c r="AI1408" s="735"/>
    </row>
    <row r="1409" spans="1:35" ht="24" x14ac:dyDescent="0.2">
      <c r="A1409" s="704" t="s">
        <v>893</v>
      </c>
      <c r="B1409" s="415">
        <v>1</v>
      </c>
      <c r="C1409" s="746">
        <v>2379</v>
      </c>
      <c r="D1409" s="746"/>
      <c r="E1409" s="735"/>
      <c r="F1409" s="735"/>
      <c r="G1409" s="735"/>
      <c r="H1409" s="735"/>
      <c r="I1409" s="746">
        <v>2200</v>
      </c>
      <c r="J1409" s="735"/>
      <c r="K1409" s="746">
        <f t="shared" si="895"/>
        <v>4579</v>
      </c>
      <c r="L1409" s="746">
        <v>1000</v>
      </c>
      <c r="M1409" s="735"/>
      <c r="N1409" s="746">
        <f t="shared" si="896"/>
        <v>1000</v>
      </c>
      <c r="O1409" s="735">
        <f t="shared" si="897"/>
        <v>55948</v>
      </c>
      <c r="P1409" s="735">
        <f t="shared" si="898"/>
        <v>55948</v>
      </c>
      <c r="Q1409" s="711">
        <v>1</v>
      </c>
      <c r="R1409" s="746">
        <v>2379</v>
      </c>
      <c r="S1409" s="746"/>
      <c r="T1409" s="746"/>
      <c r="U1409" s="746"/>
      <c r="V1409" s="746"/>
      <c r="W1409" s="746"/>
      <c r="X1409" s="746">
        <v>2200</v>
      </c>
      <c r="Y1409" s="746"/>
      <c r="Z1409" s="746">
        <f t="shared" si="899"/>
        <v>4579</v>
      </c>
      <c r="AA1409" s="746">
        <v>1000</v>
      </c>
      <c r="AB1409" s="746"/>
      <c r="AC1409" s="746">
        <f t="shared" si="900"/>
        <v>1000</v>
      </c>
      <c r="AD1409" s="746">
        <f t="shared" si="901"/>
        <v>55948</v>
      </c>
      <c r="AE1409" s="746">
        <f t="shared" si="902"/>
        <v>55948</v>
      </c>
      <c r="AF1409" s="746">
        <f t="shared" si="903"/>
        <v>0</v>
      </c>
      <c r="AG1409" s="759">
        <f t="shared" si="903"/>
        <v>0</v>
      </c>
      <c r="AH1409" s="711"/>
      <c r="AI1409" s="735"/>
    </row>
    <row r="1410" spans="1:35" ht="24" x14ac:dyDescent="0.2">
      <c r="A1410" s="704" t="s">
        <v>894</v>
      </c>
      <c r="B1410" s="415">
        <v>1</v>
      </c>
      <c r="C1410" s="746">
        <v>2535</v>
      </c>
      <c r="D1410" s="746"/>
      <c r="E1410" s="735"/>
      <c r="F1410" s="735"/>
      <c r="G1410" s="735"/>
      <c r="H1410" s="735"/>
      <c r="I1410" s="746">
        <v>2400</v>
      </c>
      <c r="J1410" s="735"/>
      <c r="K1410" s="746">
        <f t="shared" si="895"/>
        <v>4935</v>
      </c>
      <c r="L1410" s="746">
        <v>1000</v>
      </c>
      <c r="M1410" s="735"/>
      <c r="N1410" s="746">
        <f t="shared" si="896"/>
        <v>1000</v>
      </c>
      <c r="O1410" s="735">
        <f t="shared" si="897"/>
        <v>60220</v>
      </c>
      <c r="P1410" s="735">
        <f t="shared" si="898"/>
        <v>60220</v>
      </c>
      <c r="Q1410" s="711">
        <v>1</v>
      </c>
      <c r="R1410" s="746">
        <v>2535</v>
      </c>
      <c r="S1410" s="746"/>
      <c r="T1410" s="746"/>
      <c r="U1410" s="746"/>
      <c r="V1410" s="746"/>
      <c r="W1410" s="746"/>
      <c r="X1410" s="746">
        <v>2400</v>
      </c>
      <c r="Y1410" s="746"/>
      <c r="Z1410" s="746">
        <f t="shared" si="899"/>
        <v>4935</v>
      </c>
      <c r="AA1410" s="746">
        <v>1000</v>
      </c>
      <c r="AB1410" s="746"/>
      <c r="AC1410" s="746">
        <f t="shared" si="900"/>
        <v>1000</v>
      </c>
      <c r="AD1410" s="746">
        <f t="shared" si="901"/>
        <v>60220</v>
      </c>
      <c r="AE1410" s="746">
        <f t="shared" si="902"/>
        <v>60220</v>
      </c>
      <c r="AF1410" s="746">
        <f t="shared" si="903"/>
        <v>0</v>
      </c>
      <c r="AG1410" s="759">
        <f t="shared" si="903"/>
        <v>0</v>
      </c>
      <c r="AH1410" s="711"/>
      <c r="AI1410" s="735"/>
    </row>
    <row r="1411" spans="1:35" ht="24" x14ac:dyDescent="0.2">
      <c r="A1411" s="704" t="s">
        <v>895</v>
      </c>
      <c r="B1411" s="415">
        <v>3</v>
      </c>
      <c r="C1411" s="746">
        <v>2702.7</v>
      </c>
      <c r="D1411" s="746"/>
      <c r="E1411" s="735"/>
      <c r="F1411" s="735"/>
      <c r="G1411" s="735"/>
      <c r="H1411" s="735"/>
      <c r="I1411" s="746">
        <v>2700</v>
      </c>
      <c r="J1411" s="735"/>
      <c r="K1411" s="746">
        <f t="shared" si="895"/>
        <v>5402.7</v>
      </c>
      <c r="L1411" s="746">
        <v>1000</v>
      </c>
      <c r="M1411" s="735"/>
      <c r="N1411" s="746">
        <f t="shared" si="896"/>
        <v>1000</v>
      </c>
      <c r="O1411" s="735">
        <f t="shared" si="897"/>
        <v>65832.399999999994</v>
      </c>
      <c r="P1411" s="735">
        <f t="shared" si="898"/>
        <v>197497.19999999998</v>
      </c>
      <c r="Q1411" s="711">
        <v>3</v>
      </c>
      <c r="R1411" s="746">
        <v>2702.7</v>
      </c>
      <c r="S1411" s="746"/>
      <c r="T1411" s="746"/>
      <c r="U1411" s="746"/>
      <c r="V1411" s="746"/>
      <c r="W1411" s="746"/>
      <c r="X1411" s="746">
        <v>2700</v>
      </c>
      <c r="Y1411" s="746"/>
      <c r="Z1411" s="746">
        <f t="shared" si="899"/>
        <v>5402.7</v>
      </c>
      <c r="AA1411" s="746">
        <v>1000</v>
      </c>
      <c r="AB1411" s="746"/>
      <c r="AC1411" s="746">
        <f t="shared" si="900"/>
        <v>1000</v>
      </c>
      <c r="AD1411" s="746">
        <f t="shared" si="901"/>
        <v>65832.399999999994</v>
      </c>
      <c r="AE1411" s="746">
        <f t="shared" si="902"/>
        <v>197497.19999999998</v>
      </c>
      <c r="AF1411" s="746">
        <f t="shared" si="903"/>
        <v>0</v>
      </c>
      <c r="AG1411" s="759">
        <f t="shared" si="903"/>
        <v>0</v>
      </c>
      <c r="AH1411" s="711"/>
      <c r="AI1411" s="735"/>
    </row>
    <row r="1412" spans="1:35" ht="24" x14ac:dyDescent="0.2">
      <c r="A1412" s="704" t="s">
        <v>896</v>
      </c>
      <c r="B1412" s="415">
        <v>2</v>
      </c>
      <c r="C1412" s="746">
        <v>2906.15</v>
      </c>
      <c r="D1412" s="746"/>
      <c r="E1412" s="735"/>
      <c r="F1412" s="735"/>
      <c r="G1412" s="735"/>
      <c r="H1412" s="735"/>
      <c r="I1412" s="746">
        <v>2800</v>
      </c>
      <c r="J1412" s="735"/>
      <c r="K1412" s="746">
        <f t="shared" si="895"/>
        <v>5706.15</v>
      </c>
      <c r="L1412" s="746">
        <v>1000</v>
      </c>
      <c r="M1412" s="735"/>
      <c r="N1412" s="746">
        <f t="shared" si="896"/>
        <v>1000</v>
      </c>
      <c r="O1412" s="735">
        <f t="shared" si="897"/>
        <v>69473.799999999988</v>
      </c>
      <c r="P1412" s="735">
        <f t="shared" si="898"/>
        <v>138947.59999999998</v>
      </c>
      <c r="Q1412" s="711">
        <v>2</v>
      </c>
      <c r="R1412" s="746">
        <v>2906.15</v>
      </c>
      <c r="S1412" s="746"/>
      <c r="T1412" s="746"/>
      <c r="U1412" s="746"/>
      <c r="V1412" s="746"/>
      <c r="W1412" s="746"/>
      <c r="X1412" s="746">
        <v>2800</v>
      </c>
      <c r="Y1412" s="746"/>
      <c r="Z1412" s="746">
        <f t="shared" si="899"/>
        <v>5706.15</v>
      </c>
      <c r="AA1412" s="746">
        <v>1000</v>
      </c>
      <c r="AB1412" s="746"/>
      <c r="AC1412" s="746">
        <f t="shared" si="900"/>
        <v>1000</v>
      </c>
      <c r="AD1412" s="746">
        <f t="shared" si="901"/>
        <v>69473.799999999988</v>
      </c>
      <c r="AE1412" s="746">
        <f t="shared" si="902"/>
        <v>138947.59999999998</v>
      </c>
      <c r="AF1412" s="746">
        <f t="shared" si="903"/>
        <v>0</v>
      </c>
      <c r="AG1412" s="759">
        <f t="shared" si="903"/>
        <v>0</v>
      </c>
      <c r="AH1412" s="711"/>
      <c r="AI1412" s="735"/>
    </row>
    <row r="1413" spans="1:35" x14ac:dyDescent="0.2">
      <c r="A1413" s="704" t="s">
        <v>897</v>
      </c>
      <c r="B1413" s="415">
        <v>61</v>
      </c>
      <c r="C1413" s="837">
        <v>2173.6</v>
      </c>
      <c r="D1413" s="837"/>
      <c r="E1413" s="735"/>
      <c r="F1413" s="735"/>
      <c r="G1413" s="735"/>
      <c r="H1413" s="735"/>
      <c r="I1413" s="837">
        <v>2800</v>
      </c>
      <c r="J1413" s="735"/>
      <c r="K1413" s="837">
        <f t="shared" si="895"/>
        <v>4973.6000000000004</v>
      </c>
      <c r="L1413" s="837">
        <v>1000</v>
      </c>
      <c r="M1413" s="735"/>
      <c r="N1413" s="837">
        <f t="shared" si="896"/>
        <v>1000</v>
      </c>
      <c r="O1413" s="735">
        <f t="shared" si="897"/>
        <v>60683.200000000004</v>
      </c>
      <c r="P1413" s="735">
        <f t="shared" si="898"/>
        <v>3701675.2</v>
      </c>
      <c r="Q1413" s="711">
        <v>61</v>
      </c>
      <c r="R1413" s="837">
        <v>2173.6</v>
      </c>
      <c r="S1413" s="837"/>
      <c r="T1413" s="837"/>
      <c r="U1413" s="837"/>
      <c r="V1413" s="837"/>
      <c r="W1413" s="837"/>
      <c r="X1413" s="837">
        <v>2800</v>
      </c>
      <c r="Y1413" s="837"/>
      <c r="Z1413" s="837">
        <f t="shared" si="899"/>
        <v>4973.6000000000004</v>
      </c>
      <c r="AA1413" s="837">
        <v>1000</v>
      </c>
      <c r="AB1413" s="837"/>
      <c r="AC1413" s="837">
        <f t="shared" si="900"/>
        <v>1000</v>
      </c>
      <c r="AD1413" s="837">
        <f t="shared" si="901"/>
        <v>60683.200000000004</v>
      </c>
      <c r="AE1413" s="837">
        <f t="shared" si="902"/>
        <v>3701675.2</v>
      </c>
      <c r="AF1413" s="837">
        <f t="shared" si="903"/>
        <v>0</v>
      </c>
      <c r="AG1413" s="838">
        <f t="shared" si="903"/>
        <v>0</v>
      </c>
      <c r="AH1413" s="711"/>
      <c r="AI1413" s="735"/>
    </row>
    <row r="1414" spans="1:35" x14ac:dyDescent="0.2">
      <c r="A1414" s="704" t="s">
        <v>898</v>
      </c>
      <c r="B1414" s="415">
        <v>2</v>
      </c>
      <c r="C1414" s="746">
        <v>2379</v>
      </c>
      <c r="D1414" s="746"/>
      <c r="E1414" s="735"/>
      <c r="F1414" s="735"/>
      <c r="G1414" s="735"/>
      <c r="H1414" s="735"/>
      <c r="I1414" s="746">
        <v>2200</v>
      </c>
      <c r="J1414" s="735"/>
      <c r="K1414" s="746">
        <f t="shared" si="895"/>
        <v>4579</v>
      </c>
      <c r="L1414" s="746">
        <v>1000</v>
      </c>
      <c r="M1414" s="735"/>
      <c r="N1414" s="746">
        <f t="shared" si="896"/>
        <v>1000</v>
      </c>
      <c r="O1414" s="735">
        <f t="shared" si="897"/>
        <v>55948</v>
      </c>
      <c r="P1414" s="735">
        <f t="shared" si="898"/>
        <v>111896</v>
      </c>
      <c r="Q1414" s="711">
        <v>2</v>
      </c>
      <c r="R1414" s="746">
        <v>2379</v>
      </c>
      <c r="S1414" s="746"/>
      <c r="T1414" s="746"/>
      <c r="U1414" s="746"/>
      <c r="V1414" s="746"/>
      <c r="W1414" s="746"/>
      <c r="X1414" s="746">
        <v>2200</v>
      </c>
      <c r="Y1414" s="746"/>
      <c r="Z1414" s="746">
        <f t="shared" si="899"/>
        <v>4579</v>
      </c>
      <c r="AA1414" s="746">
        <v>1000</v>
      </c>
      <c r="AB1414" s="746"/>
      <c r="AC1414" s="746">
        <f t="shared" si="900"/>
        <v>1000</v>
      </c>
      <c r="AD1414" s="746">
        <f t="shared" si="901"/>
        <v>55948</v>
      </c>
      <c r="AE1414" s="746">
        <f t="shared" si="902"/>
        <v>111896</v>
      </c>
      <c r="AF1414" s="746">
        <f t="shared" si="903"/>
        <v>0</v>
      </c>
      <c r="AG1414" s="759">
        <f t="shared" si="903"/>
        <v>0</v>
      </c>
      <c r="AH1414" s="711"/>
      <c r="AI1414" s="735"/>
    </row>
    <row r="1415" spans="1:35" x14ac:dyDescent="0.2">
      <c r="A1415" s="704" t="s">
        <v>899</v>
      </c>
      <c r="B1415" s="415">
        <v>1</v>
      </c>
      <c r="C1415" s="746">
        <v>2535</v>
      </c>
      <c r="D1415" s="746"/>
      <c r="E1415" s="735"/>
      <c r="F1415" s="735"/>
      <c r="G1415" s="735"/>
      <c r="H1415" s="735"/>
      <c r="I1415" s="746">
        <v>2350</v>
      </c>
      <c r="J1415" s="735"/>
      <c r="K1415" s="746">
        <f t="shared" si="895"/>
        <v>4885</v>
      </c>
      <c r="L1415" s="746">
        <v>1000</v>
      </c>
      <c r="M1415" s="735"/>
      <c r="N1415" s="746">
        <f t="shared" si="896"/>
        <v>1000</v>
      </c>
      <c r="O1415" s="735">
        <f t="shared" si="897"/>
        <v>59620</v>
      </c>
      <c r="P1415" s="735">
        <f t="shared" si="898"/>
        <v>59620</v>
      </c>
      <c r="Q1415" s="711">
        <v>1</v>
      </c>
      <c r="R1415" s="746">
        <v>2535</v>
      </c>
      <c r="S1415" s="746"/>
      <c r="T1415" s="746"/>
      <c r="U1415" s="746"/>
      <c r="V1415" s="746"/>
      <c r="W1415" s="746"/>
      <c r="X1415" s="746">
        <v>2350</v>
      </c>
      <c r="Y1415" s="746"/>
      <c r="Z1415" s="746">
        <f t="shared" si="899"/>
        <v>4885</v>
      </c>
      <c r="AA1415" s="746">
        <v>1000</v>
      </c>
      <c r="AB1415" s="746"/>
      <c r="AC1415" s="746">
        <f t="shared" si="900"/>
        <v>1000</v>
      </c>
      <c r="AD1415" s="746">
        <f t="shared" si="901"/>
        <v>59620</v>
      </c>
      <c r="AE1415" s="746">
        <f t="shared" si="902"/>
        <v>59620</v>
      </c>
      <c r="AF1415" s="746">
        <f t="shared" si="903"/>
        <v>0</v>
      </c>
      <c r="AG1415" s="759">
        <f t="shared" si="903"/>
        <v>0</v>
      </c>
      <c r="AH1415" s="711"/>
      <c r="AI1415" s="735"/>
    </row>
    <row r="1416" spans="1:35" x14ac:dyDescent="0.2">
      <c r="A1416" s="704" t="s">
        <v>900</v>
      </c>
      <c r="B1416" s="415">
        <v>1</v>
      </c>
      <c r="C1416" s="746">
        <v>2702.7</v>
      </c>
      <c r="D1416" s="746"/>
      <c r="E1416" s="735"/>
      <c r="F1416" s="735"/>
      <c r="G1416" s="735"/>
      <c r="H1416" s="735"/>
      <c r="I1416" s="746">
        <v>2800</v>
      </c>
      <c r="J1416" s="735"/>
      <c r="K1416" s="746">
        <f t="shared" si="895"/>
        <v>5502.7</v>
      </c>
      <c r="L1416" s="746">
        <v>1000</v>
      </c>
      <c r="M1416" s="735"/>
      <c r="N1416" s="746">
        <f t="shared" si="896"/>
        <v>1000</v>
      </c>
      <c r="O1416" s="735">
        <f t="shared" si="897"/>
        <v>67032.399999999994</v>
      </c>
      <c r="P1416" s="735">
        <f t="shared" si="898"/>
        <v>67032.399999999994</v>
      </c>
      <c r="Q1416" s="711">
        <v>1</v>
      </c>
      <c r="R1416" s="746">
        <v>2702.7</v>
      </c>
      <c r="S1416" s="746"/>
      <c r="T1416" s="746"/>
      <c r="U1416" s="746"/>
      <c r="V1416" s="746"/>
      <c r="W1416" s="746"/>
      <c r="X1416" s="746">
        <v>2800</v>
      </c>
      <c r="Y1416" s="746"/>
      <c r="Z1416" s="746">
        <f t="shared" si="899"/>
        <v>5502.7</v>
      </c>
      <c r="AA1416" s="746">
        <v>1000</v>
      </c>
      <c r="AB1416" s="746"/>
      <c r="AC1416" s="746">
        <f t="shared" si="900"/>
        <v>1000</v>
      </c>
      <c r="AD1416" s="746">
        <f t="shared" si="901"/>
        <v>67032.399999999994</v>
      </c>
      <c r="AE1416" s="746">
        <f t="shared" si="902"/>
        <v>67032.399999999994</v>
      </c>
      <c r="AF1416" s="746">
        <f t="shared" si="903"/>
        <v>0</v>
      </c>
      <c r="AG1416" s="759">
        <f t="shared" si="903"/>
        <v>0</v>
      </c>
      <c r="AH1416" s="711"/>
      <c r="AI1416" s="735"/>
    </row>
    <row r="1417" spans="1:35" ht="24" x14ac:dyDescent="0.2">
      <c r="A1417" s="704" t="s">
        <v>901</v>
      </c>
      <c r="B1417" s="415">
        <v>1</v>
      </c>
      <c r="C1417" s="746">
        <v>2173.6</v>
      </c>
      <c r="D1417" s="746"/>
      <c r="E1417" s="735"/>
      <c r="F1417" s="735"/>
      <c r="G1417" s="735"/>
      <c r="H1417" s="735"/>
      <c r="I1417" s="746">
        <v>2450</v>
      </c>
      <c r="J1417" s="735"/>
      <c r="K1417" s="746">
        <f t="shared" si="895"/>
        <v>4623.6000000000004</v>
      </c>
      <c r="L1417" s="746">
        <v>1000</v>
      </c>
      <c r="M1417" s="735"/>
      <c r="N1417" s="746">
        <f t="shared" si="896"/>
        <v>1000</v>
      </c>
      <c r="O1417" s="735">
        <f t="shared" si="897"/>
        <v>56483.200000000004</v>
      </c>
      <c r="P1417" s="735">
        <f t="shared" si="898"/>
        <v>56483.200000000004</v>
      </c>
      <c r="Q1417" s="711">
        <v>1</v>
      </c>
      <c r="R1417" s="746">
        <v>2173.6</v>
      </c>
      <c r="S1417" s="746"/>
      <c r="T1417" s="746"/>
      <c r="U1417" s="746"/>
      <c r="V1417" s="746"/>
      <c r="W1417" s="746"/>
      <c r="X1417" s="746">
        <v>2450</v>
      </c>
      <c r="Y1417" s="746"/>
      <c r="Z1417" s="746">
        <f t="shared" si="899"/>
        <v>4623.6000000000004</v>
      </c>
      <c r="AA1417" s="746">
        <v>1000</v>
      </c>
      <c r="AB1417" s="746"/>
      <c r="AC1417" s="746">
        <f t="shared" si="900"/>
        <v>1000</v>
      </c>
      <c r="AD1417" s="746">
        <f t="shared" si="901"/>
        <v>56483.200000000004</v>
      </c>
      <c r="AE1417" s="746">
        <f t="shared" si="902"/>
        <v>56483.200000000004</v>
      </c>
      <c r="AF1417" s="746">
        <f t="shared" si="903"/>
        <v>0</v>
      </c>
      <c r="AG1417" s="759">
        <f t="shared" si="903"/>
        <v>0</v>
      </c>
      <c r="AH1417" s="711"/>
      <c r="AI1417" s="735"/>
    </row>
    <row r="1418" spans="1:35" ht="24" x14ac:dyDescent="0.2">
      <c r="A1418" s="704" t="s">
        <v>902</v>
      </c>
      <c r="B1418" s="415">
        <v>2</v>
      </c>
      <c r="C1418" s="746">
        <v>2379</v>
      </c>
      <c r="D1418" s="746"/>
      <c r="E1418" s="735"/>
      <c r="F1418" s="735"/>
      <c r="G1418" s="735"/>
      <c r="H1418" s="735"/>
      <c r="I1418" s="746">
        <v>2300</v>
      </c>
      <c r="J1418" s="735"/>
      <c r="K1418" s="746">
        <f t="shared" si="895"/>
        <v>4679</v>
      </c>
      <c r="L1418" s="746">
        <v>1000</v>
      </c>
      <c r="M1418" s="735"/>
      <c r="N1418" s="746">
        <f t="shared" si="896"/>
        <v>1000</v>
      </c>
      <c r="O1418" s="735">
        <f t="shared" si="897"/>
        <v>57148</v>
      </c>
      <c r="P1418" s="735">
        <f t="shared" si="898"/>
        <v>114296</v>
      </c>
      <c r="Q1418" s="711">
        <v>2</v>
      </c>
      <c r="R1418" s="746">
        <v>2379</v>
      </c>
      <c r="S1418" s="746"/>
      <c r="T1418" s="746"/>
      <c r="U1418" s="746"/>
      <c r="V1418" s="746"/>
      <c r="W1418" s="746"/>
      <c r="X1418" s="746">
        <v>2300</v>
      </c>
      <c r="Y1418" s="746"/>
      <c r="Z1418" s="746">
        <f t="shared" si="899"/>
        <v>4679</v>
      </c>
      <c r="AA1418" s="746">
        <v>1000</v>
      </c>
      <c r="AB1418" s="746"/>
      <c r="AC1418" s="746">
        <f t="shared" si="900"/>
        <v>1000</v>
      </c>
      <c r="AD1418" s="746">
        <f t="shared" si="901"/>
        <v>57148</v>
      </c>
      <c r="AE1418" s="746">
        <f t="shared" si="902"/>
        <v>114296</v>
      </c>
      <c r="AF1418" s="746">
        <f t="shared" si="903"/>
        <v>0</v>
      </c>
      <c r="AG1418" s="759">
        <f t="shared" si="903"/>
        <v>0</v>
      </c>
      <c r="AH1418" s="711"/>
      <c r="AI1418" s="735"/>
    </row>
    <row r="1419" spans="1:35" ht="24" x14ac:dyDescent="0.2">
      <c r="A1419" s="704" t="s">
        <v>903</v>
      </c>
      <c r="B1419" s="415">
        <v>3</v>
      </c>
      <c r="C1419" s="746">
        <v>2535</v>
      </c>
      <c r="D1419" s="746"/>
      <c r="E1419" s="735"/>
      <c r="F1419" s="735"/>
      <c r="G1419" s="735"/>
      <c r="H1419" s="735"/>
      <c r="I1419" s="746">
        <v>2440</v>
      </c>
      <c r="J1419" s="735"/>
      <c r="K1419" s="746">
        <f t="shared" si="895"/>
        <v>4975</v>
      </c>
      <c r="L1419" s="746">
        <v>1000</v>
      </c>
      <c r="M1419" s="735"/>
      <c r="N1419" s="746">
        <f t="shared" si="896"/>
        <v>1000</v>
      </c>
      <c r="O1419" s="735">
        <f t="shared" si="897"/>
        <v>60700</v>
      </c>
      <c r="P1419" s="735">
        <f t="shared" si="898"/>
        <v>182100</v>
      </c>
      <c r="Q1419" s="711">
        <v>3</v>
      </c>
      <c r="R1419" s="746">
        <v>2535</v>
      </c>
      <c r="S1419" s="746"/>
      <c r="T1419" s="746"/>
      <c r="U1419" s="746"/>
      <c r="V1419" s="746"/>
      <c r="W1419" s="746"/>
      <c r="X1419" s="746">
        <v>2440</v>
      </c>
      <c r="Y1419" s="746"/>
      <c r="Z1419" s="746">
        <f t="shared" si="899"/>
        <v>4975</v>
      </c>
      <c r="AA1419" s="746">
        <v>1000</v>
      </c>
      <c r="AB1419" s="746"/>
      <c r="AC1419" s="746">
        <f t="shared" si="900"/>
        <v>1000</v>
      </c>
      <c r="AD1419" s="746">
        <f t="shared" si="901"/>
        <v>60700</v>
      </c>
      <c r="AE1419" s="746">
        <f t="shared" si="902"/>
        <v>182100</v>
      </c>
      <c r="AF1419" s="746">
        <f t="shared" si="903"/>
        <v>0</v>
      </c>
      <c r="AG1419" s="759">
        <f t="shared" si="903"/>
        <v>0</v>
      </c>
      <c r="AH1419" s="711"/>
      <c r="AI1419" s="735"/>
    </row>
    <row r="1420" spans="1:35" ht="24" x14ac:dyDescent="0.2">
      <c r="A1420" s="704" t="s">
        <v>904</v>
      </c>
      <c r="B1420" s="415">
        <v>2</v>
      </c>
      <c r="C1420" s="746">
        <v>2173.6</v>
      </c>
      <c r="D1420" s="746"/>
      <c r="E1420" s="735"/>
      <c r="F1420" s="735"/>
      <c r="G1420" s="735"/>
      <c r="H1420" s="735"/>
      <c r="I1420" s="746">
        <v>2800</v>
      </c>
      <c r="J1420" s="735"/>
      <c r="K1420" s="746">
        <f t="shared" si="895"/>
        <v>4973.6000000000004</v>
      </c>
      <c r="L1420" s="746">
        <v>1000</v>
      </c>
      <c r="M1420" s="735"/>
      <c r="N1420" s="746">
        <f t="shared" si="896"/>
        <v>1000</v>
      </c>
      <c r="O1420" s="735">
        <f t="shared" si="897"/>
        <v>60683.200000000004</v>
      </c>
      <c r="P1420" s="735">
        <f t="shared" si="898"/>
        <v>121366.40000000001</v>
      </c>
      <c r="Q1420" s="711">
        <v>2</v>
      </c>
      <c r="R1420" s="746">
        <v>2173.6</v>
      </c>
      <c r="S1420" s="746"/>
      <c r="T1420" s="746"/>
      <c r="U1420" s="746"/>
      <c r="V1420" s="746"/>
      <c r="W1420" s="746"/>
      <c r="X1420" s="746">
        <v>2800</v>
      </c>
      <c r="Y1420" s="746"/>
      <c r="Z1420" s="746">
        <f t="shared" si="899"/>
        <v>4973.6000000000004</v>
      </c>
      <c r="AA1420" s="746">
        <v>1000</v>
      </c>
      <c r="AB1420" s="746"/>
      <c r="AC1420" s="746">
        <f t="shared" si="900"/>
        <v>1000</v>
      </c>
      <c r="AD1420" s="746">
        <f t="shared" si="901"/>
        <v>60683.200000000004</v>
      </c>
      <c r="AE1420" s="746">
        <f t="shared" si="902"/>
        <v>121366.40000000001</v>
      </c>
      <c r="AF1420" s="746">
        <f t="shared" si="903"/>
        <v>0</v>
      </c>
      <c r="AG1420" s="759">
        <f t="shared" si="903"/>
        <v>0</v>
      </c>
      <c r="AH1420" s="711"/>
      <c r="AI1420" s="735"/>
    </row>
    <row r="1421" spans="1:35" x14ac:dyDescent="0.2">
      <c r="A1421" s="704" t="s">
        <v>905</v>
      </c>
      <c r="B1421" s="415">
        <v>15</v>
      </c>
      <c r="C1421" s="837">
        <v>3595.8</v>
      </c>
      <c r="D1421" s="837"/>
      <c r="E1421" s="735"/>
      <c r="F1421" s="735"/>
      <c r="G1421" s="735"/>
      <c r="H1421" s="735"/>
      <c r="I1421" s="837">
        <v>2900</v>
      </c>
      <c r="J1421" s="735"/>
      <c r="K1421" s="837">
        <f t="shared" si="895"/>
        <v>6495.8</v>
      </c>
      <c r="L1421" s="837">
        <v>1000</v>
      </c>
      <c r="M1421" s="735"/>
      <c r="N1421" s="837">
        <f t="shared" si="896"/>
        <v>1000</v>
      </c>
      <c r="O1421" s="735">
        <f t="shared" si="897"/>
        <v>78949.600000000006</v>
      </c>
      <c r="P1421" s="735">
        <f t="shared" si="898"/>
        <v>1184244</v>
      </c>
      <c r="Q1421" s="711">
        <v>15</v>
      </c>
      <c r="R1421" s="837">
        <v>3595.8</v>
      </c>
      <c r="S1421" s="837"/>
      <c r="T1421" s="837"/>
      <c r="U1421" s="837"/>
      <c r="V1421" s="837"/>
      <c r="W1421" s="837"/>
      <c r="X1421" s="837">
        <v>2900</v>
      </c>
      <c r="Y1421" s="837"/>
      <c r="Z1421" s="837">
        <f t="shared" si="899"/>
        <v>6495.8</v>
      </c>
      <c r="AA1421" s="837">
        <v>1000</v>
      </c>
      <c r="AB1421" s="837"/>
      <c r="AC1421" s="837">
        <f t="shared" si="900"/>
        <v>1000</v>
      </c>
      <c r="AD1421" s="837">
        <f t="shared" si="901"/>
        <v>78949.600000000006</v>
      </c>
      <c r="AE1421" s="837">
        <f t="shared" si="902"/>
        <v>1184244</v>
      </c>
      <c r="AF1421" s="837">
        <f t="shared" si="903"/>
        <v>0</v>
      </c>
      <c r="AG1421" s="838">
        <f t="shared" si="903"/>
        <v>0</v>
      </c>
      <c r="AH1421" s="711"/>
      <c r="AI1421" s="735"/>
    </row>
    <row r="1422" spans="1:35" x14ac:dyDescent="0.2">
      <c r="A1422" s="704" t="s">
        <v>906</v>
      </c>
      <c r="B1422" s="415">
        <v>3</v>
      </c>
      <c r="C1422" s="746">
        <v>3855.8</v>
      </c>
      <c r="D1422" s="746"/>
      <c r="E1422" s="735"/>
      <c r="F1422" s="735"/>
      <c r="G1422" s="735"/>
      <c r="H1422" s="735"/>
      <c r="I1422" s="746">
        <v>2700</v>
      </c>
      <c r="J1422" s="735"/>
      <c r="K1422" s="746">
        <f t="shared" si="895"/>
        <v>6555.8</v>
      </c>
      <c r="L1422" s="746">
        <v>1000</v>
      </c>
      <c r="M1422" s="735"/>
      <c r="N1422" s="746">
        <f t="shared" si="896"/>
        <v>1000</v>
      </c>
      <c r="O1422" s="735">
        <f t="shared" si="897"/>
        <v>79669.600000000006</v>
      </c>
      <c r="P1422" s="735">
        <f t="shared" si="898"/>
        <v>239008.80000000002</v>
      </c>
      <c r="Q1422" s="711">
        <v>3</v>
      </c>
      <c r="R1422" s="746">
        <v>3855.8</v>
      </c>
      <c r="S1422" s="746"/>
      <c r="T1422" s="746"/>
      <c r="U1422" s="746"/>
      <c r="V1422" s="746"/>
      <c r="W1422" s="746"/>
      <c r="X1422" s="746">
        <v>2700</v>
      </c>
      <c r="Y1422" s="746"/>
      <c r="Z1422" s="746">
        <f t="shared" si="899"/>
        <v>6555.8</v>
      </c>
      <c r="AA1422" s="746">
        <v>1000</v>
      </c>
      <c r="AB1422" s="746"/>
      <c r="AC1422" s="746">
        <f t="shared" si="900"/>
        <v>1000</v>
      </c>
      <c r="AD1422" s="746">
        <f t="shared" si="901"/>
        <v>79669.600000000006</v>
      </c>
      <c r="AE1422" s="746">
        <f t="shared" si="902"/>
        <v>239008.80000000002</v>
      </c>
      <c r="AF1422" s="746">
        <f t="shared" si="903"/>
        <v>0</v>
      </c>
      <c r="AG1422" s="759">
        <f t="shared" si="903"/>
        <v>0</v>
      </c>
      <c r="AH1422" s="711"/>
      <c r="AI1422" s="735"/>
    </row>
    <row r="1423" spans="1:35" x14ac:dyDescent="0.2">
      <c r="A1423" s="704" t="s">
        <v>907</v>
      </c>
      <c r="B1423" s="415">
        <v>2</v>
      </c>
      <c r="C1423" s="746">
        <v>4118.3999999999996</v>
      </c>
      <c r="D1423" s="746"/>
      <c r="E1423" s="735"/>
      <c r="F1423" s="735"/>
      <c r="G1423" s="735"/>
      <c r="H1423" s="735"/>
      <c r="I1423" s="746">
        <v>2350</v>
      </c>
      <c r="J1423" s="735"/>
      <c r="K1423" s="746">
        <f t="shared" si="895"/>
        <v>6468.4</v>
      </c>
      <c r="L1423" s="746">
        <v>1000</v>
      </c>
      <c r="M1423" s="735"/>
      <c r="N1423" s="746">
        <f t="shared" si="896"/>
        <v>1000</v>
      </c>
      <c r="O1423" s="735">
        <f t="shared" si="897"/>
        <v>78620.799999999988</v>
      </c>
      <c r="P1423" s="735">
        <f t="shared" si="898"/>
        <v>157241.59999999998</v>
      </c>
      <c r="Q1423" s="711">
        <v>2</v>
      </c>
      <c r="R1423" s="746">
        <v>4118.3999999999996</v>
      </c>
      <c r="S1423" s="746"/>
      <c r="T1423" s="746"/>
      <c r="U1423" s="746"/>
      <c r="V1423" s="746"/>
      <c r="W1423" s="746"/>
      <c r="X1423" s="746">
        <v>2350</v>
      </c>
      <c r="Y1423" s="746"/>
      <c r="Z1423" s="746">
        <f t="shared" si="899"/>
        <v>6468.4</v>
      </c>
      <c r="AA1423" s="746">
        <v>1000</v>
      </c>
      <c r="AB1423" s="746"/>
      <c r="AC1423" s="746">
        <f t="shared" si="900"/>
        <v>1000</v>
      </c>
      <c r="AD1423" s="746">
        <f t="shared" si="901"/>
        <v>78620.799999999988</v>
      </c>
      <c r="AE1423" s="746">
        <f t="shared" si="902"/>
        <v>157241.59999999998</v>
      </c>
      <c r="AF1423" s="746">
        <f t="shared" si="903"/>
        <v>0</v>
      </c>
      <c r="AG1423" s="759">
        <f t="shared" si="903"/>
        <v>0</v>
      </c>
      <c r="AH1423" s="711"/>
      <c r="AI1423" s="735"/>
    </row>
    <row r="1424" spans="1:35" x14ac:dyDescent="0.2">
      <c r="A1424" s="704" t="s">
        <v>908</v>
      </c>
      <c r="B1424" s="415">
        <v>5</v>
      </c>
      <c r="C1424" s="746">
        <v>3595.8</v>
      </c>
      <c r="D1424" s="746"/>
      <c r="E1424" s="735"/>
      <c r="F1424" s="735"/>
      <c r="G1424" s="735"/>
      <c r="H1424" s="735"/>
      <c r="I1424" s="746">
        <v>2663</v>
      </c>
      <c r="J1424" s="735"/>
      <c r="K1424" s="746">
        <f t="shared" si="895"/>
        <v>6258.8</v>
      </c>
      <c r="L1424" s="746">
        <v>1000</v>
      </c>
      <c r="M1424" s="735"/>
      <c r="N1424" s="746">
        <f t="shared" si="896"/>
        <v>1000</v>
      </c>
      <c r="O1424" s="735">
        <f t="shared" si="897"/>
        <v>76105.600000000006</v>
      </c>
      <c r="P1424" s="735">
        <f t="shared" si="898"/>
        <v>380528</v>
      </c>
      <c r="Q1424" s="711">
        <v>5</v>
      </c>
      <c r="R1424" s="746">
        <v>3595.8</v>
      </c>
      <c r="S1424" s="746"/>
      <c r="T1424" s="746"/>
      <c r="U1424" s="746"/>
      <c r="V1424" s="746"/>
      <c r="W1424" s="746"/>
      <c r="X1424" s="746">
        <v>2663</v>
      </c>
      <c r="Y1424" s="746"/>
      <c r="Z1424" s="746">
        <f t="shared" si="899"/>
        <v>6258.8</v>
      </c>
      <c r="AA1424" s="746">
        <v>1000</v>
      </c>
      <c r="AB1424" s="746"/>
      <c r="AC1424" s="746">
        <f t="shared" si="900"/>
        <v>1000</v>
      </c>
      <c r="AD1424" s="746">
        <f t="shared" si="901"/>
        <v>76105.600000000006</v>
      </c>
      <c r="AE1424" s="746">
        <f t="shared" si="902"/>
        <v>380528</v>
      </c>
      <c r="AF1424" s="746">
        <f t="shared" si="903"/>
        <v>0</v>
      </c>
      <c r="AG1424" s="759">
        <f t="shared" si="903"/>
        <v>0</v>
      </c>
      <c r="AH1424" s="711"/>
      <c r="AI1424" s="735"/>
    </row>
    <row r="1425" spans="1:35" x14ac:dyDescent="0.2">
      <c r="A1425" s="704" t="s">
        <v>909</v>
      </c>
      <c r="B1425" s="415">
        <v>4</v>
      </c>
      <c r="C1425" s="746">
        <v>3855.8</v>
      </c>
      <c r="D1425" s="746"/>
      <c r="E1425" s="735"/>
      <c r="F1425" s="735"/>
      <c r="G1425" s="735"/>
      <c r="H1425" s="735"/>
      <c r="I1425" s="746">
        <v>2429</v>
      </c>
      <c r="J1425" s="735"/>
      <c r="K1425" s="746">
        <f t="shared" si="895"/>
        <v>6284.8</v>
      </c>
      <c r="L1425" s="746">
        <v>1000</v>
      </c>
      <c r="M1425" s="735"/>
      <c r="N1425" s="746">
        <f t="shared" si="896"/>
        <v>1000</v>
      </c>
      <c r="O1425" s="735">
        <f t="shared" si="897"/>
        <v>76417.600000000006</v>
      </c>
      <c r="P1425" s="735">
        <f t="shared" si="898"/>
        <v>305670.40000000002</v>
      </c>
      <c r="Q1425" s="711">
        <v>4</v>
      </c>
      <c r="R1425" s="746">
        <v>3855.8</v>
      </c>
      <c r="S1425" s="746"/>
      <c r="T1425" s="746"/>
      <c r="U1425" s="746"/>
      <c r="V1425" s="746"/>
      <c r="W1425" s="746"/>
      <c r="X1425" s="746">
        <v>2429</v>
      </c>
      <c r="Y1425" s="746"/>
      <c r="Z1425" s="746">
        <f t="shared" si="899"/>
        <v>6284.8</v>
      </c>
      <c r="AA1425" s="746">
        <v>1000</v>
      </c>
      <c r="AB1425" s="746"/>
      <c r="AC1425" s="746">
        <f t="shared" si="900"/>
        <v>1000</v>
      </c>
      <c r="AD1425" s="746">
        <f t="shared" si="901"/>
        <v>76417.600000000006</v>
      </c>
      <c r="AE1425" s="746">
        <f t="shared" si="902"/>
        <v>305670.40000000002</v>
      </c>
      <c r="AF1425" s="746">
        <f t="shared" si="903"/>
        <v>0</v>
      </c>
      <c r="AG1425" s="759">
        <f t="shared" si="903"/>
        <v>0</v>
      </c>
      <c r="AH1425" s="711"/>
      <c r="AI1425" s="735"/>
    </row>
    <row r="1426" spans="1:35" x14ac:dyDescent="0.2">
      <c r="A1426" s="704" t="s">
        <v>910</v>
      </c>
      <c r="B1426" s="415">
        <v>5</v>
      </c>
      <c r="C1426" s="746">
        <v>4118.3999999999996</v>
      </c>
      <c r="D1426" s="746"/>
      <c r="E1426" s="735"/>
      <c r="F1426" s="735"/>
      <c r="G1426" s="735"/>
      <c r="H1426" s="735"/>
      <c r="I1426" s="746">
        <v>2660</v>
      </c>
      <c r="J1426" s="735"/>
      <c r="K1426" s="746">
        <f t="shared" si="895"/>
        <v>6778.4</v>
      </c>
      <c r="L1426" s="746">
        <v>1000</v>
      </c>
      <c r="M1426" s="735"/>
      <c r="N1426" s="746">
        <f t="shared" si="896"/>
        <v>1000</v>
      </c>
      <c r="O1426" s="735">
        <f t="shared" si="897"/>
        <v>82340.799999999988</v>
      </c>
      <c r="P1426" s="735">
        <f t="shared" si="898"/>
        <v>411703.99999999994</v>
      </c>
      <c r="Q1426" s="711">
        <v>5</v>
      </c>
      <c r="R1426" s="746">
        <v>4118.3999999999996</v>
      </c>
      <c r="S1426" s="746"/>
      <c r="T1426" s="746"/>
      <c r="U1426" s="746"/>
      <c r="V1426" s="746"/>
      <c r="W1426" s="746"/>
      <c r="X1426" s="746">
        <v>2660</v>
      </c>
      <c r="Y1426" s="746"/>
      <c r="Z1426" s="746">
        <f t="shared" si="899"/>
        <v>6778.4</v>
      </c>
      <c r="AA1426" s="746">
        <v>1000</v>
      </c>
      <c r="AB1426" s="746"/>
      <c r="AC1426" s="746">
        <f t="shared" si="900"/>
        <v>1000</v>
      </c>
      <c r="AD1426" s="746">
        <f t="shared" si="901"/>
        <v>82340.799999999988</v>
      </c>
      <c r="AE1426" s="746">
        <f t="shared" si="902"/>
        <v>411703.99999999994</v>
      </c>
      <c r="AF1426" s="746">
        <f t="shared" si="903"/>
        <v>0</v>
      </c>
      <c r="AG1426" s="759">
        <f t="shared" si="903"/>
        <v>0</v>
      </c>
      <c r="AH1426" s="711"/>
      <c r="AI1426" s="735"/>
    </row>
    <row r="1427" spans="1:35" ht="24" x14ac:dyDescent="0.2">
      <c r="A1427" s="704" t="s">
        <v>911</v>
      </c>
      <c r="B1427" s="415">
        <v>1</v>
      </c>
      <c r="C1427" s="746">
        <v>3595.8</v>
      </c>
      <c r="D1427" s="746"/>
      <c r="E1427" s="735"/>
      <c r="F1427" s="735"/>
      <c r="G1427" s="735"/>
      <c r="H1427" s="735"/>
      <c r="I1427" s="746">
        <v>5400</v>
      </c>
      <c r="J1427" s="735"/>
      <c r="K1427" s="746">
        <f t="shared" si="895"/>
        <v>8995.7999999999993</v>
      </c>
      <c r="L1427" s="746">
        <v>1000</v>
      </c>
      <c r="M1427" s="735"/>
      <c r="N1427" s="746">
        <f t="shared" si="896"/>
        <v>1000</v>
      </c>
      <c r="O1427" s="735">
        <f t="shared" si="897"/>
        <v>108949.59999999999</v>
      </c>
      <c r="P1427" s="735">
        <f t="shared" si="898"/>
        <v>108949.59999999999</v>
      </c>
      <c r="Q1427" s="711">
        <v>1</v>
      </c>
      <c r="R1427" s="746">
        <v>3595.8</v>
      </c>
      <c r="S1427" s="746"/>
      <c r="T1427" s="746"/>
      <c r="U1427" s="746"/>
      <c r="V1427" s="746"/>
      <c r="W1427" s="746"/>
      <c r="X1427" s="746">
        <v>5400</v>
      </c>
      <c r="Y1427" s="746"/>
      <c r="Z1427" s="746">
        <f t="shared" si="899"/>
        <v>8995.7999999999993</v>
      </c>
      <c r="AA1427" s="746">
        <v>1000</v>
      </c>
      <c r="AB1427" s="746"/>
      <c r="AC1427" s="746">
        <f t="shared" si="900"/>
        <v>1000</v>
      </c>
      <c r="AD1427" s="746">
        <f t="shared" si="901"/>
        <v>108949.59999999999</v>
      </c>
      <c r="AE1427" s="746">
        <f t="shared" si="902"/>
        <v>108949.59999999999</v>
      </c>
      <c r="AF1427" s="746">
        <f t="shared" si="903"/>
        <v>0</v>
      </c>
      <c r="AG1427" s="759">
        <f t="shared" si="903"/>
        <v>0</v>
      </c>
      <c r="AH1427" s="711"/>
      <c r="AI1427" s="735"/>
    </row>
    <row r="1428" spans="1:35" ht="24" x14ac:dyDescent="0.2">
      <c r="A1428" s="704" t="s">
        <v>912</v>
      </c>
      <c r="B1428" s="415">
        <v>1</v>
      </c>
      <c r="C1428" s="746">
        <v>4436.8999999999996</v>
      </c>
      <c r="D1428" s="746"/>
      <c r="E1428" s="735"/>
      <c r="F1428" s="735"/>
      <c r="G1428" s="735"/>
      <c r="H1428" s="735"/>
      <c r="I1428" s="746">
        <v>2350</v>
      </c>
      <c r="J1428" s="735"/>
      <c r="K1428" s="746">
        <f t="shared" ref="K1428:K1445" si="904">C1428+D1428+E1428+F1428+G1428+H1428+I1428+J1428</f>
        <v>6786.9</v>
      </c>
      <c r="L1428" s="746">
        <v>1000</v>
      </c>
      <c r="M1428" s="735"/>
      <c r="N1428" s="746">
        <f t="shared" ref="N1428:N1445" si="905">L1428+M1428</f>
        <v>1000</v>
      </c>
      <c r="O1428" s="735">
        <f t="shared" ref="O1428:O1445" si="906">(K1428*12)+N1428</f>
        <v>82442.799999999988</v>
      </c>
      <c r="P1428" s="735">
        <f t="shared" ref="P1428:P1445" si="907">O1428*B1428</f>
        <v>82442.799999999988</v>
      </c>
      <c r="Q1428" s="711">
        <v>1</v>
      </c>
      <c r="R1428" s="746">
        <v>4436.8999999999996</v>
      </c>
      <c r="S1428" s="746"/>
      <c r="T1428" s="746"/>
      <c r="U1428" s="746"/>
      <c r="V1428" s="746"/>
      <c r="W1428" s="746"/>
      <c r="X1428" s="746">
        <v>2350</v>
      </c>
      <c r="Y1428" s="746"/>
      <c r="Z1428" s="746">
        <f t="shared" si="899"/>
        <v>6786.9</v>
      </c>
      <c r="AA1428" s="746">
        <v>1000</v>
      </c>
      <c r="AB1428" s="746"/>
      <c r="AC1428" s="746">
        <f t="shared" ref="AC1428:AC1445" si="908">AA1428+AB1428</f>
        <v>1000</v>
      </c>
      <c r="AD1428" s="746">
        <f t="shared" ref="AD1428:AD1445" si="909">((Z1428*12)+AC1428)</f>
        <v>82442.799999999988</v>
      </c>
      <c r="AE1428" s="746">
        <f t="shared" ref="AE1428:AE1445" si="910">AD1428*Q1428</f>
        <v>82442.799999999988</v>
      </c>
      <c r="AF1428" s="746">
        <f t="shared" ref="AF1428:AG1445" si="911">O1428-AD1428</f>
        <v>0</v>
      </c>
      <c r="AG1428" s="759">
        <f t="shared" si="911"/>
        <v>0</v>
      </c>
      <c r="AH1428" s="711"/>
      <c r="AI1428" s="735"/>
    </row>
    <row r="1429" spans="1:35" x14ac:dyDescent="0.2">
      <c r="A1429" s="704" t="s">
        <v>913</v>
      </c>
      <c r="B1429" s="415">
        <v>1</v>
      </c>
      <c r="C1429" s="746">
        <v>2173.6</v>
      </c>
      <c r="D1429" s="746"/>
      <c r="E1429" s="735"/>
      <c r="F1429" s="735"/>
      <c r="G1429" s="735"/>
      <c r="H1429" s="735"/>
      <c r="I1429" s="746">
        <v>1890</v>
      </c>
      <c r="J1429" s="735"/>
      <c r="K1429" s="746">
        <f t="shared" si="904"/>
        <v>4063.6</v>
      </c>
      <c r="L1429" s="746">
        <v>1000</v>
      </c>
      <c r="M1429" s="735"/>
      <c r="N1429" s="746">
        <f t="shared" si="905"/>
        <v>1000</v>
      </c>
      <c r="O1429" s="735">
        <f t="shared" si="906"/>
        <v>49763.199999999997</v>
      </c>
      <c r="P1429" s="735">
        <f t="shared" si="907"/>
        <v>49763.199999999997</v>
      </c>
      <c r="Q1429" s="711">
        <v>1</v>
      </c>
      <c r="R1429" s="746">
        <v>2173.6</v>
      </c>
      <c r="S1429" s="746"/>
      <c r="T1429" s="746"/>
      <c r="U1429" s="746"/>
      <c r="V1429" s="746"/>
      <c r="W1429" s="746"/>
      <c r="X1429" s="746">
        <v>1890</v>
      </c>
      <c r="Y1429" s="746"/>
      <c r="Z1429" s="746">
        <f t="shared" si="899"/>
        <v>4063.6</v>
      </c>
      <c r="AA1429" s="746">
        <v>1000</v>
      </c>
      <c r="AB1429" s="746"/>
      <c r="AC1429" s="746">
        <f t="shared" si="908"/>
        <v>1000</v>
      </c>
      <c r="AD1429" s="746">
        <f t="shared" si="909"/>
        <v>49763.199999999997</v>
      </c>
      <c r="AE1429" s="746">
        <f t="shared" si="910"/>
        <v>49763.199999999997</v>
      </c>
      <c r="AF1429" s="746">
        <f t="shared" si="911"/>
        <v>0</v>
      </c>
      <c r="AG1429" s="759">
        <f t="shared" si="911"/>
        <v>0</v>
      </c>
      <c r="AH1429" s="711"/>
      <c r="AI1429" s="735"/>
    </row>
    <row r="1430" spans="1:35" ht="24" x14ac:dyDescent="0.2">
      <c r="A1430" s="704" t="s">
        <v>914</v>
      </c>
      <c r="B1430" s="415">
        <v>1</v>
      </c>
      <c r="C1430" s="746">
        <v>2906.15</v>
      </c>
      <c r="D1430" s="746"/>
      <c r="E1430" s="735"/>
      <c r="F1430" s="735"/>
      <c r="G1430" s="735"/>
      <c r="H1430" s="735"/>
      <c r="I1430" s="746">
        <v>1780</v>
      </c>
      <c r="J1430" s="735"/>
      <c r="K1430" s="746">
        <f t="shared" si="904"/>
        <v>4686.1499999999996</v>
      </c>
      <c r="L1430" s="746">
        <v>1000</v>
      </c>
      <c r="M1430" s="735"/>
      <c r="N1430" s="746">
        <f t="shared" si="905"/>
        <v>1000</v>
      </c>
      <c r="O1430" s="735">
        <f t="shared" si="906"/>
        <v>57233.799999999996</v>
      </c>
      <c r="P1430" s="735">
        <f t="shared" si="907"/>
        <v>57233.799999999996</v>
      </c>
      <c r="Q1430" s="711">
        <v>1</v>
      </c>
      <c r="R1430" s="746">
        <v>2906.15</v>
      </c>
      <c r="S1430" s="746"/>
      <c r="T1430" s="746"/>
      <c r="U1430" s="746"/>
      <c r="V1430" s="746"/>
      <c r="W1430" s="746"/>
      <c r="X1430" s="746">
        <v>1780</v>
      </c>
      <c r="Y1430" s="746"/>
      <c r="Z1430" s="746">
        <f t="shared" si="899"/>
        <v>4686.1499999999996</v>
      </c>
      <c r="AA1430" s="746">
        <v>1000</v>
      </c>
      <c r="AB1430" s="746"/>
      <c r="AC1430" s="746">
        <f t="shared" si="908"/>
        <v>1000</v>
      </c>
      <c r="AD1430" s="746">
        <f t="shared" si="909"/>
        <v>57233.799999999996</v>
      </c>
      <c r="AE1430" s="746">
        <f t="shared" si="910"/>
        <v>57233.799999999996</v>
      </c>
      <c r="AF1430" s="746">
        <f t="shared" si="911"/>
        <v>0</v>
      </c>
      <c r="AG1430" s="759">
        <f t="shared" si="911"/>
        <v>0</v>
      </c>
      <c r="AH1430" s="711"/>
      <c r="AI1430" s="735"/>
    </row>
    <row r="1431" spans="1:35" x14ac:dyDescent="0.2">
      <c r="A1431" s="704" t="s">
        <v>915</v>
      </c>
      <c r="B1431" s="415">
        <v>43</v>
      </c>
      <c r="C1431" s="746">
        <v>2173.6</v>
      </c>
      <c r="D1431" s="746"/>
      <c r="E1431" s="735"/>
      <c r="F1431" s="735"/>
      <c r="G1431" s="735"/>
      <c r="H1431" s="735"/>
      <c r="I1431" s="746">
        <v>2780</v>
      </c>
      <c r="J1431" s="735"/>
      <c r="K1431" s="746">
        <f t="shared" si="904"/>
        <v>4953.6000000000004</v>
      </c>
      <c r="L1431" s="746">
        <v>1000</v>
      </c>
      <c r="M1431" s="735"/>
      <c r="N1431" s="746">
        <f t="shared" si="905"/>
        <v>1000</v>
      </c>
      <c r="O1431" s="735">
        <f t="shared" si="906"/>
        <v>60443.200000000004</v>
      </c>
      <c r="P1431" s="735">
        <f t="shared" si="907"/>
        <v>2599057.6</v>
      </c>
      <c r="Q1431" s="711">
        <v>44</v>
      </c>
      <c r="R1431" s="746">
        <v>2173.6</v>
      </c>
      <c r="S1431" s="746"/>
      <c r="T1431" s="746"/>
      <c r="U1431" s="746"/>
      <c r="V1431" s="746"/>
      <c r="W1431" s="746"/>
      <c r="X1431" s="746">
        <v>2780</v>
      </c>
      <c r="Y1431" s="746"/>
      <c r="Z1431" s="746">
        <f t="shared" si="899"/>
        <v>4953.6000000000004</v>
      </c>
      <c r="AA1431" s="746">
        <v>1000</v>
      </c>
      <c r="AB1431" s="746"/>
      <c r="AC1431" s="746">
        <f t="shared" si="908"/>
        <v>1000</v>
      </c>
      <c r="AD1431" s="746">
        <f t="shared" si="909"/>
        <v>60443.200000000004</v>
      </c>
      <c r="AE1431" s="746">
        <f t="shared" si="910"/>
        <v>2659500.8000000003</v>
      </c>
      <c r="AF1431" s="746">
        <f t="shared" si="911"/>
        <v>0</v>
      </c>
      <c r="AG1431" s="759">
        <f t="shared" si="911"/>
        <v>-60443.200000000186</v>
      </c>
      <c r="AH1431" s="711"/>
      <c r="AI1431" s="735"/>
    </row>
    <row r="1432" spans="1:35" x14ac:dyDescent="0.2">
      <c r="A1432" s="704" t="s">
        <v>916</v>
      </c>
      <c r="B1432" s="415">
        <v>8</v>
      </c>
      <c r="C1432" s="746">
        <v>2379</v>
      </c>
      <c r="D1432" s="746"/>
      <c r="E1432" s="735"/>
      <c r="F1432" s="735"/>
      <c r="G1432" s="735"/>
      <c r="H1432" s="735"/>
      <c r="I1432" s="746">
        <v>2600</v>
      </c>
      <c r="J1432" s="735"/>
      <c r="K1432" s="746">
        <f t="shared" si="904"/>
        <v>4979</v>
      </c>
      <c r="L1432" s="746">
        <v>1000</v>
      </c>
      <c r="M1432" s="735"/>
      <c r="N1432" s="746">
        <f t="shared" si="905"/>
        <v>1000</v>
      </c>
      <c r="O1432" s="735">
        <f t="shared" si="906"/>
        <v>60748</v>
      </c>
      <c r="P1432" s="735">
        <f t="shared" si="907"/>
        <v>485984</v>
      </c>
      <c r="Q1432" s="711">
        <v>8</v>
      </c>
      <c r="R1432" s="746">
        <v>2379</v>
      </c>
      <c r="S1432" s="746"/>
      <c r="T1432" s="746"/>
      <c r="U1432" s="746"/>
      <c r="V1432" s="746"/>
      <c r="W1432" s="746"/>
      <c r="X1432" s="746">
        <v>2600</v>
      </c>
      <c r="Y1432" s="746"/>
      <c r="Z1432" s="746">
        <f t="shared" si="899"/>
        <v>4979</v>
      </c>
      <c r="AA1432" s="746">
        <v>1000</v>
      </c>
      <c r="AB1432" s="746"/>
      <c r="AC1432" s="746">
        <f t="shared" si="908"/>
        <v>1000</v>
      </c>
      <c r="AD1432" s="746">
        <f t="shared" si="909"/>
        <v>60748</v>
      </c>
      <c r="AE1432" s="746">
        <f t="shared" si="910"/>
        <v>485984</v>
      </c>
      <c r="AF1432" s="746">
        <f t="shared" si="911"/>
        <v>0</v>
      </c>
      <c r="AG1432" s="759">
        <f t="shared" si="911"/>
        <v>0</v>
      </c>
      <c r="AH1432" s="711"/>
      <c r="AI1432" s="735"/>
    </row>
    <row r="1433" spans="1:35" x14ac:dyDescent="0.2">
      <c r="A1433" s="704" t="s">
        <v>917</v>
      </c>
      <c r="B1433" s="415">
        <v>3</v>
      </c>
      <c r="C1433" s="746">
        <v>2535</v>
      </c>
      <c r="D1433" s="746"/>
      <c r="E1433" s="735"/>
      <c r="F1433" s="735"/>
      <c r="G1433" s="735"/>
      <c r="H1433" s="735"/>
      <c r="I1433" s="746">
        <v>1980</v>
      </c>
      <c r="J1433" s="735"/>
      <c r="K1433" s="746">
        <f t="shared" si="904"/>
        <v>4515</v>
      </c>
      <c r="L1433" s="746">
        <v>1000</v>
      </c>
      <c r="M1433" s="735"/>
      <c r="N1433" s="746">
        <f t="shared" si="905"/>
        <v>1000</v>
      </c>
      <c r="O1433" s="735">
        <f t="shared" si="906"/>
        <v>55180</v>
      </c>
      <c r="P1433" s="735">
        <f t="shared" si="907"/>
        <v>165540</v>
      </c>
      <c r="Q1433" s="711">
        <v>3</v>
      </c>
      <c r="R1433" s="746">
        <v>2535</v>
      </c>
      <c r="S1433" s="746"/>
      <c r="T1433" s="746"/>
      <c r="U1433" s="746"/>
      <c r="V1433" s="746"/>
      <c r="W1433" s="746"/>
      <c r="X1433" s="746">
        <v>1980</v>
      </c>
      <c r="Y1433" s="746"/>
      <c r="Z1433" s="746">
        <f t="shared" si="899"/>
        <v>4515</v>
      </c>
      <c r="AA1433" s="746">
        <v>1000</v>
      </c>
      <c r="AB1433" s="746"/>
      <c r="AC1433" s="746">
        <f t="shared" si="908"/>
        <v>1000</v>
      </c>
      <c r="AD1433" s="746">
        <f t="shared" si="909"/>
        <v>55180</v>
      </c>
      <c r="AE1433" s="746">
        <f t="shared" si="910"/>
        <v>165540</v>
      </c>
      <c r="AF1433" s="746">
        <f t="shared" si="911"/>
        <v>0</v>
      </c>
      <c r="AG1433" s="759">
        <f t="shared" si="911"/>
        <v>0</v>
      </c>
      <c r="AH1433" s="711"/>
      <c r="AI1433" s="735"/>
    </row>
    <row r="1434" spans="1:35" x14ac:dyDescent="0.2">
      <c r="A1434" s="704" t="s">
        <v>918</v>
      </c>
      <c r="B1434" s="415">
        <v>1</v>
      </c>
      <c r="C1434" s="746">
        <v>2906.15</v>
      </c>
      <c r="D1434" s="746"/>
      <c r="E1434" s="735"/>
      <c r="F1434" s="735"/>
      <c r="G1434" s="735"/>
      <c r="H1434" s="735"/>
      <c r="I1434" s="746">
        <v>2100</v>
      </c>
      <c r="J1434" s="735"/>
      <c r="K1434" s="746">
        <f t="shared" si="904"/>
        <v>5006.1499999999996</v>
      </c>
      <c r="L1434" s="746">
        <v>1000</v>
      </c>
      <c r="M1434" s="735"/>
      <c r="N1434" s="746">
        <f t="shared" si="905"/>
        <v>1000</v>
      </c>
      <c r="O1434" s="735">
        <f t="shared" si="906"/>
        <v>61073.799999999996</v>
      </c>
      <c r="P1434" s="735">
        <f t="shared" si="907"/>
        <v>61073.799999999996</v>
      </c>
      <c r="Q1434" s="711">
        <v>1</v>
      </c>
      <c r="R1434" s="746">
        <v>2906.15</v>
      </c>
      <c r="S1434" s="746"/>
      <c r="T1434" s="746"/>
      <c r="U1434" s="746"/>
      <c r="V1434" s="746"/>
      <c r="W1434" s="746"/>
      <c r="X1434" s="746">
        <v>2100</v>
      </c>
      <c r="Y1434" s="746"/>
      <c r="Z1434" s="746">
        <f t="shared" si="899"/>
        <v>5006.1499999999996</v>
      </c>
      <c r="AA1434" s="746">
        <v>1000</v>
      </c>
      <c r="AB1434" s="746"/>
      <c r="AC1434" s="746">
        <f t="shared" si="908"/>
        <v>1000</v>
      </c>
      <c r="AD1434" s="746">
        <f t="shared" si="909"/>
        <v>61073.799999999996</v>
      </c>
      <c r="AE1434" s="746">
        <f t="shared" si="910"/>
        <v>61073.799999999996</v>
      </c>
      <c r="AF1434" s="746">
        <f t="shared" si="911"/>
        <v>0</v>
      </c>
      <c r="AG1434" s="759">
        <f t="shared" si="911"/>
        <v>0</v>
      </c>
      <c r="AH1434" s="711"/>
      <c r="AI1434" s="735"/>
    </row>
    <row r="1435" spans="1:35" ht="24" x14ac:dyDescent="0.2">
      <c r="A1435" s="704" t="s">
        <v>919</v>
      </c>
      <c r="B1435" s="415">
        <v>1</v>
      </c>
      <c r="C1435" s="746">
        <v>2173.6</v>
      </c>
      <c r="D1435" s="746"/>
      <c r="E1435" s="735"/>
      <c r="F1435" s="735"/>
      <c r="G1435" s="735"/>
      <c r="H1435" s="735"/>
      <c r="I1435" s="746">
        <v>1964</v>
      </c>
      <c r="J1435" s="735"/>
      <c r="K1435" s="746">
        <f t="shared" si="904"/>
        <v>4137.6000000000004</v>
      </c>
      <c r="L1435" s="746">
        <v>1000</v>
      </c>
      <c r="M1435" s="735"/>
      <c r="N1435" s="746">
        <f t="shared" si="905"/>
        <v>1000</v>
      </c>
      <c r="O1435" s="735">
        <f t="shared" si="906"/>
        <v>50651.200000000004</v>
      </c>
      <c r="P1435" s="735">
        <f t="shared" si="907"/>
        <v>50651.200000000004</v>
      </c>
      <c r="Q1435" s="711">
        <v>1</v>
      </c>
      <c r="R1435" s="746">
        <v>2173.6</v>
      </c>
      <c r="S1435" s="746"/>
      <c r="T1435" s="746"/>
      <c r="U1435" s="746"/>
      <c r="V1435" s="746"/>
      <c r="W1435" s="746"/>
      <c r="X1435" s="746">
        <v>1964</v>
      </c>
      <c r="Y1435" s="746"/>
      <c r="Z1435" s="746">
        <f t="shared" si="899"/>
        <v>4137.6000000000004</v>
      </c>
      <c r="AA1435" s="746">
        <v>1000</v>
      </c>
      <c r="AB1435" s="746"/>
      <c r="AC1435" s="746">
        <f t="shared" si="908"/>
        <v>1000</v>
      </c>
      <c r="AD1435" s="746">
        <f t="shared" si="909"/>
        <v>50651.200000000004</v>
      </c>
      <c r="AE1435" s="746">
        <f t="shared" si="910"/>
        <v>50651.200000000004</v>
      </c>
      <c r="AF1435" s="746">
        <f t="shared" si="911"/>
        <v>0</v>
      </c>
      <c r="AG1435" s="759">
        <f t="shared" si="911"/>
        <v>0</v>
      </c>
      <c r="AH1435" s="711"/>
      <c r="AI1435" s="735"/>
    </row>
    <row r="1436" spans="1:35" ht="24" x14ac:dyDescent="0.2">
      <c r="A1436" s="704" t="s">
        <v>920</v>
      </c>
      <c r="B1436" s="415">
        <v>1</v>
      </c>
      <c r="C1436" s="746">
        <v>2379</v>
      </c>
      <c r="D1436" s="746"/>
      <c r="E1436" s="735"/>
      <c r="F1436" s="735"/>
      <c r="G1436" s="735"/>
      <c r="H1436" s="735"/>
      <c r="I1436" s="746">
        <v>2200</v>
      </c>
      <c r="J1436" s="735"/>
      <c r="K1436" s="746">
        <f t="shared" si="904"/>
        <v>4579</v>
      </c>
      <c r="L1436" s="746">
        <v>1000</v>
      </c>
      <c r="M1436" s="735"/>
      <c r="N1436" s="746">
        <f t="shared" si="905"/>
        <v>1000</v>
      </c>
      <c r="O1436" s="735">
        <f t="shared" si="906"/>
        <v>55948</v>
      </c>
      <c r="P1436" s="735">
        <f t="shared" si="907"/>
        <v>55948</v>
      </c>
      <c r="Q1436" s="711">
        <v>1</v>
      </c>
      <c r="R1436" s="746">
        <v>2379</v>
      </c>
      <c r="S1436" s="746"/>
      <c r="T1436" s="746"/>
      <c r="U1436" s="746"/>
      <c r="V1436" s="746"/>
      <c r="W1436" s="746"/>
      <c r="X1436" s="746">
        <v>2200</v>
      </c>
      <c r="Y1436" s="746"/>
      <c r="Z1436" s="746">
        <f t="shared" si="899"/>
        <v>4579</v>
      </c>
      <c r="AA1436" s="746">
        <v>1000</v>
      </c>
      <c r="AB1436" s="746"/>
      <c r="AC1436" s="746">
        <f t="shared" si="908"/>
        <v>1000</v>
      </c>
      <c r="AD1436" s="746">
        <f t="shared" si="909"/>
        <v>55948</v>
      </c>
      <c r="AE1436" s="746">
        <f t="shared" si="910"/>
        <v>55948</v>
      </c>
      <c r="AF1436" s="746">
        <f t="shared" si="911"/>
        <v>0</v>
      </c>
      <c r="AG1436" s="759">
        <f t="shared" si="911"/>
        <v>0</v>
      </c>
      <c r="AH1436" s="711"/>
      <c r="AI1436" s="735"/>
    </row>
    <row r="1437" spans="1:35" ht="24" x14ac:dyDescent="0.2">
      <c r="A1437" s="704" t="s">
        <v>921</v>
      </c>
      <c r="B1437" s="415">
        <v>2</v>
      </c>
      <c r="C1437" s="746">
        <v>2535</v>
      </c>
      <c r="D1437" s="746"/>
      <c r="E1437" s="735"/>
      <c r="F1437" s="735"/>
      <c r="G1437" s="735"/>
      <c r="H1437" s="735"/>
      <c r="I1437" s="746">
        <v>2400</v>
      </c>
      <c r="J1437" s="735"/>
      <c r="K1437" s="746">
        <f t="shared" si="904"/>
        <v>4935</v>
      </c>
      <c r="L1437" s="746">
        <v>1000</v>
      </c>
      <c r="M1437" s="735"/>
      <c r="N1437" s="746">
        <f t="shared" si="905"/>
        <v>1000</v>
      </c>
      <c r="O1437" s="735">
        <f t="shared" si="906"/>
        <v>60220</v>
      </c>
      <c r="P1437" s="735">
        <f t="shared" si="907"/>
        <v>120440</v>
      </c>
      <c r="Q1437" s="711">
        <v>2</v>
      </c>
      <c r="R1437" s="746">
        <v>2535</v>
      </c>
      <c r="S1437" s="746"/>
      <c r="T1437" s="746"/>
      <c r="U1437" s="746"/>
      <c r="V1437" s="746"/>
      <c r="W1437" s="746"/>
      <c r="X1437" s="746">
        <v>2400</v>
      </c>
      <c r="Y1437" s="746"/>
      <c r="Z1437" s="746">
        <f t="shared" si="899"/>
        <v>4935</v>
      </c>
      <c r="AA1437" s="746">
        <v>1000</v>
      </c>
      <c r="AB1437" s="746"/>
      <c r="AC1437" s="746">
        <f t="shared" si="908"/>
        <v>1000</v>
      </c>
      <c r="AD1437" s="746">
        <f t="shared" si="909"/>
        <v>60220</v>
      </c>
      <c r="AE1437" s="746">
        <f t="shared" si="910"/>
        <v>120440</v>
      </c>
      <c r="AF1437" s="746">
        <f t="shared" si="911"/>
        <v>0</v>
      </c>
      <c r="AG1437" s="759">
        <f t="shared" si="911"/>
        <v>0</v>
      </c>
      <c r="AH1437" s="711"/>
      <c r="AI1437" s="735"/>
    </row>
    <row r="1438" spans="1:35" ht="24" x14ac:dyDescent="0.2">
      <c r="A1438" s="704" t="s">
        <v>922</v>
      </c>
      <c r="B1438" s="415">
        <v>1</v>
      </c>
      <c r="C1438" s="746">
        <v>2702.7</v>
      </c>
      <c r="D1438" s="746"/>
      <c r="E1438" s="735"/>
      <c r="F1438" s="735"/>
      <c r="G1438" s="735"/>
      <c r="H1438" s="735"/>
      <c r="I1438" s="746">
        <v>2650</v>
      </c>
      <c r="J1438" s="735"/>
      <c r="K1438" s="746">
        <f t="shared" si="904"/>
        <v>5352.7</v>
      </c>
      <c r="L1438" s="746">
        <v>1000</v>
      </c>
      <c r="M1438" s="735"/>
      <c r="N1438" s="746">
        <f t="shared" si="905"/>
        <v>1000</v>
      </c>
      <c r="O1438" s="735">
        <f t="shared" si="906"/>
        <v>65232.399999999994</v>
      </c>
      <c r="P1438" s="735">
        <f t="shared" si="907"/>
        <v>65232.399999999994</v>
      </c>
      <c r="Q1438" s="711">
        <v>1</v>
      </c>
      <c r="R1438" s="746">
        <v>2702.7</v>
      </c>
      <c r="S1438" s="746"/>
      <c r="T1438" s="746"/>
      <c r="U1438" s="746"/>
      <c r="V1438" s="746"/>
      <c r="W1438" s="746"/>
      <c r="X1438" s="746">
        <v>2650</v>
      </c>
      <c r="Y1438" s="746"/>
      <c r="Z1438" s="746">
        <f t="shared" si="899"/>
        <v>5352.7</v>
      </c>
      <c r="AA1438" s="746">
        <v>1000</v>
      </c>
      <c r="AB1438" s="746"/>
      <c r="AC1438" s="746">
        <f t="shared" si="908"/>
        <v>1000</v>
      </c>
      <c r="AD1438" s="746">
        <f t="shared" si="909"/>
        <v>65232.399999999994</v>
      </c>
      <c r="AE1438" s="746">
        <f t="shared" si="910"/>
        <v>65232.399999999994</v>
      </c>
      <c r="AF1438" s="746">
        <f t="shared" si="911"/>
        <v>0</v>
      </c>
      <c r="AG1438" s="759">
        <f t="shared" si="911"/>
        <v>0</v>
      </c>
      <c r="AH1438" s="711"/>
      <c r="AI1438" s="735"/>
    </row>
    <row r="1439" spans="1:35" ht="24" x14ac:dyDescent="0.2">
      <c r="A1439" s="704" t="s">
        <v>923</v>
      </c>
      <c r="B1439" s="415">
        <v>1</v>
      </c>
      <c r="C1439" s="746">
        <v>2906.15</v>
      </c>
      <c r="D1439" s="746"/>
      <c r="E1439" s="735"/>
      <c r="F1439" s="735"/>
      <c r="G1439" s="735"/>
      <c r="H1439" s="735"/>
      <c r="I1439" s="746">
        <v>2650</v>
      </c>
      <c r="J1439" s="735"/>
      <c r="K1439" s="746">
        <f t="shared" si="904"/>
        <v>5556.15</v>
      </c>
      <c r="L1439" s="746">
        <v>1000</v>
      </c>
      <c r="M1439" s="735"/>
      <c r="N1439" s="746">
        <f t="shared" si="905"/>
        <v>1000</v>
      </c>
      <c r="O1439" s="735">
        <f t="shared" si="906"/>
        <v>67673.799999999988</v>
      </c>
      <c r="P1439" s="735">
        <f t="shared" si="907"/>
        <v>67673.799999999988</v>
      </c>
      <c r="Q1439" s="711">
        <v>1</v>
      </c>
      <c r="R1439" s="746">
        <v>2906.15</v>
      </c>
      <c r="S1439" s="746"/>
      <c r="T1439" s="746"/>
      <c r="U1439" s="746"/>
      <c r="V1439" s="746"/>
      <c r="W1439" s="746"/>
      <c r="X1439" s="746">
        <v>2650</v>
      </c>
      <c r="Y1439" s="746"/>
      <c r="Z1439" s="746">
        <f t="shared" si="899"/>
        <v>5556.15</v>
      </c>
      <c r="AA1439" s="746">
        <v>1000</v>
      </c>
      <c r="AB1439" s="746"/>
      <c r="AC1439" s="746">
        <f t="shared" si="908"/>
        <v>1000</v>
      </c>
      <c r="AD1439" s="746">
        <f t="shared" si="909"/>
        <v>67673.799999999988</v>
      </c>
      <c r="AE1439" s="746">
        <f t="shared" si="910"/>
        <v>67673.799999999988</v>
      </c>
      <c r="AF1439" s="746">
        <f t="shared" si="911"/>
        <v>0</v>
      </c>
      <c r="AG1439" s="759">
        <f t="shared" si="911"/>
        <v>0</v>
      </c>
      <c r="AH1439" s="711"/>
      <c r="AI1439" s="735"/>
    </row>
    <row r="1440" spans="1:35" x14ac:dyDescent="0.2">
      <c r="A1440" s="704" t="s">
        <v>924</v>
      </c>
      <c r="B1440" s="415">
        <v>10</v>
      </c>
      <c r="C1440" s="746">
        <v>2173.6</v>
      </c>
      <c r="D1440" s="746"/>
      <c r="E1440" s="735"/>
      <c r="F1440" s="735"/>
      <c r="G1440" s="735"/>
      <c r="H1440" s="735"/>
      <c r="I1440" s="746">
        <v>2180</v>
      </c>
      <c r="J1440" s="735"/>
      <c r="K1440" s="746">
        <f t="shared" si="904"/>
        <v>4353.6000000000004</v>
      </c>
      <c r="L1440" s="746">
        <v>1000</v>
      </c>
      <c r="M1440" s="735"/>
      <c r="N1440" s="746">
        <f t="shared" si="905"/>
        <v>1000</v>
      </c>
      <c r="O1440" s="735">
        <f t="shared" si="906"/>
        <v>53243.200000000004</v>
      </c>
      <c r="P1440" s="735">
        <f t="shared" si="907"/>
        <v>532432</v>
      </c>
      <c r="Q1440" s="711">
        <v>10</v>
      </c>
      <c r="R1440" s="746">
        <v>2173.6</v>
      </c>
      <c r="S1440" s="746"/>
      <c r="T1440" s="746"/>
      <c r="U1440" s="746"/>
      <c r="V1440" s="746"/>
      <c r="W1440" s="746"/>
      <c r="X1440" s="746">
        <v>2180</v>
      </c>
      <c r="Y1440" s="746"/>
      <c r="Z1440" s="746">
        <f t="shared" si="899"/>
        <v>4353.6000000000004</v>
      </c>
      <c r="AA1440" s="746">
        <v>1000</v>
      </c>
      <c r="AB1440" s="746"/>
      <c r="AC1440" s="746">
        <f t="shared" si="908"/>
        <v>1000</v>
      </c>
      <c r="AD1440" s="746">
        <f t="shared" si="909"/>
        <v>53243.200000000004</v>
      </c>
      <c r="AE1440" s="746">
        <f t="shared" si="910"/>
        <v>532432</v>
      </c>
      <c r="AF1440" s="746">
        <f t="shared" si="911"/>
        <v>0</v>
      </c>
      <c r="AG1440" s="759">
        <f t="shared" si="911"/>
        <v>0</v>
      </c>
      <c r="AH1440" s="711"/>
      <c r="AI1440" s="735"/>
    </row>
    <row r="1441" spans="1:35" x14ac:dyDescent="0.2">
      <c r="A1441" s="704" t="s">
        <v>925</v>
      </c>
      <c r="B1441" s="415">
        <v>1</v>
      </c>
      <c r="C1441" s="746">
        <v>2379</v>
      </c>
      <c r="D1441" s="746"/>
      <c r="E1441" s="735"/>
      <c r="F1441" s="735"/>
      <c r="G1441" s="735"/>
      <c r="H1441" s="735"/>
      <c r="I1441" s="746">
        <v>2200</v>
      </c>
      <c r="J1441" s="735"/>
      <c r="K1441" s="746">
        <f t="shared" si="904"/>
        <v>4579</v>
      </c>
      <c r="L1441" s="746">
        <v>1000</v>
      </c>
      <c r="M1441" s="735"/>
      <c r="N1441" s="746">
        <f t="shared" si="905"/>
        <v>1000</v>
      </c>
      <c r="O1441" s="735">
        <f t="shared" si="906"/>
        <v>55948</v>
      </c>
      <c r="P1441" s="735">
        <f t="shared" si="907"/>
        <v>55948</v>
      </c>
      <c r="Q1441" s="711">
        <v>1</v>
      </c>
      <c r="R1441" s="746">
        <v>2379</v>
      </c>
      <c r="S1441" s="746"/>
      <c r="T1441" s="746"/>
      <c r="U1441" s="746"/>
      <c r="V1441" s="746"/>
      <c r="W1441" s="746"/>
      <c r="X1441" s="746">
        <v>2200</v>
      </c>
      <c r="Y1441" s="746"/>
      <c r="Z1441" s="746">
        <f t="shared" si="899"/>
        <v>4579</v>
      </c>
      <c r="AA1441" s="746">
        <v>1000</v>
      </c>
      <c r="AB1441" s="746"/>
      <c r="AC1441" s="746">
        <f t="shared" si="908"/>
        <v>1000</v>
      </c>
      <c r="AD1441" s="746">
        <f t="shared" si="909"/>
        <v>55948</v>
      </c>
      <c r="AE1441" s="746">
        <f t="shared" si="910"/>
        <v>55948</v>
      </c>
      <c r="AF1441" s="746">
        <f t="shared" si="911"/>
        <v>0</v>
      </c>
      <c r="AG1441" s="759">
        <f t="shared" si="911"/>
        <v>0</v>
      </c>
      <c r="AH1441" s="711"/>
      <c r="AI1441" s="735"/>
    </row>
    <row r="1442" spans="1:35" x14ac:dyDescent="0.2">
      <c r="A1442" s="704" t="s">
        <v>926</v>
      </c>
      <c r="B1442" s="415">
        <v>1</v>
      </c>
      <c r="C1442" s="746">
        <v>2535</v>
      </c>
      <c r="D1442" s="746"/>
      <c r="E1442" s="735"/>
      <c r="F1442" s="735"/>
      <c r="G1442" s="735"/>
      <c r="H1442" s="735"/>
      <c r="I1442" s="746">
        <v>2400</v>
      </c>
      <c r="J1442" s="735"/>
      <c r="K1442" s="746">
        <f t="shared" si="904"/>
        <v>4935</v>
      </c>
      <c r="L1442" s="746">
        <v>1000</v>
      </c>
      <c r="M1442" s="735"/>
      <c r="N1442" s="746">
        <f t="shared" si="905"/>
        <v>1000</v>
      </c>
      <c r="O1442" s="735">
        <f t="shared" si="906"/>
        <v>60220</v>
      </c>
      <c r="P1442" s="735">
        <f t="shared" si="907"/>
        <v>60220</v>
      </c>
      <c r="Q1442" s="711">
        <v>1</v>
      </c>
      <c r="R1442" s="746">
        <v>2535</v>
      </c>
      <c r="S1442" s="746"/>
      <c r="T1442" s="746"/>
      <c r="U1442" s="746"/>
      <c r="V1442" s="746"/>
      <c r="W1442" s="746"/>
      <c r="X1442" s="746">
        <v>2400</v>
      </c>
      <c r="Y1442" s="746"/>
      <c r="Z1442" s="746">
        <f t="shared" si="899"/>
        <v>4935</v>
      </c>
      <c r="AA1442" s="746">
        <v>1000</v>
      </c>
      <c r="AB1442" s="746"/>
      <c r="AC1442" s="746">
        <f t="shared" si="908"/>
        <v>1000</v>
      </c>
      <c r="AD1442" s="746">
        <f t="shared" si="909"/>
        <v>60220</v>
      </c>
      <c r="AE1442" s="746">
        <f t="shared" si="910"/>
        <v>60220</v>
      </c>
      <c r="AF1442" s="746">
        <f t="shared" si="911"/>
        <v>0</v>
      </c>
      <c r="AG1442" s="759">
        <f t="shared" si="911"/>
        <v>0</v>
      </c>
      <c r="AH1442" s="711"/>
      <c r="AI1442" s="735"/>
    </row>
    <row r="1443" spans="1:35" ht="24" x14ac:dyDescent="0.2">
      <c r="A1443" s="704" t="s">
        <v>927</v>
      </c>
      <c r="B1443" s="415">
        <v>1</v>
      </c>
      <c r="C1443" s="746">
        <v>2379</v>
      </c>
      <c r="D1443" s="746"/>
      <c r="E1443" s="735"/>
      <c r="F1443" s="735"/>
      <c r="G1443" s="735"/>
      <c r="H1443" s="735"/>
      <c r="I1443" s="746">
        <v>2450</v>
      </c>
      <c r="J1443" s="735"/>
      <c r="K1443" s="746">
        <f t="shared" si="904"/>
        <v>4829</v>
      </c>
      <c r="L1443" s="746">
        <v>1000</v>
      </c>
      <c r="M1443" s="735"/>
      <c r="N1443" s="746">
        <f t="shared" si="905"/>
        <v>1000</v>
      </c>
      <c r="O1443" s="735">
        <f t="shared" si="906"/>
        <v>58948</v>
      </c>
      <c r="P1443" s="735">
        <f t="shared" si="907"/>
        <v>58948</v>
      </c>
      <c r="Q1443" s="711">
        <v>1</v>
      </c>
      <c r="R1443" s="746">
        <v>2379</v>
      </c>
      <c r="S1443" s="746"/>
      <c r="T1443" s="746"/>
      <c r="U1443" s="746"/>
      <c r="V1443" s="746"/>
      <c r="W1443" s="746"/>
      <c r="X1443" s="746">
        <v>2450</v>
      </c>
      <c r="Y1443" s="746"/>
      <c r="Z1443" s="746">
        <f t="shared" si="899"/>
        <v>4829</v>
      </c>
      <c r="AA1443" s="746">
        <v>1000</v>
      </c>
      <c r="AB1443" s="746"/>
      <c r="AC1443" s="746">
        <f t="shared" si="908"/>
        <v>1000</v>
      </c>
      <c r="AD1443" s="746">
        <f t="shared" si="909"/>
        <v>58948</v>
      </c>
      <c r="AE1443" s="746">
        <f t="shared" si="910"/>
        <v>58948</v>
      </c>
      <c r="AF1443" s="746">
        <f t="shared" si="911"/>
        <v>0</v>
      </c>
      <c r="AG1443" s="759">
        <f t="shared" si="911"/>
        <v>0</v>
      </c>
      <c r="AH1443" s="711"/>
      <c r="AI1443" s="735"/>
    </row>
    <row r="1444" spans="1:35" ht="24" x14ac:dyDescent="0.2">
      <c r="A1444" s="704" t="s">
        <v>928</v>
      </c>
      <c r="B1444" s="415">
        <v>3</v>
      </c>
      <c r="C1444" s="746">
        <v>2906.15</v>
      </c>
      <c r="D1444" s="746"/>
      <c r="E1444" s="735"/>
      <c r="F1444" s="735"/>
      <c r="G1444" s="735"/>
      <c r="H1444" s="735"/>
      <c r="I1444" s="746">
        <v>2500</v>
      </c>
      <c r="J1444" s="735"/>
      <c r="K1444" s="746">
        <f t="shared" si="904"/>
        <v>5406.15</v>
      </c>
      <c r="L1444" s="746">
        <v>1000</v>
      </c>
      <c r="M1444" s="735"/>
      <c r="N1444" s="746">
        <f t="shared" si="905"/>
        <v>1000</v>
      </c>
      <c r="O1444" s="735">
        <f t="shared" si="906"/>
        <v>65873.799999999988</v>
      </c>
      <c r="P1444" s="735">
        <f t="shared" si="907"/>
        <v>197621.39999999997</v>
      </c>
      <c r="Q1444" s="711">
        <v>3</v>
      </c>
      <c r="R1444" s="746">
        <v>2906.15</v>
      </c>
      <c r="S1444" s="746"/>
      <c r="T1444" s="746"/>
      <c r="U1444" s="746"/>
      <c r="V1444" s="746"/>
      <c r="W1444" s="746"/>
      <c r="X1444" s="746">
        <v>2500</v>
      </c>
      <c r="Y1444" s="746"/>
      <c r="Z1444" s="746">
        <f t="shared" si="899"/>
        <v>5406.15</v>
      </c>
      <c r="AA1444" s="746">
        <v>1000</v>
      </c>
      <c r="AB1444" s="746"/>
      <c r="AC1444" s="746">
        <f t="shared" si="908"/>
        <v>1000</v>
      </c>
      <c r="AD1444" s="746">
        <f t="shared" si="909"/>
        <v>65873.799999999988</v>
      </c>
      <c r="AE1444" s="746">
        <f t="shared" si="910"/>
        <v>197621.39999999997</v>
      </c>
      <c r="AF1444" s="746">
        <f t="shared" si="911"/>
        <v>0</v>
      </c>
      <c r="AG1444" s="759">
        <f t="shared" si="911"/>
        <v>0</v>
      </c>
      <c r="AH1444" s="711"/>
      <c r="AI1444" s="735"/>
    </row>
    <row r="1445" spans="1:35" x14ac:dyDescent="0.2">
      <c r="A1445" s="704" t="s">
        <v>929</v>
      </c>
      <c r="B1445" s="415">
        <v>4</v>
      </c>
      <c r="C1445" s="746">
        <v>2173.6</v>
      </c>
      <c r="D1445" s="746"/>
      <c r="E1445" s="735"/>
      <c r="F1445" s="735"/>
      <c r="G1445" s="735"/>
      <c r="H1445" s="735"/>
      <c r="I1445" s="746">
        <v>1890</v>
      </c>
      <c r="J1445" s="735"/>
      <c r="K1445" s="746">
        <f t="shared" si="904"/>
        <v>4063.6</v>
      </c>
      <c r="L1445" s="746">
        <v>1000</v>
      </c>
      <c r="M1445" s="735"/>
      <c r="N1445" s="746">
        <f t="shared" si="905"/>
        <v>1000</v>
      </c>
      <c r="O1445" s="735">
        <f t="shared" si="906"/>
        <v>49763.199999999997</v>
      </c>
      <c r="P1445" s="735">
        <f t="shared" si="907"/>
        <v>199052.79999999999</v>
      </c>
      <c r="Q1445" s="711">
        <v>4</v>
      </c>
      <c r="R1445" s="746">
        <v>2173.6</v>
      </c>
      <c r="S1445" s="746"/>
      <c r="T1445" s="746"/>
      <c r="U1445" s="746"/>
      <c r="V1445" s="746"/>
      <c r="W1445" s="746"/>
      <c r="X1445" s="746">
        <v>1890</v>
      </c>
      <c r="Y1445" s="746"/>
      <c r="Z1445" s="746">
        <f t="shared" si="899"/>
        <v>4063.6</v>
      </c>
      <c r="AA1445" s="746">
        <v>1000</v>
      </c>
      <c r="AB1445" s="746"/>
      <c r="AC1445" s="746">
        <f t="shared" si="908"/>
        <v>1000</v>
      </c>
      <c r="AD1445" s="746">
        <f t="shared" si="909"/>
        <v>49763.199999999997</v>
      </c>
      <c r="AE1445" s="746">
        <f t="shared" si="910"/>
        <v>199052.79999999999</v>
      </c>
      <c r="AF1445" s="746">
        <f t="shared" si="911"/>
        <v>0</v>
      </c>
      <c r="AG1445" s="759">
        <f t="shared" si="911"/>
        <v>0</v>
      </c>
      <c r="AH1445" s="711"/>
      <c r="AI1445" s="735"/>
    </row>
    <row r="1446" spans="1:35" x14ac:dyDescent="0.2">
      <c r="A1446" s="704"/>
      <c r="B1446" s="415"/>
      <c r="C1446" s="746"/>
      <c r="D1446" s="746"/>
      <c r="E1446" s="735"/>
      <c r="F1446" s="735"/>
      <c r="G1446" s="735"/>
      <c r="H1446" s="735"/>
      <c r="I1446" s="735"/>
      <c r="J1446" s="735"/>
      <c r="K1446" s="735"/>
      <c r="L1446" s="746"/>
      <c r="M1446" s="735"/>
      <c r="N1446" s="746"/>
      <c r="O1446" s="735"/>
      <c r="P1446" s="735"/>
      <c r="Q1446" s="711"/>
      <c r="R1446" s="746"/>
      <c r="S1446" s="746"/>
      <c r="T1446" s="746"/>
      <c r="U1446" s="746"/>
      <c r="V1446" s="746"/>
      <c r="W1446" s="746"/>
      <c r="X1446" s="746"/>
      <c r="Y1446" s="746"/>
      <c r="Z1446" s="746"/>
      <c r="AA1446" s="746"/>
      <c r="AB1446" s="746"/>
      <c r="AC1446" s="746"/>
      <c r="AD1446" s="746"/>
      <c r="AE1446" s="746"/>
      <c r="AF1446" s="746"/>
      <c r="AG1446" s="759"/>
      <c r="AH1446" s="711"/>
      <c r="AI1446" s="735"/>
    </row>
    <row r="1447" spans="1:35" x14ac:dyDescent="0.2">
      <c r="A1447" s="704"/>
      <c r="B1447" s="415"/>
      <c r="C1447" s="746"/>
      <c r="D1447" s="746"/>
      <c r="E1447" s="735"/>
      <c r="F1447" s="735"/>
      <c r="G1447" s="735"/>
      <c r="H1447" s="735"/>
      <c r="I1447" s="735"/>
      <c r="J1447" s="735"/>
      <c r="K1447" s="735"/>
      <c r="L1447" s="746"/>
      <c r="M1447" s="735"/>
      <c r="N1447" s="746"/>
      <c r="O1447" s="735"/>
      <c r="P1447" s="735"/>
      <c r="Q1447" s="711"/>
      <c r="R1447" s="735"/>
      <c r="S1447" s="735"/>
      <c r="T1447" s="735"/>
      <c r="U1447" s="735"/>
      <c r="V1447" s="735"/>
      <c r="W1447" s="735"/>
      <c r="X1447" s="735"/>
      <c r="Y1447" s="735"/>
      <c r="Z1447" s="735"/>
      <c r="AA1447" s="735"/>
      <c r="AB1447" s="735"/>
      <c r="AC1447" s="735"/>
      <c r="AD1447" s="735"/>
      <c r="AE1447" s="735"/>
      <c r="AF1447" s="746"/>
      <c r="AG1447" s="759"/>
      <c r="AH1447" s="711"/>
      <c r="AI1447" s="735"/>
    </row>
    <row r="1448" spans="1:35" x14ac:dyDescent="0.2">
      <c r="A1448" s="706" t="s">
        <v>169</v>
      </c>
      <c r="B1448" s="840">
        <f t="shared" ref="B1448" si="912">SUM(B1361:B1447)</f>
        <v>485</v>
      </c>
      <c r="C1448" s="761">
        <f t="shared" ref="C1448:P1448" si="913">SUM(C1361:C1447)</f>
        <v>160034.29999999999</v>
      </c>
      <c r="D1448" s="761">
        <f t="shared" si="913"/>
        <v>8798</v>
      </c>
      <c r="E1448" s="761">
        <f t="shared" si="913"/>
        <v>0</v>
      </c>
      <c r="F1448" s="761">
        <f t="shared" si="913"/>
        <v>0</v>
      </c>
      <c r="G1448" s="761">
        <f t="shared" si="913"/>
        <v>0</v>
      </c>
      <c r="H1448" s="761">
        <f t="shared" si="913"/>
        <v>0</v>
      </c>
      <c r="I1448" s="761">
        <f t="shared" si="913"/>
        <v>149128</v>
      </c>
      <c r="J1448" s="761">
        <f t="shared" si="913"/>
        <v>0</v>
      </c>
      <c r="K1448" s="761">
        <f t="shared" si="913"/>
        <v>317960.3</v>
      </c>
      <c r="L1448" s="761">
        <f t="shared" si="913"/>
        <v>79000</v>
      </c>
      <c r="M1448" s="761">
        <f t="shared" si="913"/>
        <v>0</v>
      </c>
      <c r="N1448" s="761">
        <f>SUM(N1363:N1447)</f>
        <v>79000</v>
      </c>
      <c r="O1448" s="761">
        <f t="shared" si="913"/>
        <v>3894523.5999999992</v>
      </c>
      <c r="P1448" s="761">
        <f t="shared" si="913"/>
        <v>22759684.040000003</v>
      </c>
      <c r="Q1448" s="840">
        <f>SUM(Q1361:Q1447)</f>
        <v>490</v>
      </c>
      <c r="R1448" s="841">
        <f t="shared" ref="R1448:AI1448" si="914">SUM(R1361:R1447)</f>
        <v>160034.29999999999</v>
      </c>
      <c r="S1448" s="841">
        <f t="shared" si="914"/>
        <v>8798</v>
      </c>
      <c r="T1448" s="841">
        <f t="shared" si="914"/>
        <v>0</v>
      </c>
      <c r="U1448" s="841">
        <f t="shared" si="914"/>
        <v>0</v>
      </c>
      <c r="V1448" s="841">
        <f t="shared" si="914"/>
        <v>0</v>
      </c>
      <c r="W1448" s="841">
        <f t="shared" si="914"/>
        <v>0</v>
      </c>
      <c r="X1448" s="841">
        <f t="shared" si="914"/>
        <v>149128</v>
      </c>
      <c r="Y1448" s="841">
        <f t="shared" si="914"/>
        <v>0</v>
      </c>
      <c r="Z1448" s="841">
        <f t="shared" si="914"/>
        <v>317960.3</v>
      </c>
      <c r="AA1448" s="841">
        <f t="shared" si="914"/>
        <v>79000</v>
      </c>
      <c r="AB1448" s="841">
        <f t="shared" si="914"/>
        <v>0</v>
      </c>
      <c r="AC1448" s="841">
        <f t="shared" si="914"/>
        <v>79000</v>
      </c>
      <c r="AD1448" s="841">
        <f t="shared" si="914"/>
        <v>3894523.5999999992</v>
      </c>
      <c r="AE1448" s="841">
        <f t="shared" si="914"/>
        <v>22959106.239999995</v>
      </c>
      <c r="AF1448" s="841">
        <f t="shared" si="914"/>
        <v>0</v>
      </c>
      <c r="AG1448" s="766">
        <f t="shared" si="914"/>
        <v>-199422.1999999999</v>
      </c>
      <c r="AH1448" s="766">
        <f t="shared" si="914"/>
        <v>0</v>
      </c>
      <c r="AI1448" s="841">
        <f t="shared" si="914"/>
        <v>0</v>
      </c>
    </row>
    <row r="1449" spans="1:35" x14ac:dyDescent="0.2">
      <c r="B1449" s="17"/>
      <c r="C1449" s="17"/>
      <c r="D1449" s="17"/>
      <c r="E1449" s="17"/>
      <c r="F1449" s="17"/>
      <c r="G1449" s="17"/>
      <c r="H1449" s="17"/>
      <c r="I1449" s="17"/>
      <c r="J1449" s="17"/>
      <c r="K1449" s="17"/>
      <c r="L1449" s="17"/>
      <c r="M1449" s="17"/>
      <c r="N1449" s="17"/>
      <c r="O1449" s="17"/>
      <c r="P1449" s="17"/>
      <c r="R1449" s="17"/>
      <c r="S1449" s="17"/>
      <c r="T1449" s="17"/>
      <c r="U1449" s="17"/>
      <c r="V1449" s="17"/>
      <c r="W1449" s="17"/>
      <c r="X1449" s="17"/>
      <c r="Y1449" s="17"/>
      <c r="Z1449" s="17"/>
      <c r="AA1449" s="17"/>
      <c r="AB1449" s="17"/>
      <c r="AC1449" s="17"/>
      <c r="AD1449" s="17"/>
      <c r="AE1449" s="17"/>
      <c r="AF1449" s="17"/>
      <c r="AG1449" s="17"/>
      <c r="AH1449" s="17"/>
      <c r="AI1449" s="17"/>
    </row>
    <row r="1450" spans="1:35" x14ac:dyDescent="0.2">
      <c r="B1450" s="17"/>
      <c r="C1450" s="17"/>
      <c r="D1450" s="17"/>
      <c r="E1450" s="17"/>
      <c r="F1450" s="17"/>
      <c r="G1450" s="17"/>
      <c r="H1450" s="17"/>
      <c r="I1450" s="17"/>
      <c r="J1450" s="17"/>
      <c r="K1450" s="17"/>
      <c r="L1450" s="17"/>
      <c r="M1450" s="17"/>
      <c r="N1450" s="17"/>
      <c r="O1450" s="17"/>
      <c r="P1450" s="17"/>
      <c r="R1450" s="17"/>
      <c r="S1450" s="17"/>
      <c r="T1450" s="17"/>
      <c r="U1450" s="17"/>
      <c r="V1450" s="17"/>
      <c r="W1450" s="17"/>
      <c r="X1450" s="17"/>
      <c r="Y1450" s="17"/>
      <c r="Z1450" s="17"/>
      <c r="AA1450" s="17"/>
      <c r="AB1450" s="17"/>
      <c r="AC1450" s="17"/>
      <c r="AD1450" s="17"/>
      <c r="AE1450" s="17"/>
      <c r="AF1450" s="17"/>
      <c r="AG1450" s="17"/>
      <c r="AH1450" s="17"/>
      <c r="AI1450" s="17"/>
    </row>
    <row r="1451" spans="1:35" x14ac:dyDescent="0.2">
      <c r="A1451" s="706" t="s">
        <v>930</v>
      </c>
      <c r="B1451" s="743"/>
      <c r="C1451" s="742"/>
      <c r="D1451" s="742"/>
      <c r="E1451" s="742"/>
      <c r="F1451" s="742"/>
      <c r="G1451" s="742"/>
      <c r="H1451" s="742"/>
      <c r="I1451" s="742"/>
      <c r="J1451" s="742"/>
      <c r="K1451" s="742"/>
      <c r="L1451" s="742"/>
      <c r="M1451" s="742"/>
      <c r="N1451" s="742"/>
      <c r="O1451" s="742"/>
      <c r="P1451" s="742"/>
      <c r="Q1451" s="712"/>
      <c r="R1451" s="742"/>
      <c r="S1451" s="742"/>
      <c r="T1451" s="742"/>
      <c r="U1451" s="742"/>
      <c r="V1451" s="742"/>
      <c r="W1451" s="742"/>
      <c r="X1451" s="742"/>
      <c r="Y1451" s="742"/>
      <c r="Z1451" s="742"/>
      <c r="AA1451" s="742"/>
      <c r="AB1451" s="742"/>
      <c r="AC1451" s="742"/>
      <c r="AD1451" s="742"/>
      <c r="AE1451" s="742"/>
      <c r="AF1451" s="742"/>
      <c r="AG1451" s="743"/>
      <c r="AH1451" s="743"/>
      <c r="AI1451" s="742"/>
    </row>
    <row r="1452" spans="1:35" x14ac:dyDescent="0.2">
      <c r="A1452" s="1485" t="s">
        <v>644</v>
      </c>
      <c r="B1452" s="1487" t="s">
        <v>645</v>
      </c>
      <c r="C1452" s="1487"/>
      <c r="D1452" s="1487"/>
      <c r="E1452" s="1487"/>
      <c r="F1452" s="1487"/>
      <c r="G1452" s="1487"/>
      <c r="H1452" s="1487"/>
      <c r="I1452" s="1487"/>
      <c r="J1452" s="1487"/>
      <c r="K1452" s="1487"/>
      <c r="L1452" s="1487"/>
      <c r="M1452" s="1487"/>
      <c r="N1452" s="1487"/>
      <c r="O1452" s="1487"/>
      <c r="P1452" s="1487"/>
      <c r="Q1452" s="1487" t="s">
        <v>646</v>
      </c>
      <c r="R1452" s="1487"/>
      <c r="S1452" s="1487"/>
      <c r="T1452" s="1487"/>
      <c r="U1452" s="1487"/>
      <c r="V1452" s="1487"/>
      <c r="W1452" s="1487"/>
      <c r="X1452" s="1487"/>
      <c r="Y1452" s="1487"/>
      <c r="Z1452" s="1487"/>
      <c r="AA1452" s="1487"/>
      <c r="AB1452" s="1487"/>
      <c r="AC1452" s="1487"/>
      <c r="AD1452" s="1487"/>
      <c r="AE1452" s="1487"/>
      <c r="AF1452" s="1487" t="s">
        <v>647</v>
      </c>
      <c r="AG1452" s="1487"/>
      <c r="AH1452" s="1487" t="s">
        <v>648</v>
      </c>
      <c r="AI1452" s="1487"/>
    </row>
    <row r="1453" spans="1:35" ht="120" customHeight="1" x14ac:dyDescent="0.2">
      <c r="A1453" s="1485"/>
      <c r="B1453" s="691" t="s">
        <v>649</v>
      </c>
      <c r="C1453" s="692" t="s">
        <v>650</v>
      </c>
      <c r="D1453" s="692" t="s">
        <v>684</v>
      </c>
      <c r="E1453" s="692" t="s">
        <v>652</v>
      </c>
      <c r="F1453" s="692" t="s">
        <v>653</v>
      </c>
      <c r="G1453" s="692" t="s">
        <v>654</v>
      </c>
      <c r="H1453" s="692" t="s">
        <v>655</v>
      </c>
      <c r="I1453" s="692" t="s">
        <v>656</v>
      </c>
      <c r="J1453" s="692" t="s">
        <v>657</v>
      </c>
      <c r="K1453" s="692" t="s">
        <v>658</v>
      </c>
      <c r="L1453" s="692" t="s">
        <v>659</v>
      </c>
      <c r="M1453" s="692" t="s">
        <v>660</v>
      </c>
      <c r="N1453" s="692" t="s">
        <v>661</v>
      </c>
      <c r="O1453" s="692" t="s">
        <v>662</v>
      </c>
      <c r="P1453" s="692" t="s">
        <v>685</v>
      </c>
      <c r="Q1453" s="691" t="s">
        <v>649</v>
      </c>
      <c r="R1453" s="692" t="s">
        <v>650</v>
      </c>
      <c r="S1453" s="692" t="s">
        <v>651</v>
      </c>
      <c r="T1453" s="692" t="s">
        <v>652</v>
      </c>
      <c r="U1453" s="692" t="s">
        <v>653</v>
      </c>
      <c r="V1453" s="692" t="s">
        <v>654</v>
      </c>
      <c r="W1453" s="692" t="s">
        <v>655</v>
      </c>
      <c r="X1453" s="692" t="s">
        <v>656</v>
      </c>
      <c r="Y1453" s="692" t="s">
        <v>657</v>
      </c>
      <c r="Z1453" s="692" t="s">
        <v>658</v>
      </c>
      <c r="AA1453" s="692" t="s">
        <v>659</v>
      </c>
      <c r="AB1453" s="692" t="s">
        <v>660</v>
      </c>
      <c r="AC1453" s="692" t="s">
        <v>661</v>
      </c>
      <c r="AD1453" s="692" t="s">
        <v>662</v>
      </c>
      <c r="AE1453" s="692" t="s">
        <v>686</v>
      </c>
      <c r="AF1453" s="692" t="s">
        <v>664</v>
      </c>
      <c r="AG1453" s="691" t="s">
        <v>665</v>
      </c>
      <c r="AH1453" s="691" t="s">
        <v>649</v>
      </c>
      <c r="AI1453" s="692" t="s">
        <v>687</v>
      </c>
    </row>
    <row r="1454" spans="1:35" x14ac:dyDescent="0.2">
      <c r="A1454" s="1486"/>
      <c r="B1454" s="555" t="s">
        <v>667</v>
      </c>
      <c r="C1454" s="733" t="s">
        <v>668</v>
      </c>
      <c r="D1454" s="733" t="s">
        <v>669</v>
      </c>
      <c r="E1454" s="733" t="s">
        <v>670</v>
      </c>
      <c r="F1454" s="734" t="s">
        <v>671</v>
      </c>
      <c r="G1454" s="734" t="s">
        <v>672</v>
      </c>
      <c r="H1454" s="734" t="s">
        <v>673</v>
      </c>
      <c r="I1454" s="734" t="s">
        <v>674</v>
      </c>
      <c r="J1454" s="734" t="s">
        <v>675</v>
      </c>
      <c r="K1454" s="734" t="s">
        <v>676</v>
      </c>
      <c r="L1454" s="734" t="s">
        <v>677</v>
      </c>
      <c r="M1454" s="734" t="s">
        <v>678</v>
      </c>
      <c r="N1454" s="734" t="s">
        <v>679</v>
      </c>
      <c r="O1454" s="734" t="s">
        <v>680</v>
      </c>
      <c r="P1454" s="734" t="s">
        <v>681</v>
      </c>
      <c r="Q1454" s="555" t="s">
        <v>667</v>
      </c>
      <c r="R1454" s="733" t="s">
        <v>668</v>
      </c>
      <c r="S1454" s="733" t="s">
        <v>669</v>
      </c>
      <c r="T1454" s="733" t="s">
        <v>670</v>
      </c>
      <c r="U1454" s="734" t="s">
        <v>671</v>
      </c>
      <c r="V1454" s="734" t="s">
        <v>672</v>
      </c>
      <c r="W1454" s="734" t="s">
        <v>673</v>
      </c>
      <c r="X1454" s="734" t="s">
        <v>674</v>
      </c>
      <c r="Y1454" s="734" t="s">
        <v>675</v>
      </c>
      <c r="Z1454" s="734" t="s">
        <v>676</v>
      </c>
      <c r="AA1454" s="734" t="s">
        <v>677</v>
      </c>
      <c r="AB1454" s="734" t="s">
        <v>678</v>
      </c>
      <c r="AC1454" s="734" t="s">
        <v>679</v>
      </c>
      <c r="AD1454" s="734" t="s">
        <v>680</v>
      </c>
      <c r="AE1454" s="734" t="s">
        <v>681</v>
      </c>
      <c r="AF1454" s="733"/>
      <c r="AG1454" s="555"/>
      <c r="AH1454" s="555"/>
      <c r="AI1454" s="733"/>
    </row>
    <row r="1455" spans="1:35" x14ac:dyDescent="0.2">
      <c r="A1455" s="704"/>
      <c r="B1455" s="711"/>
      <c r="C1455" s="735"/>
      <c r="D1455" s="735"/>
      <c r="E1455" s="735"/>
      <c r="F1455" s="735"/>
      <c r="G1455" s="735"/>
      <c r="H1455" s="735"/>
      <c r="I1455" s="735"/>
      <c r="J1455" s="735"/>
      <c r="K1455" s="735"/>
      <c r="L1455" s="735"/>
      <c r="M1455" s="735"/>
      <c r="N1455" s="735"/>
      <c r="O1455" s="735"/>
      <c r="P1455" s="735"/>
      <c r="Q1455" s="421"/>
      <c r="R1455" s="735"/>
      <c r="S1455" s="735"/>
      <c r="T1455" s="735"/>
      <c r="U1455" s="735"/>
      <c r="V1455" s="735"/>
      <c r="W1455" s="735"/>
      <c r="X1455" s="735"/>
      <c r="Y1455" s="735"/>
      <c r="Z1455" s="735"/>
      <c r="AA1455" s="735"/>
      <c r="AB1455" s="735"/>
      <c r="AC1455" s="735"/>
      <c r="AD1455" s="735"/>
      <c r="AE1455" s="842"/>
      <c r="AF1455" s="735"/>
      <c r="AG1455" s="711"/>
      <c r="AH1455" s="724"/>
      <c r="AI1455" s="735"/>
    </row>
    <row r="1456" spans="1:35" x14ac:dyDescent="0.2">
      <c r="A1456" s="878" t="s">
        <v>378</v>
      </c>
      <c r="B1456" s="711"/>
      <c r="C1456" s="735"/>
      <c r="D1456" s="735"/>
      <c r="E1456" s="735"/>
      <c r="F1456" s="735"/>
      <c r="G1456" s="735"/>
      <c r="H1456" s="735"/>
      <c r="I1456" s="735"/>
      <c r="J1456" s="735"/>
      <c r="K1456" s="735"/>
      <c r="L1456" s="735"/>
      <c r="M1456" s="735"/>
      <c r="N1456" s="735"/>
      <c r="O1456" s="735"/>
      <c r="P1456" s="735"/>
      <c r="Q1456" s="421"/>
      <c r="R1456" s="735"/>
      <c r="S1456" s="735"/>
      <c r="T1456" s="735"/>
      <c r="U1456" s="735"/>
      <c r="V1456" s="735"/>
      <c r="W1456" s="735"/>
      <c r="X1456" s="735"/>
      <c r="Y1456" s="735"/>
      <c r="Z1456" s="735"/>
      <c r="AA1456" s="735"/>
      <c r="AB1456" s="735"/>
      <c r="AC1456" s="735"/>
      <c r="AD1456" s="735"/>
      <c r="AE1456" s="842"/>
      <c r="AF1456" s="735"/>
      <c r="AG1456" s="711"/>
      <c r="AH1456" s="724"/>
      <c r="AI1456" s="735"/>
    </row>
    <row r="1457" spans="1:35" x14ac:dyDescent="0.2">
      <c r="A1457" s="879" t="s">
        <v>382</v>
      </c>
      <c r="B1457" s="711">
        <v>1</v>
      </c>
      <c r="C1457" s="735">
        <v>1399.6</v>
      </c>
      <c r="D1457" s="735">
        <v>5448</v>
      </c>
      <c r="E1457" s="735"/>
      <c r="F1457" s="735"/>
      <c r="G1457" s="735"/>
      <c r="H1457" s="735"/>
      <c r="I1457" s="735"/>
      <c r="J1457" s="735"/>
      <c r="K1457" s="735">
        <f>+C1457+D1457</f>
        <v>6847.6</v>
      </c>
      <c r="L1457" s="735">
        <v>1000</v>
      </c>
      <c r="M1457" s="735"/>
      <c r="N1457" s="735"/>
      <c r="O1457" s="735">
        <f>+K1457*12+L1457</f>
        <v>83171.200000000012</v>
      </c>
      <c r="P1457" s="843"/>
      <c r="Q1457" s="711">
        <v>1</v>
      </c>
      <c r="R1457" s="735">
        <v>1399.6</v>
      </c>
      <c r="S1457" s="735">
        <v>5448</v>
      </c>
      <c r="T1457" s="735"/>
      <c r="U1457" s="735"/>
      <c r="V1457" s="735"/>
      <c r="W1457" s="735"/>
      <c r="X1457" s="735"/>
      <c r="Y1457" s="735"/>
      <c r="Z1457" s="735">
        <f>+R1457+S1457</f>
        <v>6847.6</v>
      </c>
      <c r="AA1457" s="735">
        <v>1000</v>
      </c>
      <c r="AB1457" s="735"/>
      <c r="AC1457" s="735"/>
      <c r="AD1457" s="735">
        <f>+Z1457*12+AA1457</f>
        <v>83171.200000000012</v>
      </c>
      <c r="AE1457" s="842">
        <v>1</v>
      </c>
      <c r="AF1457" s="735"/>
      <c r="AG1457" s="711"/>
      <c r="AH1457" s="724">
        <v>1</v>
      </c>
      <c r="AI1457" s="735">
        <v>83171.200000000012</v>
      </c>
    </row>
    <row r="1458" spans="1:35" x14ac:dyDescent="0.2">
      <c r="A1458" s="879" t="s">
        <v>383</v>
      </c>
      <c r="B1458" s="711">
        <v>2</v>
      </c>
      <c r="C1458" s="735">
        <v>2680.56</v>
      </c>
      <c r="D1458" s="735">
        <v>9665.4</v>
      </c>
      <c r="E1458" s="735"/>
      <c r="F1458" s="735"/>
      <c r="G1458" s="735"/>
      <c r="H1458" s="735"/>
      <c r="I1458" s="735"/>
      <c r="J1458" s="735"/>
      <c r="K1458" s="735">
        <f t="shared" ref="K1458:K1459" si="915">+C1458+D1458</f>
        <v>12345.96</v>
      </c>
      <c r="L1458" s="735">
        <v>2000</v>
      </c>
      <c r="M1458" s="735"/>
      <c r="N1458" s="735"/>
      <c r="O1458" s="735">
        <f>+K1458*12+L1458</f>
        <v>150151.51999999999</v>
      </c>
      <c r="P1458" s="843"/>
      <c r="Q1458" s="711">
        <v>2</v>
      </c>
      <c r="R1458" s="735">
        <v>2680.56</v>
      </c>
      <c r="S1458" s="735">
        <v>9665.4</v>
      </c>
      <c r="T1458" s="735"/>
      <c r="U1458" s="735"/>
      <c r="V1458" s="735"/>
      <c r="W1458" s="735"/>
      <c r="X1458" s="735"/>
      <c r="Y1458" s="735"/>
      <c r="Z1458" s="735">
        <f t="shared" ref="Z1458:Z1459" si="916">+R1458+S1458</f>
        <v>12345.96</v>
      </c>
      <c r="AA1458" s="735">
        <v>2000</v>
      </c>
      <c r="AB1458" s="735"/>
      <c r="AC1458" s="735"/>
      <c r="AD1458" s="735">
        <f>+Z1458*12+AA1458</f>
        <v>150151.51999999999</v>
      </c>
      <c r="AE1458" s="842">
        <v>2</v>
      </c>
      <c r="AF1458" s="735"/>
      <c r="AG1458" s="711"/>
      <c r="AH1458" s="724">
        <v>2</v>
      </c>
      <c r="AI1458" s="735">
        <v>150151.51999999999</v>
      </c>
    </row>
    <row r="1459" spans="1:35" x14ac:dyDescent="0.2">
      <c r="A1459" s="879" t="s">
        <v>384</v>
      </c>
      <c r="B1459" s="711">
        <v>3</v>
      </c>
      <c r="C1459" s="735">
        <v>3314.7300000000005</v>
      </c>
      <c r="D1459" s="735">
        <v>11457</v>
      </c>
      <c r="E1459" s="735"/>
      <c r="F1459" s="735"/>
      <c r="G1459" s="735"/>
      <c r="H1459" s="735"/>
      <c r="I1459" s="735"/>
      <c r="J1459" s="735"/>
      <c r="K1459" s="735">
        <f t="shared" si="915"/>
        <v>14771.73</v>
      </c>
      <c r="L1459" s="735">
        <v>3000</v>
      </c>
      <c r="M1459" s="735"/>
      <c r="N1459" s="735"/>
      <c r="O1459" s="735">
        <f>+K1459*12+L1459</f>
        <v>180260.76</v>
      </c>
      <c r="P1459" s="843"/>
      <c r="Q1459" s="711">
        <v>3</v>
      </c>
      <c r="R1459" s="735">
        <v>3314.7300000000005</v>
      </c>
      <c r="S1459" s="735">
        <v>11457</v>
      </c>
      <c r="T1459" s="735"/>
      <c r="U1459" s="735"/>
      <c r="V1459" s="735"/>
      <c r="W1459" s="735"/>
      <c r="X1459" s="735"/>
      <c r="Y1459" s="735"/>
      <c r="Z1459" s="735">
        <f t="shared" si="916"/>
        <v>14771.73</v>
      </c>
      <c r="AA1459" s="735">
        <v>3000</v>
      </c>
      <c r="AB1459" s="735"/>
      <c r="AC1459" s="735"/>
      <c r="AD1459" s="735">
        <f>+Z1459*12+AA1459</f>
        <v>180260.76</v>
      </c>
      <c r="AE1459" s="842">
        <v>3</v>
      </c>
      <c r="AF1459" s="735"/>
      <c r="AG1459" s="711"/>
      <c r="AH1459" s="724">
        <v>3</v>
      </c>
      <c r="AI1459" s="735">
        <v>180260.76</v>
      </c>
    </row>
    <row r="1460" spans="1:35" x14ac:dyDescent="0.2">
      <c r="A1460" s="878" t="s">
        <v>385</v>
      </c>
      <c r="B1460" s="711"/>
      <c r="C1460" s="735"/>
      <c r="D1460" s="735"/>
      <c r="E1460" s="735"/>
      <c r="F1460" s="735"/>
      <c r="G1460" s="735"/>
      <c r="H1460" s="735"/>
      <c r="I1460" s="735"/>
      <c r="J1460" s="735"/>
      <c r="K1460" s="735"/>
      <c r="L1460" s="735"/>
      <c r="M1460" s="735"/>
      <c r="N1460" s="735"/>
      <c r="O1460" s="735"/>
      <c r="P1460" s="843"/>
      <c r="Q1460" s="711"/>
      <c r="R1460" s="735"/>
      <c r="S1460" s="735"/>
      <c r="T1460" s="735"/>
      <c r="U1460" s="735"/>
      <c r="V1460" s="735"/>
      <c r="W1460" s="735"/>
      <c r="X1460" s="735"/>
      <c r="Y1460" s="735"/>
      <c r="Z1460" s="735"/>
      <c r="AA1460" s="735"/>
      <c r="AB1460" s="735"/>
      <c r="AC1460" s="735"/>
      <c r="AD1460" s="735"/>
      <c r="AE1460" s="842"/>
      <c r="AF1460" s="735"/>
      <c r="AG1460" s="711"/>
      <c r="AH1460" s="724"/>
      <c r="AI1460" s="735"/>
    </row>
    <row r="1461" spans="1:35" x14ac:dyDescent="0.2">
      <c r="A1461" s="879" t="s">
        <v>408</v>
      </c>
      <c r="B1461" s="711">
        <v>1</v>
      </c>
      <c r="C1461" s="735">
        <v>4735</v>
      </c>
      <c r="D1461" s="735"/>
      <c r="E1461" s="735"/>
      <c r="F1461" s="735"/>
      <c r="G1461" s="735"/>
      <c r="H1461" s="735"/>
      <c r="I1461" s="735"/>
      <c r="J1461" s="735"/>
      <c r="K1461" s="735">
        <f>+C1461+D1461</f>
        <v>4735</v>
      </c>
      <c r="L1461" s="735">
        <v>1000</v>
      </c>
      <c r="M1461" s="735"/>
      <c r="N1461" s="735"/>
      <c r="O1461" s="735">
        <f>+K1461*12+L1461</f>
        <v>57820</v>
      </c>
      <c r="P1461" s="843"/>
      <c r="Q1461" s="711">
        <v>1</v>
      </c>
      <c r="R1461" s="735">
        <v>4735</v>
      </c>
      <c r="S1461" s="735"/>
      <c r="T1461" s="735"/>
      <c r="U1461" s="735"/>
      <c r="V1461" s="735"/>
      <c r="W1461" s="735"/>
      <c r="X1461" s="735"/>
      <c r="Y1461" s="735"/>
      <c r="Z1461" s="735">
        <f>+R1461+S1461</f>
        <v>4735</v>
      </c>
      <c r="AA1461" s="735">
        <v>1000</v>
      </c>
      <c r="AB1461" s="735"/>
      <c r="AC1461" s="735"/>
      <c r="AD1461" s="735">
        <f>+Z1461*12+AA1461</f>
        <v>57820</v>
      </c>
      <c r="AE1461" s="842">
        <v>1</v>
      </c>
      <c r="AF1461" s="735"/>
      <c r="AG1461" s="711"/>
      <c r="AH1461" s="724">
        <v>1</v>
      </c>
      <c r="AI1461" s="735">
        <v>57820</v>
      </c>
    </row>
    <row r="1462" spans="1:35" x14ac:dyDescent="0.2">
      <c r="A1462" s="878" t="s">
        <v>389</v>
      </c>
      <c r="B1462" s="711"/>
      <c r="C1462" s="735"/>
      <c r="D1462" s="735"/>
      <c r="E1462" s="735"/>
      <c r="F1462" s="735"/>
      <c r="G1462" s="735"/>
      <c r="H1462" s="735"/>
      <c r="I1462" s="735"/>
      <c r="J1462" s="735"/>
      <c r="K1462" s="735"/>
      <c r="L1462" s="735"/>
      <c r="M1462" s="735"/>
      <c r="N1462" s="735"/>
      <c r="O1462" s="735"/>
      <c r="P1462" s="843"/>
      <c r="Q1462" s="711"/>
      <c r="R1462" s="735"/>
      <c r="S1462" s="735"/>
      <c r="T1462" s="735"/>
      <c r="U1462" s="735"/>
      <c r="V1462" s="735"/>
      <c r="W1462" s="735"/>
      <c r="X1462" s="735"/>
      <c r="Y1462" s="735"/>
      <c r="Z1462" s="735"/>
      <c r="AA1462" s="735"/>
      <c r="AB1462" s="735"/>
      <c r="AC1462" s="735"/>
      <c r="AD1462" s="735"/>
      <c r="AE1462" s="842"/>
      <c r="AF1462" s="735"/>
      <c r="AG1462" s="711"/>
      <c r="AH1462" s="724"/>
      <c r="AI1462" s="735"/>
    </row>
    <row r="1463" spans="1:35" x14ac:dyDescent="0.2">
      <c r="A1463" s="879" t="s">
        <v>391</v>
      </c>
      <c r="B1463" s="711">
        <v>2</v>
      </c>
      <c r="C1463" s="735">
        <v>1722.4899999999998</v>
      </c>
      <c r="D1463" s="735">
        <v>4054.26</v>
      </c>
      <c r="E1463" s="735"/>
      <c r="F1463" s="735"/>
      <c r="G1463" s="735"/>
      <c r="H1463" s="735"/>
      <c r="I1463" s="735"/>
      <c r="J1463" s="735"/>
      <c r="K1463" s="735">
        <f>+C1463+D1463</f>
        <v>5776.75</v>
      </c>
      <c r="L1463" s="735">
        <v>2000</v>
      </c>
      <c r="M1463" s="735"/>
      <c r="N1463" s="735"/>
      <c r="O1463" s="735">
        <f>+K1463*12+L1463</f>
        <v>71321</v>
      </c>
      <c r="P1463" s="843"/>
      <c r="Q1463" s="711">
        <v>2</v>
      </c>
      <c r="R1463" s="735">
        <v>1722.4899999999998</v>
      </c>
      <c r="S1463" s="735">
        <v>4054.26</v>
      </c>
      <c r="T1463" s="735"/>
      <c r="U1463" s="735"/>
      <c r="V1463" s="735"/>
      <c r="W1463" s="735"/>
      <c r="X1463" s="735"/>
      <c r="Y1463" s="735"/>
      <c r="Z1463" s="735">
        <f>+R1463+S1463</f>
        <v>5776.75</v>
      </c>
      <c r="AA1463" s="735">
        <v>2000</v>
      </c>
      <c r="AB1463" s="735"/>
      <c r="AC1463" s="735"/>
      <c r="AD1463" s="735">
        <f>+Z1463*12+AA1463</f>
        <v>71321</v>
      </c>
      <c r="AE1463" s="842">
        <v>2</v>
      </c>
      <c r="AF1463" s="735"/>
      <c r="AG1463" s="711"/>
      <c r="AH1463" s="724">
        <v>2</v>
      </c>
      <c r="AI1463" s="735">
        <v>71321</v>
      </c>
    </row>
    <row r="1464" spans="1:35" x14ac:dyDescent="0.2">
      <c r="A1464" s="878" t="s">
        <v>393</v>
      </c>
      <c r="B1464" s="711"/>
      <c r="C1464" s="735"/>
      <c r="D1464" s="735"/>
      <c r="E1464" s="735"/>
      <c r="F1464" s="735"/>
      <c r="G1464" s="735"/>
      <c r="H1464" s="735"/>
      <c r="I1464" s="735"/>
      <c r="J1464" s="735"/>
      <c r="K1464" s="735"/>
      <c r="L1464" s="735"/>
      <c r="M1464" s="735"/>
      <c r="N1464" s="735"/>
      <c r="O1464" s="735"/>
      <c r="P1464" s="843"/>
      <c r="Q1464" s="711"/>
      <c r="R1464" s="735"/>
      <c r="S1464" s="735"/>
      <c r="T1464" s="735"/>
      <c r="U1464" s="735"/>
      <c r="V1464" s="735"/>
      <c r="W1464" s="735"/>
      <c r="X1464" s="735"/>
      <c r="Y1464" s="735"/>
      <c r="Z1464" s="735"/>
      <c r="AA1464" s="735"/>
      <c r="AB1464" s="735"/>
      <c r="AC1464" s="735"/>
      <c r="AD1464" s="735"/>
      <c r="AE1464" s="842"/>
      <c r="AF1464" s="735"/>
      <c r="AG1464" s="711"/>
      <c r="AH1464" s="724"/>
      <c r="AI1464" s="735"/>
    </row>
    <row r="1465" spans="1:35" x14ac:dyDescent="0.2">
      <c r="A1465" s="879" t="s">
        <v>410</v>
      </c>
      <c r="B1465" s="711"/>
      <c r="C1465" s="735"/>
      <c r="D1465" s="735"/>
      <c r="E1465" s="735"/>
      <c r="F1465" s="735"/>
      <c r="G1465" s="735"/>
      <c r="H1465" s="735"/>
      <c r="I1465" s="735"/>
      <c r="J1465" s="735"/>
      <c r="K1465" s="735"/>
      <c r="L1465" s="735"/>
      <c r="M1465" s="735"/>
      <c r="N1465" s="735"/>
      <c r="O1465" s="735"/>
      <c r="P1465" s="843"/>
      <c r="Q1465" s="711"/>
      <c r="R1465" s="735"/>
      <c r="S1465" s="735"/>
      <c r="T1465" s="735"/>
      <c r="U1465" s="735"/>
      <c r="V1465" s="735"/>
      <c r="W1465" s="735"/>
      <c r="X1465" s="735"/>
      <c r="Y1465" s="735"/>
      <c r="Z1465" s="735"/>
      <c r="AA1465" s="735"/>
      <c r="AB1465" s="735"/>
      <c r="AC1465" s="735"/>
      <c r="AD1465" s="735"/>
      <c r="AE1465" s="842"/>
      <c r="AF1465" s="735"/>
      <c r="AG1465" s="711"/>
      <c r="AH1465" s="724"/>
      <c r="AI1465" s="735"/>
    </row>
    <row r="1466" spans="1:35" ht="36" x14ac:dyDescent="0.2">
      <c r="A1466" s="878" t="s">
        <v>511</v>
      </c>
      <c r="B1466" s="711"/>
      <c r="C1466" s="735"/>
      <c r="D1466" s="735"/>
      <c r="E1466" s="735"/>
      <c r="F1466" s="735"/>
      <c r="G1466" s="735"/>
      <c r="H1466" s="735"/>
      <c r="I1466" s="735"/>
      <c r="J1466" s="735"/>
      <c r="K1466" s="735"/>
      <c r="L1466" s="735"/>
      <c r="M1466" s="735"/>
      <c r="N1466" s="735"/>
      <c r="O1466" s="735"/>
      <c r="P1466" s="843"/>
      <c r="Q1466" s="711"/>
      <c r="R1466" s="735"/>
      <c r="S1466" s="735"/>
      <c r="T1466" s="735"/>
      <c r="U1466" s="735"/>
      <c r="V1466" s="735"/>
      <c r="W1466" s="735"/>
      <c r="X1466" s="735"/>
      <c r="Y1466" s="735"/>
      <c r="Z1466" s="735"/>
      <c r="AA1466" s="735"/>
      <c r="AB1466" s="735"/>
      <c r="AC1466" s="735"/>
      <c r="AD1466" s="735"/>
      <c r="AE1466" s="842"/>
      <c r="AF1466" s="735"/>
      <c r="AG1466" s="711"/>
      <c r="AH1466" s="724"/>
      <c r="AI1466" s="735"/>
    </row>
    <row r="1467" spans="1:35" x14ac:dyDescent="0.2">
      <c r="A1467" s="878" t="s">
        <v>484</v>
      </c>
      <c r="B1467" s="711"/>
      <c r="C1467" s="735"/>
      <c r="D1467" s="735"/>
      <c r="E1467" s="735"/>
      <c r="F1467" s="735"/>
      <c r="G1467" s="735"/>
      <c r="H1467" s="735"/>
      <c r="I1467" s="735"/>
      <c r="J1467" s="735"/>
      <c r="K1467" s="735"/>
      <c r="L1467" s="735"/>
      <c r="M1467" s="735"/>
      <c r="N1467" s="735"/>
      <c r="O1467" s="735"/>
      <c r="P1467" s="843"/>
      <c r="Q1467" s="711"/>
      <c r="R1467" s="735"/>
      <c r="S1467" s="735"/>
      <c r="T1467" s="735"/>
      <c r="U1467" s="735"/>
      <c r="V1467" s="735"/>
      <c r="W1467" s="735"/>
      <c r="X1467" s="735"/>
      <c r="Y1467" s="735"/>
      <c r="Z1467" s="735"/>
      <c r="AA1467" s="735"/>
      <c r="AB1467" s="735"/>
      <c r="AC1467" s="735"/>
      <c r="AD1467" s="735"/>
      <c r="AE1467" s="842"/>
      <c r="AF1467" s="735"/>
      <c r="AG1467" s="711"/>
      <c r="AH1467" s="724"/>
      <c r="AI1467" s="735"/>
    </row>
    <row r="1468" spans="1:35" x14ac:dyDescent="0.2">
      <c r="A1468" s="879" t="s">
        <v>553</v>
      </c>
      <c r="B1468" s="711">
        <v>1</v>
      </c>
      <c r="C1468" s="735">
        <v>11972.34</v>
      </c>
      <c r="D1468" s="735"/>
      <c r="E1468" s="735"/>
      <c r="F1468" s="735"/>
      <c r="G1468" s="735"/>
      <c r="H1468" s="735"/>
      <c r="I1468" s="735"/>
      <c r="J1468" s="735"/>
      <c r="K1468" s="735">
        <f>+C1468</f>
        <v>11972.34</v>
      </c>
      <c r="L1468" s="735">
        <v>1000</v>
      </c>
      <c r="M1468" s="735"/>
      <c r="N1468" s="735"/>
      <c r="O1468" s="735">
        <f>+K1468*12+L1468</f>
        <v>144668.08000000002</v>
      </c>
      <c r="P1468" s="843"/>
      <c r="Q1468" s="711">
        <v>1</v>
      </c>
      <c r="R1468" s="735">
        <v>11972.34</v>
      </c>
      <c r="S1468" s="735"/>
      <c r="T1468" s="735"/>
      <c r="U1468" s="735"/>
      <c r="V1468" s="735"/>
      <c r="W1468" s="735"/>
      <c r="X1468" s="735"/>
      <c r="Y1468" s="735"/>
      <c r="Z1468" s="735">
        <f>+R1468</f>
        <v>11972.34</v>
      </c>
      <c r="AA1468" s="735">
        <v>1000</v>
      </c>
      <c r="AB1468" s="735"/>
      <c r="AC1468" s="735"/>
      <c r="AD1468" s="735">
        <f>+Z1468*12+AA1468</f>
        <v>144668.08000000002</v>
      </c>
      <c r="AE1468" s="842">
        <v>1</v>
      </c>
      <c r="AF1468" s="735"/>
      <c r="AG1468" s="711"/>
      <c r="AH1468" s="724">
        <v>1</v>
      </c>
      <c r="AI1468" s="735">
        <v>144668.08000000002</v>
      </c>
    </row>
    <row r="1469" spans="1:35" x14ac:dyDescent="0.2">
      <c r="A1469" s="879" t="s">
        <v>554</v>
      </c>
      <c r="B1469" s="711">
        <v>1</v>
      </c>
      <c r="C1469" s="735">
        <v>12096.76</v>
      </c>
      <c r="D1469" s="735"/>
      <c r="E1469" s="735"/>
      <c r="F1469" s="735"/>
      <c r="G1469" s="735"/>
      <c r="H1469" s="735"/>
      <c r="I1469" s="735"/>
      <c r="J1469" s="735"/>
      <c r="K1469" s="735">
        <f t="shared" ref="K1469:K1471" si="917">+C1469</f>
        <v>12096.76</v>
      </c>
      <c r="L1469" s="735">
        <v>1000</v>
      </c>
      <c r="M1469" s="735"/>
      <c r="N1469" s="735"/>
      <c r="O1469" s="735">
        <f>+K1469*12+L1469</f>
        <v>146161.12</v>
      </c>
      <c r="P1469" s="843"/>
      <c r="Q1469" s="711">
        <v>1</v>
      </c>
      <c r="R1469" s="735">
        <v>12096.76</v>
      </c>
      <c r="S1469" s="735"/>
      <c r="T1469" s="735"/>
      <c r="U1469" s="735"/>
      <c r="V1469" s="735"/>
      <c r="W1469" s="735"/>
      <c r="X1469" s="735"/>
      <c r="Y1469" s="735"/>
      <c r="Z1469" s="735">
        <f t="shared" ref="Z1469:Z1471" si="918">+R1469</f>
        <v>12096.76</v>
      </c>
      <c r="AA1469" s="735">
        <v>1000</v>
      </c>
      <c r="AB1469" s="735"/>
      <c r="AC1469" s="735"/>
      <c r="AD1469" s="735">
        <f>+Z1469*12+AA1469</f>
        <v>146161.12</v>
      </c>
      <c r="AE1469" s="842">
        <v>1</v>
      </c>
      <c r="AF1469" s="735"/>
      <c r="AG1469" s="711"/>
      <c r="AH1469" s="724">
        <v>1</v>
      </c>
      <c r="AI1469" s="735">
        <v>146161.12</v>
      </c>
    </row>
    <row r="1470" spans="1:35" x14ac:dyDescent="0.2">
      <c r="A1470" s="879" t="s">
        <v>555</v>
      </c>
      <c r="B1470" s="711">
        <v>2</v>
      </c>
      <c r="C1470" s="735">
        <v>20534.62</v>
      </c>
      <c r="D1470" s="735"/>
      <c r="E1470" s="735"/>
      <c r="F1470" s="735"/>
      <c r="G1470" s="735"/>
      <c r="H1470" s="735"/>
      <c r="I1470" s="735"/>
      <c r="J1470" s="735"/>
      <c r="K1470" s="735">
        <f t="shared" si="917"/>
        <v>20534.62</v>
      </c>
      <c r="L1470" s="735">
        <v>2000</v>
      </c>
      <c r="M1470" s="735"/>
      <c r="N1470" s="735"/>
      <c r="O1470" s="735">
        <f>+K1470*12+L1470</f>
        <v>248415.44</v>
      </c>
      <c r="P1470" s="843"/>
      <c r="Q1470" s="711">
        <v>2</v>
      </c>
      <c r="R1470" s="735">
        <v>20534.62</v>
      </c>
      <c r="S1470" s="735"/>
      <c r="T1470" s="735"/>
      <c r="U1470" s="735"/>
      <c r="V1470" s="735"/>
      <c r="W1470" s="735"/>
      <c r="X1470" s="735"/>
      <c r="Y1470" s="735"/>
      <c r="Z1470" s="735">
        <f t="shared" si="918"/>
        <v>20534.62</v>
      </c>
      <c r="AA1470" s="735">
        <v>2000</v>
      </c>
      <c r="AB1470" s="735"/>
      <c r="AC1470" s="735"/>
      <c r="AD1470" s="735">
        <f>+Z1470*12+AA1470</f>
        <v>248415.44</v>
      </c>
      <c r="AE1470" s="842">
        <v>2</v>
      </c>
      <c r="AF1470" s="735"/>
      <c r="AG1470" s="711"/>
      <c r="AH1470" s="724">
        <v>2</v>
      </c>
      <c r="AI1470" s="735">
        <v>248415.44</v>
      </c>
    </row>
    <row r="1471" spans="1:35" x14ac:dyDescent="0.2">
      <c r="A1471" s="879" t="s">
        <v>556</v>
      </c>
      <c r="B1471" s="711">
        <v>10</v>
      </c>
      <c r="C1471" s="735">
        <v>77674.23</v>
      </c>
      <c r="D1471" s="735"/>
      <c r="E1471" s="735"/>
      <c r="F1471" s="735"/>
      <c r="G1471" s="735"/>
      <c r="H1471" s="735"/>
      <c r="I1471" s="735"/>
      <c r="J1471" s="735"/>
      <c r="K1471" s="735">
        <f t="shared" si="917"/>
        <v>77674.23</v>
      </c>
      <c r="L1471" s="735">
        <v>10000</v>
      </c>
      <c r="M1471" s="735"/>
      <c r="N1471" s="735"/>
      <c r="O1471" s="735">
        <f>+K1471*12+L1471</f>
        <v>942090.76</v>
      </c>
      <c r="P1471" s="843"/>
      <c r="Q1471" s="711">
        <v>10</v>
      </c>
      <c r="R1471" s="735">
        <v>77674.23</v>
      </c>
      <c r="S1471" s="735"/>
      <c r="T1471" s="735"/>
      <c r="U1471" s="735"/>
      <c r="V1471" s="735"/>
      <c r="W1471" s="735"/>
      <c r="X1471" s="735"/>
      <c r="Y1471" s="735"/>
      <c r="Z1471" s="735">
        <f t="shared" si="918"/>
        <v>77674.23</v>
      </c>
      <c r="AA1471" s="735">
        <v>10000</v>
      </c>
      <c r="AB1471" s="735"/>
      <c r="AC1471" s="735"/>
      <c r="AD1471" s="735">
        <f>+Z1471*12+AA1471</f>
        <v>942090.76</v>
      </c>
      <c r="AE1471" s="842">
        <v>10</v>
      </c>
      <c r="AF1471" s="735"/>
      <c r="AG1471" s="711"/>
      <c r="AH1471" s="724">
        <v>10</v>
      </c>
      <c r="AI1471" s="735">
        <v>942090.76</v>
      </c>
    </row>
    <row r="1472" spans="1:35" x14ac:dyDescent="0.2">
      <c r="A1472" s="878" t="s">
        <v>516</v>
      </c>
      <c r="B1472" s="711"/>
      <c r="C1472" s="735"/>
      <c r="D1472" s="735"/>
      <c r="E1472" s="735"/>
      <c r="F1472" s="735"/>
      <c r="G1472" s="735"/>
      <c r="H1472" s="735"/>
      <c r="I1472" s="735"/>
      <c r="J1472" s="735"/>
      <c r="K1472" s="735"/>
      <c r="L1472" s="735"/>
      <c r="M1472" s="735"/>
      <c r="N1472" s="735"/>
      <c r="O1472" s="735"/>
      <c r="P1472" s="843"/>
      <c r="Q1472" s="711"/>
      <c r="R1472" s="735"/>
      <c r="S1472" s="735"/>
      <c r="T1472" s="735"/>
      <c r="U1472" s="735"/>
      <c r="V1472" s="735"/>
      <c r="W1472" s="735"/>
      <c r="X1472" s="735"/>
      <c r="Y1472" s="735"/>
      <c r="Z1472" s="735"/>
      <c r="AA1472" s="735"/>
      <c r="AB1472" s="735"/>
      <c r="AC1472" s="735"/>
      <c r="AD1472" s="735"/>
      <c r="AE1472" s="842"/>
      <c r="AF1472" s="735"/>
      <c r="AG1472" s="711"/>
      <c r="AH1472" s="724"/>
      <c r="AI1472" s="735"/>
    </row>
    <row r="1473" spans="1:35" x14ac:dyDescent="0.2">
      <c r="A1473" s="879" t="s">
        <v>557</v>
      </c>
      <c r="B1473" s="711">
        <v>2</v>
      </c>
      <c r="C1473" s="735">
        <v>14522</v>
      </c>
      <c r="D1473" s="735"/>
      <c r="E1473" s="735"/>
      <c r="F1473" s="735"/>
      <c r="G1473" s="735"/>
      <c r="H1473" s="735"/>
      <c r="I1473" s="735"/>
      <c r="J1473" s="735"/>
      <c r="K1473" s="735">
        <f t="shared" ref="K1473:K1474" si="919">+C1473</f>
        <v>14522</v>
      </c>
      <c r="L1473" s="735">
        <v>2000</v>
      </c>
      <c r="M1473" s="735"/>
      <c r="N1473" s="735"/>
      <c r="O1473" s="735">
        <f>+K1473*12+L1473</f>
        <v>176264</v>
      </c>
      <c r="P1473" s="843"/>
      <c r="Q1473" s="711">
        <v>2</v>
      </c>
      <c r="R1473" s="735">
        <v>14522</v>
      </c>
      <c r="S1473" s="735"/>
      <c r="T1473" s="735"/>
      <c r="U1473" s="735"/>
      <c r="V1473" s="735"/>
      <c r="W1473" s="735"/>
      <c r="X1473" s="735"/>
      <c r="Y1473" s="735"/>
      <c r="Z1473" s="735">
        <f t="shared" ref="Z1473:Z1474" si="920">+R1473</f>
        <v>14522</v>
      </c>
      <c r="AA1473" s="735">
        <v>2000</v>
      </c>
      <c r="AB1473" s="735"/>
      <c r="AC1473" s="735"/>
      <c r="AD1473" s="735">
        <f>+Z1473*12+AA1473</f>
        <v>176264</v>
      </c>
      <c r="AE1473" s="842">
        <v>2</v>
      </c>
      <c r="AF1473" s="735"/>
      <c r="AG1473" s="711"/>
      <c r="AH1473" s="724">
        <v>2</v>
      </c>
      <c r="AI1473" s="735">
        <v>176264</v>
      </c>
    </row>
    <row r="1474" spans="1:35" x14ac:dyDescent="0.2">
      <c r="A1474" s="879" t="s">
        <v>558</v>
      </c>
      <c r="B1474" s="711">
        <v>19</v>
      </c>
      <c r="C1474" s="735">
        <v>99590.99</v>
      </c>
      <c r="D1474" s="735"/>
      <c r="E1474" s="735"/>
      <c r="F1474" s="735"/>
      <c r="G1474" s="735"/>
      <c r="H1474" s="735"/>
      <c r="I1474" s="735"/>
      <c r="J1474" s="735"/>
      <c r="K1474" s="735">
        <f t="shared" si="919"/>
        <v>99590.99</v>
      </c>
      <c r="L1474" s="735">
        <v>19000</v>
      </c>
      <c r="M1474" s="735"/>
      <c r="N1474" s="735"/>
      <c r="O1474" s="735">
        <f>+K1474*12+L1474</f>
        <v>1214091.8800000001</v>
      </c>
      <c r="P1474" s="843"/>
      <c r="Q1474" s="711">
        <v>19</v>
      </c>
      <c r="R1474" s="735">
        <v>99590.99</v>
      </c>
      <c r="S1474" s="735"/>
      <c r="T1474" s="735"/>
      <c r="U1474" s="735"/>
      <c r="V1474" s="735"/>
      <c r="W1474" s="735"/>
      <c r="X1474" s="735"/>
      <c r="Y1474" s="735"/>
      <c r="Z1474" s="735">
        <f t="shared" si="920"/>
        <v>99590.99</v>
      </c>
      <c r="AA1474" s="735">
        <v>19000</v>
      </c>
      <c r="AB1474" s="735"/>
      <c r="AC1474" s="735"/>
      <c r="AD1474" s="735">
        <f>+Z1474*12+AA1474</f>
        <v>1214091.8800000001</v>
      </c>
      <c r="AE1474" s="842">
        <v>19</v>
      </c>
      <c r="AF1474" s="735"/>
      <c r="AG1474" s="711"/>
      <c r="AH1474" s="724">
        <v>19</v>
      </c>
      <c r="AI1474" s="735">
        <v>1214091.8800000001</v>
      </c>
    </row>
    <row r="1475" spans="1:35" x14ac:dyDescent="0.2">
      <c r="A1475" s="878" t="s">
        <v>517</v>
      </c>
      <c r="B1475" s="711"/>
      <c r="C1475" s="735"/>
      <c r="D1475" s="735"/>
      <c r="E1475" s="735"/>
      <c r="F1475" s="735"/>
      <c r="G1475" s="735"/>
      <c r="H1475" s="735"/>
      <c r="I1475" s="735"/>
      <c r="J1475" s="735"/>
      <c r="K1475" s="735"/>
      <c r="L1475" s="735"/>
      <c r="M1475" s="735"/>
      <c r="N1475" s="735"/>
      <c r="O1475" s="735"/>
      <c r="P1475" s="843"/>
      <c r="Q1475" s="711"/>
      <c r="R1475" s="735"/>
      <c r="S1475" s="735"/>
      <c r="T1475" s="735"/>
      <c r="U1475" s="735"/>
      <c r="V1475" s="735"/>
      <c r="W1475" s="735"/>
      <c r="X1475" s="735"/>
      <c r="Y1475" s="735"/>
      <c r="Z1475" s="735"/>
      <c r="AA1475" s="735"/>
      <c r="AB1475" s="735"/>
      <c r="AC1475" s="735"/>
      <c r="AD1475" s="735"/>
      <c r="AE1475" s="842"/>
      <c r="AF1475" s="735"/>
      <c r="AG1475" s="711"/>
      <c r="AH1475" s="724"/>
      <c r="AI1475" s="735"/>
    </row>
    <row r="1476" spans="1:35" x14ac:dyDescent="0.2">
      <c r="A1476" s="879">
        <v>13</v>
      </c>
      <c r="B1476" s="711">
        <v>1</v>
      </c>
      <c r="C1476" s="735">
        <v>7472</v>
      </c>
      <c r="D1476" s="735"/>
      <c r="E1476" s="735"/>
      <c r="F1476" s="735"/>
      <c r="G1476" s="735"/>
      <c r="H1476" s="735"/>
      <c r="I1476" s="735"/>
      <c r="J1476" s="735"/>
      <c r="K1476" s="735">
        <f t="shared" ref="K1476:K1478" si="921">+C1476</f>
        <v>7472</v>
      </c>
      <c r="L1476" s="735">
        <v>1000</v>
      </c>
      <c r="M1476" s="735"/>
      <c r="N1476" s="735"/>
      <c r="O1476" s="735">
        <f>+K1476*12+L1476</f>
        <v>90664</v>
      </c>
      <c r="P1476" s="843"/>
      <c r="Q1476" s="711">
        <v>1</v>
      </c>
      <c r="R1476" s="735">
        <v>7472</v>
      </c>
      <c r="S1476" s="735"/>
      <c r="T1476" s="735"/>
      <c r="U1476" s="735"/>
      <c r="V1476" s="735"/>
      <c r="W1476" s="735"/>
      <c r="X1476" s="735"/>
      <c r="Y1476" s="735"/>
      <c r="Z1476" s="735">
        <f t="shared" ref="Z1476:Z1478" si="922">+R1476</f>
        <v>7472</v>
      </c>
      <c r="AA1476" s="735">
        <v>1000</v>
      </c>
      <c r="AB1476" s="735"/>
      <c r="AC1476" s="735"/>
      <c r="AD1476" s="735">
        <f>+Z1476*12+AA1476</f>
        <v>90664</v>
      </c>
      <c r="AE1476" s="842">
        <v>1</v>
      </c>
      <c r="AF1476" s="735"/>
      <c r="AG1476" s="711"/>
      <c r="AH1476" s="724">
        <v>1</v>
      </c>
      <c r="AI1476" s="735">
        <v>90664</v>
      </c>
    </row>
    <row r="1477" spans="1:35" x14ac:dyDescent="0.2">
      <c r="A1477" s="879">
        <v>12</v>
      </c>
      <c r="B1477" s="711">
        <v>1</v>
      </c>
      <c r="C1477" s="735">
        <v>7180</v>
      </c>
      <c r="D1477" s="735"/>
      <c r="E1477" s="735"/>
      <c r="F1477" s="735"/>
      <c r="G1477" s="735"/>
      <c r="H1477" s="735"/>
      <c r="I1477" s="735"/>
      <c r="J1477" s="735"/>
      <c r="K1477" s="735">
        <f t="shared" si="921"/>
        <v>7180</v>
      </c>
      <c r="L1477" s="735">
        <v>1000</v>
      </c>
      <c r="M1477" s="735"/>
      <c r="N1477" s="735"/>
      <c r="O1477" s="735">
        <f>+K1477*12+L1477</f>
        <v>87160</v>
      </c>
      <c r="P1477" s="843"/>
      <c r="Q1477" s="711">
        <v>1</v>
      </c>
      <c r="R1477" s="735">
        <v>7180</v>
      </c>
      <c r="S1477" s="735"/>
      <c r="T1477" s="735"/>
      <c r="U1477" s="735"/>
      <c r="V1477" s="735"/>
      <c r="W1477" s="735"/>
      <c r="X1477" s="735"/>
      <c r="Y1477" s="735"/>
      <c r="Z1477" s="735">
        <f t="shared" si="922"/>
        <v>7180</v>
      </c>
      <c r="AA1477" s="735">
        <v>1000</v>
      </c>
      <c r="AB1477" s="735"/>
      <c r="AC1477" s="735"/>
      <c r="AD1477" s="735">
        <f>+Z1477*12+AA1477</f>
        <v>87160</v>
      </c>
      <c r="AE1477" s="842">
        <v>1</v>
      </c>
      <c r="AF1477" s="735"/>
      <c r="AG1477" s="711"/>
      <c r="AH1477" s="724">
        <v>1</v>
      </c>
      <c r="AI1477" s="735">
        <v>87160</v>
      </c>
    </row>
    <row r="1478" spans="1:35" x14ac:dyDescent="0.2">
      <c r="A1478" s="879">
        <v>10</v>
      </c>
      <c r="B1478" s="711">
        <v>18</v>
      </c>
      <c r="C1478" s="735">
        <v>93181.43</v>
      </c>
      <c r="D1478" s="735"/>
      <c r="E1478" s="735"/>
      <c r="F1478" s="735"/>
      <c r="G1478" s="735"/>
      <c r="H1478" s="735"/>
      <c r="I1478" s="735"/>
      <c r="J1478" s="735"/>
      <c r="K1478" s="735">
        <f t="shared" si="921"/>
        <v>93181.43</v>
      </c>
      <c r="L1478" s="735">
        <v>18000</v>
      </c>
      <c r="M1478" s="735"/>
      <c r="N1478" s="735"/>
      <c r="O1478" s="735">
        <f>+K1478*12+L1478</f>
        <v>1136177.1599999999</v>
      </c>
      <c r="P1478" s="843"/>
      <c r="Q1478" s="711">
        <v>18</v>
      </c>
      <c r="R1478" s="735">
        <v>93181.43</v>
      </c>
      <c r="S1478" s="735"/>
      <c r="T1478" s="735"/>
      <c r="U1478" s="735"/>
      <c r="V1478" s="735"/>
      <c r="W1478" s="735"/>
      <c r="X1478" s="735"/>
      <c r="Y1478" s="735"/>
      <c r="Z1478" s="735">
        <f t="shared" si="922"/>
        <v>93181.43</v>
      </c>
      <c r="AA1478" s="735">
        <v>18000</v>
      </c>
      <c r="AB1478" s="735"/>
      <c r="AC1478" s="735"/>
      <c r="AD1478" s="735">
        <f>+Z1478*12+AA1478</f>
        <v>1136177.1599999999</v>
      </c>
      <c r="AE1478" s="842">
        <v>18</v>
      </c>
      <c r="AF1478" s="735"/>
      <c r="AG1478" s="711"/>
      <c r="AH1478" s="724">
        <v>18</v>
      </c>
      <c r="AI1478" s="735">
        <v>1136177.1599999999</v>
      </c>
    </row>
    <row r="1479" spans="1:35" ht="24" x14ac:dyDescent="0.2">
      <c r="A1479" s="878" t="s">
        <v>518</v>
      </c>
      <c r="B1479" s="711"/>
      <c r="C1479" s="735"/>
      <c r="D1479" s="735"/>
      <c r="E1479" s="735"/>
      <c r="F1479" s="735"/>
      <c r="G1479" s="735"/>
      <c r="H1479" s="735"/>
      <c r="I1479" s="735"/>
      <c r="J1479" s="735"/>
      <c r="K1479" s="735"/>
      <c r="L1479" s="735"/>
      <c r="M1479" s="735"/>
      <c r="N1479" s="735"/>
      <c r="O1479" s="735"/>
      <c r="P1479" s="843"/>
      <c r="Q1479" s="711"/>
      <c r="R1479" s="735"/>
      <c r="S1479" s="735"/>
      <c r="T1479" s="735"/>
      <c r="U1479" s="735"/>
      <c r="V1479" s="735"/>
      <c r="W1479" s="735"/>
      <c r="X1479" s="735"/>
      <c r="Y1479" s="735"/>
      <c r="Z1479" s="735"/>
      <c r="AA1479" s="735"/>
      <c r="AB1479" s="735"/>
      <c r="AC1479" s="735"/>
      <c r="AD1479" s="735"/>
      <c r="AE1479" s="842"/>
      <c r="AF1479" s="735"/>
      <c r="AG1479" s="711"/>
      <c r="AH1479" s="724"/>
      <c r="AI1479" s="735"/>
    </row>
    <row r="1480" spans="1:35" x14ac:dyDescent="0.2">
      <c r="A1480" s="878" t="s">
        <v>471</v>
      </c>
      <c r="B1480" s="711"/>
      <c r="C1480" s="735"/>
      <c r="D1480" s="735"/>
      <c r="E1480" s="735"/>
      <c r="F1480" s="735"/>
      <c r="G1480" s="735"/>
      <c r="H1480" s="735"/>
      <c r="I1480" s="735"/>
      <c r="J1480" s="735"/>
      <c r="K1480" s="735"/>
      <c r="L1480" s="735"/>
      <c r="M1480" s="735"/>
      <c r="N1480" s="735"/>
      <c r="O1480" s="735"/>
      <c r="P1480" s="843"/>
      <c r="Q1480" s="711"/>
      <c r="R1480" s="735"/>
      <c r="S1480" s="735"/>
      <c r="T1480" s="735"/>
      <c r="U1480" s="735"/>
      <c r="V1480" s="735"/>
      <c r="W1480" s="735"/>
      <c r="X1480" s="735"/>
      <c r="Y1480" s="735"/>
      <c r="Z1480" s="735"/>
      <c r="AA1480" s="735"/>
      <c r="AB1480" s="735"/>
      <c r="AC1480" s="735"/>
      <c r="AD1480" s="735"/>
      <c r="AE1480" s="842"/>
      <c r="AF1480" s="735"/>
      <c r="AG1480" s="711"/>
      <c r="AH1480" s="724"/>
      <c r="AI1480" s="735"/>
    </row>
    <row r="1481" spans="1:35" x14ac:dyDescent="0.2">
      <c r="A1481" s="879" t="s">
        <v>559</v>
      </c>
      <c r="B1481" s="711">
        <v>1</v>
      </c>
      <c r="C1481" s="735">
        <v>6515</v>
      </c>
      <c r="D1481" s="735"/>
      <c r="E1481" s="735"/>
      <c r="F1481" s="735"/>
      <c r="G1481" s="735"/>
      <c r="H1481" s="735"/>
      <c r="I1481" s="735"/>
      <c r="J1481" s="735"/>
      <c r="K1481" s="735">
        <f t="shared" ref="K1481:K1482" si="923">+C1481</f>
        <v>6515</v>
      </c>
      <c r="L1481" s="735">
        <v>1000</v>
      </c>
      <c r="M1481" s="735"/>
      <c r="N1481" s="735"/>
      <c r="O1481" s="735">
        <f>+K1481*12+L1481</f>
        <v>79180</v>
      </c>
      <c r="P1481" s="843"/>
      <c r="Q1481" s="711">
        <v>1</v>
      </c>
      <c r="R1481" s="735">
        <v>6515</v>
      </c>
      <c r="S1481" s="735"/>
      <c r="T1481" s="735"/>
      <c r="U1481" s="735"/>
      <c r="V1481" s="735"/>
      <c r="W1481" s="735"/>
      <c r="X1481" s="735"/>
      <c r="Y1481" s="735"/>
      <c r="Z1481" s="735">
        <f t="shared" ref="Z1481:Z1482" si="924">+R1481</f>
        <v>6515</v>
      </c>
      <c r="AA1481" s="735">
        <v>1000</v>
      </c>
      <c r="AB1481" s="735"/>
      <c r="AC1481" s="735"/>
      <c r="AD1481" s="735">
        <f>+Z1481*12+AA1481</f>
        <v>79180</v>
      </c>
      <c r="AE1481" s="842">
        <v>1</v>
      </c>
      <c r="AF1481" s="735"/>
      <c r="AG1481" s="711"/>
      <c r="AH1481" s="724">
        <v>1</v>
      </c>
      <c r="AI1481" s="735">
        <v>79180</v>
      </c>
    </row>
    <row r="1482" spans="1:35" x14ac:dyDescent="0.2">
      <c r="A1482" s="879" t="s">
        <v>560</v>
      </c>
      <c r="B1482" s="711">
        <v>2</v>
      </c>
      <c r="C1482" s="735">
        <v>9196.76</v>
      </c>
      <c r="D1482" s="735"/>
      <c r="E1482" s="735"/>
      <c r="F1482" s="735"/>
      <c r="G1482" s="735"/>
      <c r="H1482" s="735"/>
      <c r="I1482" s="735"/>
      <c r="J1482" s="735"/>
      <c r="K1482" s="735">
        <f t="shared" si="923"/>
        <v>9196.76</v>
      </c>
      <c r="L1482" s="735">
        <v>2000</v>
      </c>
      <c r="M1482" s="735"/>
      <c r="N1482" s="735"/>
      <c r="O1482" s="735">
        <f>+K1482*12+L1482</f>
        <v>112361.12</v>
      </c>
      <c r="P1482" s="843"/>
      <c r="Q1482" s="711">
        <v>2</v>
      </c>
      <c r="R1482" s="735">
        <v>9196.76</v>
      </c>
      <c r="S1482" s="735"/>
      <c r="T1482" s="735"/>
      <c r="U1482" s="735"/>
      <c r="V1482" s="735"/>
      <c r="W1482" s="735"/>
      <c r="X1482" s="735"/>
      <c r="Y1482" s="735"/>
      <c r="Z1482" s="735">
        <f t="shared" si="924"/>
        <v>9196.76</v>
      </c>
      <c r="AA1482" s="735">
        <v>2000</v>
      </c>
      <c r="AB1482" s="735"/>
      <c r="AC1482" s="735"/>
      <c r="AD1482" s="735">
        <f>+Z1482*12+AA1482</f>
        <v>112361.12</v>
      </c>
      <c r="AE1482" s="842">
        <v>2</v>
      </c>
      <c r="AF1482" s="735"/>
      <c r="AG1482" s="711"/>
      <c r="AH1482" s="724">
        <v>2</v>
      </c>
      <c r="AI1482" s="735">
        <v>112361.12</v>
      </c>
    </row>
    <row r="1483" spans="1:35" x14ac:dyDescent="0.2">
      <c r="A1483" s="878" t="s">
        <v>561</v>
      </c>
      <c r="B1483" s="711"/>
      <c r="C1483" s="735"/>
      <c r="D1483" s="735"/>
      <c r="E1483" s="735"/>
      <c r="F1483" s="735"/>
      <c r="G1483" s="735"/>
      <c r="H1483" s="735"/>
      <c r="I1483" s="735"/>
      <c r="J1483" s="735"/>
      <c r="K1483" s="735"/>
      <c r="L1483" s="735"/>
      <c r="M1483" s="735"/>
      <c r="N1483" s="735"/>
      <c r="O1483" s="735"/>
      <c r="P1483" s="843"/>
      <c r="Q1483" s="711"/>
      <c r="R1483" s="735"/>
      <c r="S1483" s="735"/>
      <c r="T1483" s="735"/>
      <c r="U1483" s="735"/>
      <c r="V1483" s="735"/>
      <c r="W1483" s="735"/>
      <c r="X1483" s="735"/>
      <c r="Y1483" s="735"/>
      <c r="Z1483" s="735"/>
      <c r="AA1483" s="735"/>
      <c r="AB1483" s="735"/>
      <c r="AC1483" s="735"/>
      <c r="AD1483" s="735"/>
      <c r="AE1483" s="842"/>
      <c r="AF1483" s="735"/>
      <c r="AG1483" s="711"/>
      <c r="AH1483" s="724"/>
      <c r="AI1483" s="735"/>
    </row>
    <row r="1484" spans="1:35" x14ac:dyDescent="0.2">
      <c r="A1484" s="879" t="s">
        <v>562</v>
      </c>
      <c r="B1484" s="711">
        <v>4</v>
      </c>
      <c r="C1484" s="735">
        <v>20481.78</v>
      </c>
      <c r="D1484" s="735"/>
      <c r="E1484" s="735"/>
      <c r="F1484" s="735"/>
      <c r="G1484" s="735"/>
      <c r="H1484" s="735"/>
      <c r="I1484" s="735"/>
      <c r="J1484" s="735"/>
      <c r="K1484" s="735">
        <f t="shared" ref="K1484" si="925">+C1484</f>
        <v>20481.78</v>
      </c>
      <c r="L1484" s="735">
        <v>4000</v>
      </c>
      <c r="M1484" s="735"/>
      <c r="N1484" s="735"/>
      <c r="O1484" s="735">
        <f>+K1484*12+L1484</f>
        <v>249781.36</v>
      </c>
      <c r="P1484" s="843"/>
      <c r="Q1484" s="711">
        <v>4</v>
      </c>
      <c r="R1484" s="735">
        <v>20481.78</v>
      </c>
      <c r="S1484" s="735"/>
      <c r="T1484" s="735"/>
      <c r="U1484" s="735"/>
      <c r="V1484" s="735"/>
      <c r="W1484" s="735"/>
      <c r="X1484" s="735"/>
      <c r="Y1484" s="735"/>
      <c r="Z1484" s="735">
        <f t="shared" ref="Z1484" si="926">+R1484</f>
        <v>20481.78</v>
      </c>
      <c r="AA1484" s="735">
        <v>4000</v>
      </c>
      <c r="AB1484" s="735"/>
      <c r="AC1484" s="735"/>
      <c r="AD1484" s="735">
        <f>+Z1484*12+AA1484</f>
        <v>249781.36</v>
      </c>
      <c r="AE1484" s="842">
        <v>4</v>
      </c>
      <c r="AF1484" s="735"/>
      <c r="AG1484" s="711"/>
      <c r="AH1484" s="724">
        <v>4</v>
      </c>
      <c r="AI1484" s="735">
        <v>249781.36</v>
      </c>
    </row>
    <row r="1485" spans="1:35" x14ac:dyDescent="0.2">
      <c r="A1485" s="878" t="s">
        <v>486</v>
      </c>
      <c r="B1485" s="711"/>
      <c r="C1485" s="735"/>
      <c r="D1485" s="735"/>
      <c r="E1485" s="735"/>
      <c r="F1485" s="735"/>
      <c r="G1485" s="735"/>
      <c r="H1485" s="735"/>
      <c r="I1485" s="735"/>
      <c r="J1485" s="735"/>
      <c r="K1485" s="735"/>
      <c r="L1485" s="735"/>
      <c r="M1485" s="735"/>
      <c r="N1485" s="735"/>
      <c r="O1485" s="735"/>
      <c r="P1485" s="843"/>
      <c r="Q1485" s="711"/>
      <c r="R1485" s="735"/>
      <c r="S1485" s="735"/>
      <c r="T1485" s="735"/>
      <c r="U1485" s="735"/>
      <c r="V1485" s="735"/>
      <c r="W1485" s="735"/>
      <c r="X1485" s="735"/>
      <c r="Y1485" s="735"/>
      <c r="Z1485" s="735"/>
      <c r="AA1485" s="735"/>
      <c r="AB1485" s="735"/>
      <c r="AC1485" s="735"/>
      <c r="AD1485" s="735"/>
      <c r="AE1485" s="842"/>
      <c r="AF1485" s="735"/>
      <c r="AG1485" s="711"/>
      <c r="AH1485" s="724"/>
      <c r="AI1485" s="735"/>
    </row>
    <row r="1486" spans="1:35" x14ac:dyDescent="0.2">
      <c r="A1486" s="879" t="s">
        <v>563</v>
      </c>
      <c r="B1486" s="711">
        <v>1</v>
      </c>
      <c r="C1486" s="735">
        <v>6515</v>
      </c>
      <c r="D1486" s="735"/>
      <c r="E1486" s="735"/>
      <c r="F1486" s="735"/>
      <c r="G1486" s="735"/>
      <c r="H1486" s="735"/>
      <c r="I1486" s="735"/>
      <c r="J1486" s="735"/>
      <c r="K1486" s="735">
        <f>+C1486</f>
        <v>6515</v>
      </c>
      <c r="L1486" s="735">
        <v>1000</v>
      </c>
      <c r="M1486" s="735"/>
      <c r="N1486" s="735"/>
      <c r="O1486" s="735">
        <f>+K1486*12+L1486</f>
        <v>79180</v>
      </c>
      <c r="P1486" s="843"/>
      <c r="Q1486" s="711">
        <v>1</v>
      </c>
      <c r="R1486" s="735">
        <v>6515</v>
      </c>
      <c r="S1486" s="735"/>
      <c r="T1486" s="735"/>
      <c r="U1486" s="735"/>
      <c r="V1486" s="735"/>
      <c r="W1486" s="735"/>
      <c r="X1486" s="735"/>
      <c r="Y1486" s="735"/>
      <c r="Z1486" s="735">
        <f>+R1486</f>
        <v>6515</v>
      </c>
      <c r="AA1486" s="735">
        <v>1000</v>
      </c>
      <c r="AB1486" s="735"/>
      <c r="AC1486" s="735"/>
      <c r="AD1486" s="735">
        <f>+Z1486*12+AA1486</f>
        <v>79180</v>
      </c>
      <c r="AE1486" s="842">
        <v>1</v>
      </c>
      <c r="AF1486" s="735"/>
      <c r="AG1486" s="711"/>
      <c r="AH1486" s="724">
        <v>1</v>
      </c>
      <c r="AI1486" s="735">
        <v>79180</v>
      </c>
    </row>
    <row r="1487" spans="1:35" x14ac:dyDescent="0.2">
      <c r="A1487" s="878" t="s">
        <v>564</v>
      </c>
      <c r="B1487" s="711"/>
      <c r="C1487" s="735"/>
      <c r="D1487" s="735"/>
      <c r="E1487" s="735"/>
      <c r="F1487" s="735"/>
      <c r="G1487" s="735"/>
      <c r="H1487" s="735"/>
      <c r="I1487" s="735"/>
      <c r="J1487" s="735"/>
      <c r="K1487" s="735"/>
      <c r="L1487" s="735"/>
      <c r="M1487" s="735"/>
      <c r="N1487" s="735"/>
      <c r="O1487" s="735"/>
      <c r="P1487" s="843"/>
      <c r="Q1487" s="711"/>
      <c r="R1487" s="735"/>
      <c r="S1487" s="735"/>
      <c r="T1487" s="735"/>
      <c r="U1487" s="735"/>
      <c r="V1487" s="735"/>
      <c r="W1487" s="735"/>
      <c r="X1487" s="735"/>
      <c r="Y1487" s="735"/>
      <c r="Z1487" s="735"/>
      <c r="AA1487" s="735"/>
      <c r="AB1487" s="735"/>
      <c r="AC1487" s="735"/>
      <c r="AD1487" s="735"/>
      <c r="AE1487" s="842"/>
      <c r="AF1487" s="735"/>
      <c r="AG1487" s="711"/>
      <c r="AH1487" s="724"/>
      <c r="AI1487" s="735"/>
    </row>
    <row r="1488" spans="1:35" x14ac:dyDescent="0.2">
      <c r="A1488" s="879" t="s">
        <v>565</v>
      </c>
      <c r="B1488" s="711">
        <v>1</v>
      </c>
      <c r="C1488" s="735">
        <v>4598.38</v>
      </c>
      <c r="D1488" s="735"/>
      <c r="E1488" s="735"/>
      <c r="F1488" s="735"/>
      <c r="G1488" s="735"/>
      <c r="H1488" s="735"/>
      <c r="I1488" s="735"/>
      <c r="J1488" s="735"/>
      <c r="K1488" s="735">
        <f>+C1488</f>
        <v>4598.38</v>
      </c>
      <c r="L1488" s="735">
        <v>1000</v>
      </c>
      <c r="M1488" s="735"/>
      <c r="N1488" s="735"/>
      <c r="O1488" s="735">
        <f>+K1488*12+L1488</f>
        <v>56180.56</v>
      </c>
      <c r="P1488" s="843"/>
      <c r="Q1488" s="711">
        <v>1</v>
      </c>
      <c r="R1488" s="735">
        <v>4598.38</v>
      </c>
      <c r="S1488" s="735"/>
      <c r="T1488" s="735"/>
      <c r="U1488" s="735"/>
      <c r="V1488" s="735"/>
      <c r="W1488" s="735"/>
      <c r="X1488" s="735"/>
      <c r="Y1488" s="735"/>
      <c r="Z1488" s="735">
        <f>+R1488</f>
        <v>4598.38</v>
      </c>
      <c r="AA1488" s="735">
        <v>1000</v>
      </c>
      <c r="AB1488" s="735"/>
      <c r="AC1488" s="735"/>
      <c r="AD1488" s="735">
        <f>+Z1488*12+AA1488</f>
        <v>56180.56</v>
      </c>
      <c r="AE1488" s="842">
        <v>1</v>
      </c>
      <c r="AF1488" s="735"/>
      <c r="AG1488" s="711"/>
      <c r="AH1488" s="724">
        <v>1</v>
      </c>
      <c r="AI1488" s="735">
        <v>56180.56</v>
      </c>
    </row>
    <row r="1489" spans="1:35" x14ac:dyDescent="0.2">
      <c r="A1489" s="878" t="s">
        <v>566</v>
      </c>
      <c r="B1489" s="711"/>
      <c r="C1489" s="735"/>
      <c r="D1489" s="735"/>
      <c r="E1489" s="735"/>
      <c r="F1489" s="735"/>
      <c r="G1489" s="735"/>
      <c r="H1489" s="735"/>
      <c r="I1489" s="735"/>
      <c r="J1489" s="735"/>
      <c r="K1489" s="735"/>
      <c r="L1489" s="735"/>
      <c r="M1489" s="735"/>
      <c r="N1489" s="735"/>
      <c r="O1489" s="735"/>
      <c r="P1489" s="843"/>
      <c r="Q1489" s="711"/>
      <c r="R1489" s="735"/>
      <c r="S1489" s="735"/>
      <c r="T1489" s="735"/>
      <c r="U1489" s="735"/>
      <c r="V1489" s="735"/>
      <c r="W1489" s="735"/>
      <c r="X1489" s="735"/>
      <c r="Y1489" s="735"/>
      <c r="Z1489" s="735"/>
      <c r="AA1489" s="735"/>
      <c r="AB1489" s="735"/>
      <c r="AC1489" s="735"/>
      <c r="AD1489" s="735"/>
      <c r="AE1489" s="842"/>
      <c r="AF1489" s="735"/>
      <c r="AG1489" s="711"/>
      <c r="AH1489" s="724"/>
      <c r="AI1489" s="735"/>
    </row>
    <row r="1490" spans="1:35" x14ac:dyDescent="0.2">
      <c r="A1490" s="879" t="s">
        <v>567</v>
      </c>
      <c r="B1490" s="711"/>
      <c r="C1490" s="735"/>
      <c r="D1490" s="735"/>
      <c r="E1490" s="735"/>
      <c r="F1490" s="735"/>
      <c r="G1490" s="735"/>
      <c r="H1490" s="735"/>
      <c r="I1490" s="735"/>
      <c r="J1490" s="735"/>
      <c r="K1490" s="735"/>
      <c r="L1490" s="735"/>
      <c r="M1490" s="735"/>
      <c r="N1490" s="735"/>
      <c r="O1490" s="735"/>
      <c r="P1490" s="843"/>
      <c r="Q1490" s="711"/>
      <c r="R1490" s="735"/>
      <c r="S1490" s="735"/>
      <c r="T1490" s="735"/>
      <c r="U1490" s="735"/>
      <c r="V1490" s="735"/>
      <c r="W1490" s="735"/>
      <c r="X1490" s="735"/>
      <c r="Y1490" s="735"/>
      <c r="Z1490" s="735"/>
      <c r="AA1490" s="735"/>
      <c r="AB1490" s="735"/>
      <c r="AC1490" s="735"/>
      <c r="AD1490" s="735"/>
      <c r="AE1490" s="842"/>
      <c r="AF1490" s="735"/>
      <c r="AG1490" s="711"/>
      <c r="AH1490" s="724"/>
      <c r="AI1490" s="735"/>
    </row>
    <row r="1491" spans="1:35" x14ac:dyDescent="0.2">
      <c r="A1491" s="878" t="s">
        <v>568</v>
      </c>
      <c r="B1491" s="711"/>
      <c r="C1491" s="735"/>
      <c r="D1491" s="735"/>
      <c r="E1491" s="735"/>
      <c r="F1491" s="735"/>
      <c r="G1491" s="735"/>
      <c r="H1491" s="735"/>
      <c r="I1491" s="735"/>
      <c r="J1491" s="735"/>
      <c r="K1491" s="735"/>
      <c r="L1491" s="735"/>
      <c r="M1491" s="735"/>
      <c r="N1491" s="735"/>
      <c r="O1491" s="735"/>
      <c r="P1491" s="843"/>
      <c r="Q1491" s="711"/>
      <c r="R1491" s="735"/>
      <c r="S1491" s="735"/>
      <c r="T1491" s="735"/>
      <c r="U1491" s="735"/>
      <c r="V1491" s="735"/>
      <c r="W1491" s="735"/>
      <c r="X1491" s="735"/>
      <c r="Y1491" s="735"/>
      <c r="Z1491" s="735"/>
      <c r="AA1491" s="735"/>
      <c r="AB1491" s="735"/>
      <c r="AC1491" s="735"/>
      <c r="AD1491" s="735"/>
      <c r="AE1491" s="842"/>
      <c r="AF1491" s="735"/>
      <c r="AG1491" s="711"/>
      <c r="AH1491" s="724"/>
      <c r="AI1491" s="735"/>
    </row>
    <row r="1492" spans="1:35" x14ac:dyDescent="0.2">
      <c r="A1492" s="879" t="s">
        <v>521</v>
      </c>
      <c r="B1492" s="711"/>
      <c r="C1492" s="735"/>
      <c r="D1492" s="735"/>
      <c r="E1492" s="735"/>
      <c r="F1492" s="735"/>
      <c r="G1492" s="735"/>
      <c r="H1492" s="735"/>
      <c r="I1492" s="735"/>
      <c r="J1492" s="735"/>
      <c r="K1492" s="735"/>
      <c r="L1492" s="735"/>
      <c r="M1492" s="735"/>
      <c r="N1492" s="735"/>
      <c r="O1492" s="735"/>
      <c r="P1492" s="843"/>
      <c r="Q1492" s="711"/>
      <c r="R1492" s="735"/>
      <c r="S1492" s="735"/>
      <c r="T1492" s="735"/>
      <c r="U1492" s="735"/>
      <c r="V1492" s="735"/>
      <c r="W1492" s="735"/>
      <c r="X1492" s="735"/>
      <c r="Y1492" s="735"/>
      <c r="Z1492" s="735"/>
      <c r="AA1492" s="735"/>
      <c r="AB1492" s="735"/>
      <c r="AC1492" s="735"/>
      <c r="AD1492" s="735"/>
      <c r="AE1492" s="842"/>
      <c r="AF1492" s="735"/>
      <c r="AG1492" s="711"/>
      <c r="AH1492" s="724"/>
      <c r="AI1492" s="735"/>
    </row>
    <row r="1493" spans="1:35" ht="24" x14ac:dyDescent="0.2">
      <c r="A1493" s="878" t="s">
        <v>448</v>
      </c>
      <c r="B1493" s="711"/>
      <c r="C1493" s="735"/>
      <c r="D1493" s="735"/>
      <c r="E1493" s="735"/>
      <c r="F1493" s="735"/>
      <c r="G1493" s="735"/>
      <c r="H1493" s="735"/>
      <c r="I1493" s="735"/>
      <c r="J1493" s="735"/>
      <c r="K1493" s="735"/>
      <c r="L1493" s="735"/>
      <c r="M1493" s="735"/>
      <c r="N1493" s="735"/>
      <c r="O1493" s="735"/>
      <c r="P1493" s="843"/>
      <c r="Q1493" s="711"/>
      <c r="R1493" s="735"/>
      <c r="S1493" s="735"/>
      <c r="T1493" s="735"/>
      <c r="U1493" s="735"/>
      <c r="V1493" s="735"/>
      <c r="W1493" s="735"/>
      <c r="X1493" s="735"/>
      <c r="Y1493" s="735"/>
      <c r="Z1493" s="735"/>
      <c r="AA1493" s="735"/>
      <c r="AB1493" s="735"/>
      <c r="AC1493" s="735"/>
      <c r="AD1493" s="735"/>
      <c r="AE1493" s="842"/>
      <c r="AF1493" s="735"/>
      <c r="AG1493" s="711"/>
      <c r="AH1493" s="724"/>
      <c r="AI1493" s="735"/>
    </row>
    <row r="1494" spans="1:35" x14ac:dyDescent="0.2">
      <c r="A1494" s="878" t="s">
        <v>522</v>
      </c>
      <c r="B1494" s="711"/>
      <c r="C1494" s="735"/>
      <c r="D1494" s="735"/>
      <c r="E1494" s="735"/>
      <c r="F1494" s="735"/>
      <c r="G1494" s="735"/>
      <c r="H1494" s="735"/>
      <c r="I1494" s="735"/>
      <c r="J1494" s="735"/>
      <c r="K1494" s="735"/>
      <c r="L1494" s="735"/>
      <c r="M1494" s="735"/>
      <c r="N1494" s="735"/>
      <c r="O1494" s="735"/>
      <c r="P1494" s="843"/>
      <c r="Q1494" s="711"/>
      <c r="R1494" s="735"/>
      <c r="S1494" s="735"/>
      <c r="T1494" s="735"/>
      <c r="U1494" s="735"/>
      <c r="V1494" s="735"/>
      <c r="W1494" s="735"/>
      <c r="X1494" s="735"/>
      <c r="Y1494" s="735"/>
      <c r="Z1494" s="735"/>
      <c r="AA1494" s="735"/>
      <c r="AB1494" s="735"/>
      <c r="AC1494" s="735"/>
      <c r="AD1494" s="735"/>
      <c r="AE1494" s="842"/>
      <c r="AF1494" s="735"/>
      <c r="AG1494" s="711"/>
      <c r="AH1494" s="724"/>
      <c r="AI1494" s="735"/>
    </row>
    <row r="1495" spans="1:35" x14ac:dyDescent="0.2">
      <c r="A1495" s="879" t="s">
        <v>390</v>
      </c>
      <c r="B1495" s="711">
        <v>1</v>
      </c>
      <c r="C1495" s="735">
        <v>4279.7</v>
      </c>
      <c r="D1495" s="735"/>
      <c r="E1495" s="735"/>
      <c r="F1495" s="735"/>
      <c r="G1495" s="735"/>
      <c r="H1495" s="735"/>
      <c r="I1495" s="735"/>
      <c r="J1495" s="735"/>
      <c r="K1495" s="735">
        <f>+C1495</f>
        <v>4279.7</v>
      </c>
      <c r="L1495" s="735">
        <v>1000</v>
      </c>
      <c r="M1495" s="735"/>
      <c r="N1495" s="735"/>
      <c r="O1495" s="735">
        <f>+K1495*12+L1495</f>
        <v>52356.399999999994</v>
      </c>
      <c r="P1495" s="843"/>
      <c r="Q1495" s="711">
        <v>1</v>
      </c>
      <c r="R1495" s="735">
        <v>4279.7</v>
      </c>
      <c r="S1495" s="735"/>
      <c r="T1495" s="735"/>
      <c r="U1495" s="735"/>
      <c r="V1495" s="735"/>
      <c r="W1495" s="735"/>
      <c r="X1495" s="735"/>
      <c r="Y1495" s="735"/>
      <c r="Z1495" s="735">
        <f>+R1495</f>
        <v>4279.7</v>
      </c>
      <c r="AA1495" s="735">
        <v>1000</v>
      </c>
      <c r="AB1495" s="735"/>
      <c r="AC1495" s="735"/>
      <c r="AD1495" s="735">
        <f>+Z1495*12+AA1495</f>
        <v>52356.399999999994</v>
      </c>
      <c r="AE1495" s="842">
        <v>1</v>
      </c>
      <c r="AF1495" s="735"/>
      <c r="AG1495" s="711"/>
      <c r="AH1495" s="724">
        <v>1</v>
      </c>
      <c r="AI1495" s="735">
        <v>52356.399999999994</v>
      </c>
    </row>
    <row r="1496" spans="1:35" x14ac:dyDescent="0.2">
      <c r="A1496" s="879" t="s">
        <v>391</v>
      </c>
      <c r="B1496" s="711">
        <v>10</v>
      </c>
      <c r="C1496" s="735">
        <v>40308.68</v>
      </c>
      <c r="D1496" s="735"/>
      <c r="E1496" s="735"/>
      <c r="F1496" s="735"/>
      <c r="G1496" s="735"/>
      <c r="H1496" s="735"/>
      <c r="I1496" s="735"/>
      <c r="J1496" s="735"/>
      <c r="K1496" s="735">
        <f t="shared" ref="K1496:K1498" si="927">+C1496</f>
        <v>40308.68</v>
      </c>
      <c r="L1496" s="735">
        <v>10000</v>
      </c>
      <c r="M1496" s="735"/>
      <c r="N1496" s="735"/>
      <c r="O1496" s="735">
        <f>+K1496*12+L1496</f>
        <v>493704.16000000003</v>
      </c>
      <c r="P1496" s="843"/>
      <c r="Q1496" s="711">
        <v>10</v>
      </c>
      <c r="R1496" s="735">
        <v>40308.68</v>
      </c>
      <c r="S1496" s="735"/>
      <c r="T1496" s="735"/>
      <c r="U1496" s="735"/>
      <c r="V1496" s="735"/>
      <c r="W1496" s="735"/>
      <c r="X1496" s="735"/>
      <c r="Y1496" s="735"/>
      <c r="Z1496" s="735">
        <f t="shared" ref="Z1496:Z1498" si="928">+R1496</f>
        <v>40308.68</v>
      </c>
      <c r="AA1496" s="735">
        <v>10000</v>
      </c>
      <c r="AB1496" s="735"/>
      <c r="AC1496" s="735"/>
      <c r="AD1496" s="735">
        <f>+Z1496*12+AA1496</f>
        <v>493704.16000000003</v>
      </c>
      <c r="AE1496" s="842">
        <v>10</v>
      </c>
      <c r="AF1496" s="735"/>
      <c r="AG1496" s="711"/>
      <c r="AH1496" s="724">
        <v>10</v>
      </c>
      <c r="AI1496" s="735">
        <v>493704.16000000003</v>
      </c>
    </row>
    <row r="1497" spans="1:35" x14ac:dyDescent="0.2">
      <c r="A1497" s="862" t="s">
        <v>392</v>
      </c>
      <c r="B1497" s="711">
        <v>9</v>
      </c>
      <c r="C1497" s="735">
        <v>39531.43</v>
      </c>
      <c r="D1497" s="735"/>
      <c r="E1497" s="735"/>
      <c r="F1497" s="735"/>
      <c r="G1497" s="735"/>
      <c r="H1497" s="735"/>
      <c r="I1497" s="735" t="s">
        <v>931</v>
      </c>
      <c r="J1497" s="735"/>
      <c r="K1497" s="735">
        <f t="shared" si="927"/>
        <v>39531.43</v>
      </c>
      <c r="L1497" s="735">
        <v>9000</v>
      </c>
      <c r="M1497" s="735"/>
      <c r="N1497" s="735"/>
      <c r="O1497" s="735">
        <f>+K1497*12+L1497</f>
        <v>483377.16000000003</v>
      </c>
      <c r="P1497" s="843"/>
      <c r="Q1497" s="711">
        <v>9</v>
      </c>
      <c r="R1497" s="735">
        <v>39531.43</v>
      </c>
      <c r="S1497" s="735"/>
      <c r="T1497" s="735"/>
      <c r="U1497" s="735"/>
      <c r="V1497" s="735"/>
      <c r="W1497" s="735"/>
      <c r="X1497" s="735"/>
      <c r="Y1497" s="735"/>
      <c r="Z1497" s="735">
        <f t="shared" si="928"/>
        <v>39531.43</v>
      </c>
      <c r="AA1497" s="735">
        <v>9000</v>
      </c>
      <c r="AB1497" s="735"/>
      <c r="AC1497" s="735"/>
      <c r="AD1497" s="735">
        <f>+Z1497*12+AA1497</f>
        <v>483377.16000000003</v>
      </c>
      <c r="AE1497" s="842">
        <v>9</v>
      </c>
      <c r="AF1497" s="735"/>
      <c r="AG1497" s="711"/>
      <c r="AH1497" s="724">
        <v>9</v>
      </c>
      <c r="AI1497" s="735">
        <v>483377.16000000003</v>
      </c>
    </row>
    <row r="1498" spans="1:35" x14ac:dyDescent="0.2">
      <c r="A1498" s="862" t="s">
        <v>440</v>
      </c>
      <c r="B1498" s="711">
        <v>62</v>
      </c>
      <c r="C1498" s="735">
        <v>201865.33999999994</v>
      </c>
      <c r="D1498" s="735"/>
      <c r="E1498" s="735"/>
      <c r="F1498" s="735"/>
      <c r="G1498" s="735"/>
      <c r="H1498" s="735"/>
      <c r="I1498" s="735"/>
      <c r="J1498" s="735"/>
      <c r="K1498" s="735">
        <f t="shared" si="927"/>
        <v>201865.33999999994</v>
      </c>
      <c r="L1498" s="735">
        <v>62000</v>
      </c>
      <c r="M1498" s="735"/>
      <c r="N1498" s="735"/>
      <c r="O1498" s="735">
        <f>+K1498*12+L1498</f>
        <v>2484384.0799999991</v>
      </c>
      <c r="P1498" s="843"/>
      <c r="Q1498" s="711">
        <v>62</v>
      </c>
      <c r="R1498" s="735">
        <v>201865.33999999994</v>
      </c>
      <c r="S1498" s="735"/>
      <c r="T1498" s="735"/>
      <c r="U1498" s="735"/>
      <c r="V1498" s="735"/>
      <c r="W1498" s="735"/>
      <c r="X1498" s="735"/>
      <c r="Y1498" s="735"/>
      <c r="Z1498" s="735">
        <f t="shared" si="928"/>
        <v>201865.33999999994</v>
      </c>
      <c r="AA1498" s="735">
        <v>62000</v>
      </c>
      <c r="AB1498" s="735"/>
      <c r="AC1498" s="735"/>
      <c r="AD1498" s="735">
        <f>+Z1498*12+AA1498</f>
        <v>2484384.0799999991</v>
      </c>
      <c r="AE1498" s="842">
        <v>62</v>
      </c>
      <c r="AF1498" s="735"/>
      <c r="AG1498" s="711"/>
      <c r="AH1498" s="724">
        <v>62</v>
      </c>
      <c r="AI1498" s="735">
        <v>2484384.0799999991</v>
      </c>
    </row>
    <row r="1499" spans="1:35" x14ac:dyDescent="0.2">
      <c r="A1499" s="71" t="s">
        <v>523</v>
      </c>
      <c r="B1499" s="711"/>
      <c r="C1499" s="735"/>
      <c r="D1499" s="735"/>
      <c r="E1499" s="735"/>
      <c r="F1499" s="735"/>
      <c r="G1499" s="735"/>
      <c r="H1499" s="735"/>
      <c r="I1499" s="735"/>
      <c r="J1499" s="735"/>
      <c r="K1499" s="735"/>
      <c r="L1499" s="735"/>
      <c r="M1499" s="735"/>
      <c r="N1499" s="735"/>
      <c r="O1499" s="735"/>
      <c r="P1499" s="843"/>
      <c r="Q1499" s="711"/>
      <c r="R1499" s="735"/>
      <c r="S1499" s="735"/>
      <c r="T1499" s="735"/>
      <c r="U1499" s="735"/>
      <c r="V1499" s="735"/>
      <c r="W1499" s="735"/>
      <c r="X1499" s="735"/>
      <c r="Y1499" s="735"/>
      <c r="Z1499" s="735"/>
      <c r="AA1499" s="735"/>
      <c r="AB1499" s="735"/>
      <c r="AC1499" s="735"/>
      <c r="AD1499" s="735"/>
      <c r="AE1499" s="842"/>
      <c r="AF1499" s="735"/>
      <c r="AG1499" s="711"/>
      <c r="AH1499" s="724"/>
      <c r="AI1499" s="735"/>
    </row>
    <row r="1500" spans="1:35" x14ac:dyDescent="0.2">
      <c r="A1500" s="862" t="s">
        <v>394</v>
      </c>
      <c r="B1500" s="711">
        <v>3</v>
      </c>
      <c r="C1500" s="735">
        <v>13234.33</v>
      </c>
      <c r="D1500" s="735"/>
      <c r="E1500" s="735"/>
      <c r="F1500" s="735"/>
      <c r="G1500" s="735"/>
      <c r="H1500" s="735"/>
      <c r="I1500" s="735"/>
      <c r="J1500" s="735"/>
      <c r="K1500" s="735">
        <f t="shared" ref="K1500:K1503" si="929">+C1500</f>
        <v>13234.33</v>
      </c>
      <c r="L1500" s="735">
        <v>3000</v>
      </c>
      <c r="M1500" s="735"/>
      <c r="N1500" s="735"/>
      <c r="O1500" s="735">
        <f>+K1500*12+L1500</f>
        <v>161811.96</v>
      </c>
      <c r="P1500" s="843"/>
      <c r="Q1500" s="711">
        <v>3</v>
      </c>
      <c r="R1500" s="735">
        <v>13234.33</v>
      </c>
      <c r="S1500" s="735"/>
      <c r="T1500" s="735"/>
      <c r="U1500" s="735"/>
      <c r="V1500" s="735"/>
      <c r="W1500" s="735"/>
      <c r="X1500" s="735"/>
      <c r="Y1500" s="735"/>
      <c r="Z1500" s="735">
        <f t="shared" ref="Z1500:Z1503" si="930">+R1500</f>
        <v>13234.33</v>
      </c>
      <c r="AA1500" s="735">
        <v>3000</v>
      </c>
      <c r="AB1500" s="735"/>
      <c r="AC1500" s="735"/>
      <c r="AD1500" s="735">
        <f>+Z1500*12+AA1500</f>
        <v>161811.96</v>
      </c>
      <c r="AE1500" s="842">
        <v>3</v>
      </c>
      <c r="AF1500" s="735"/>
      <c r="AG1500" s="711"/>
      <c r="AH1500" s="724">
        <v>3</v>
      </c>
      <c r="AI1500" s="735">
        <v>161811.96</v>
      </c>
    </row>
    <row r="1501" spans="1:35" x14ac:dyDescent="0.2">
      <c r="A1501" s="862" t="s">
        <v>441</v>
      </c>
      <c r="B1501" s="711">
        <v>1</v>
      </c>
      <c r="C1501" s="735">
        <v>2373.84</v>
      </c>
      <c r="D1501" s="735"/>
      <c r="E1501" s="735"/>
      <c r="F1501" s="735"/>
      <c r="G1501" s="735"/>
      <c r="H1501" s="735"/>
      <c r="I1501" s="735"/>
      <c r="J1501" s="735"/>
      <c r="K1501" s="735">
        <f t="shared" si="929"/>
        <v>2373.84</v>
      </c>
      <c r="L1501" s="735">
        <v>1000</v>
      </c>
      <c r="M1501" s="735"/>
      <c r="N1501" s="735"/>
      <c r="O1501" s="735">
        <f>+K1501*12+L1501</f>
        <v>29486.080000000002</v>
      </c>
      <c r="P1501" s="843"/>
      <c r="Q1501" s="711">
        <v>1</v>
      </c>
      <c r="R1501" s="735">
        <v>2373.84</v>
      </c>
      <c r="S1501" s="735"/>
      <c r="T1501" s="735"/>
      <c r="U1501" s="735"/>
      <c r="V1501" s="735"/>
      <c r="W1501" s="735"/>
      <c r="X1501" s="735"/>
      <c r="Y1501" s="735"/>
      <c r="Z1501" s="735">
        <f t="shared" si="930"/>
        <v>2373.84</v>
      </c>
      <c r="AA1501" s="735">
        <v>1000</v>
      </c>
      <c r="AB1501" s="735"/>
      <c r="AC1501" s="735"/>
      <c r="AD1501" s="735">
        <f>+Z1501*12+AA1501</f>
        <v>29486.080000000002</v>
      </c>
      <c r="AE1501" s="842">
        <v>1</v>
      </c>
      <c r="AF1501" s="735"/>
      <c r="AG1501" s="711"/>
      <c r="AH1501" s="724">
        <v>1</v>
      </c>
      <c r="AI1501" s="735">
        <v>29486.080000000002</v>
      </c>
    </row>
    <row r="1502" spans="1:35" x14ac:dyDescent="0.2">
      <c r="A1502" s="862" t="s">
        <v>442</v>
      </c>
      <c r="B1502" s="711">
        <v>4</v>
      </c>
      <c r="C1502" s="735">
        <v>15907.13</v>
      </c>
      <c r="D1502" s="735"/>
      <c r="E1502" s="735"/>
      <c r="F1502" s="735"/>
      <c r="G1502" s="735"/>
      <c r="H1502" s="735"/>
      <c r="I1502" s="735"/>
      <c r="J1502" s="735"/>
      <c r="K1502" s="735">
        <f t="shared" si="929"/>
        <v>15907.13</v>
      </c>
      <c r="L1502" s="735">
        <v>4000</v>
      </c>
      <c r="M1502" s="735"/>
      <c r="N1502" s="735"/>
      <c r="O1502" s="735">
        <f>+K1502*12+L1502</f>
        <v>194885.56</v>
      </c>
      <c r="P1502" s="843"/>
      <c r="Q1502" s="711">
        <v>4</v>
      </c>
      <c r="R1502" s="735">
        <v>15907.13</v>
      </c>
      <c r="S1502" s="735"/>
      <c r="T1502" s="735"/>
      <c r="U1502" s="735"/>
      <c r="V1502" s="735"/>
      <c r="W1502" s="735"/>
      <c r="X1502" s="735"/>
      <c r="Y1502" s="735"/>
      <c r="Z1502" s="735">
        <f t="shared" si="930"/>
        <v>15907.13</v>
      </c>
      <c r="AA1502" s="735">
        <v>4000</v>
      </c>
      <c r="AB1502" s="735"/>
      <c r="AC1502" s="735"/>
      <c r="AD1502" s="735">
        <f>+Z1502*12+AA1502</f>
        <v>194885.56</v>
      </c>
      <c r="AE1502" s="842">
        <v>4</v>
      </c>
      <c r="AF1502" s="735"/>
      <c r="AG1502" s="711"/>
      <c r="AH1502" s="724">
        <v>4</v>
      </c>
      <c r="AI1502" s="735">
        <v>194885.56</v>
      </c>
    </row>
    <row r="1503" spans="1:35" x14ac:dyDescent="0.2">
      <c r="A1503" s="862" t="s">
        <v>451</v>
      </c>
      <c r="B1503" s="711">
        <v>17</v>
      </c>
      <c r="C1503" s="735">
        <v>47980.23000000001</v>
      </c>
      <c r="D1503" s="735"/>
      <c r="E1503" s="735"/>
      <c r="F1503" s="735"/>
      <c r="G1503" s="735"/>
      <c r="H1503" s="735"/>
      <c r="I1503" s="735"/>
      <c r="J1503" s="735"/>
      <c r="K1503" s="735">
        <f t="shared" si="929"/>
        <v>47980.23000000001</v>
      </c>
      <c r="L1503" s="735">
        <v>17000</v>
      </c>
      <c r="M1503" s="735"/>
      <c r="N1503" s="735"/>
      <c r="O1503" s="735">
        <f>+K1503*12+L1503</f>
        <v>592762.76000000013</v>
      </c>
      <c r="P1503" s="843"/>
      <c r="Q1503" s="711">
        <v>17</v>
      </c>
      <c r="R1503" s="735">
        <v>47980.23000000001</v>
      </c>
      <c r="S1503" s="735"/>
      <c r="T1503" s="735"/>
      <c r="U1503" s="735"/>
      <c r="V1503" s="735"/>
      <c r="W1503" s="735"/>
      <c r="X1503" s="735"/>
      <c r="Y1503" s="735"/>
      <c r="Z1503" s="735">
        <f t="shared" si="930"/>
        <v>47980.23000000001</v>
      </c>
      <c r="AA1503" s="735">
        <v>17000</v>
      </c>
      <c r="AB1503" s="735"/>
      <c r="AC1503" s="735"/>
      <c r="AD1503" s="735">
        <f>+Z1503*12+AA1503</f>
        <v>592762.76000000013</v>
      </c>
      <c r="AE1503" s="842">
        <v>17</v>
      </c>
      <c r="AF1503" s="735"/>
      <c r="AG1503" s="711"/>
      <c r="AH1503" s="724">
        <v>17</v>
      </c>
      <c r="AI1503" s="735">
        <v>592762.76000000013</v>
      </c>
    </row>
    <row r="1504" spans="1:35" x14ac:dyDescent="0.2">
      <c r="A1504" s="704"/>
      <c r="B1504" s="711"/>
      <c r="C1504" s="735"/>
      <c r="D1504" s="735"/>
      <c r="E1504" s="735"/>
      <c r="F1504" s="735"/>
      <c r="G1504" s="735"/>
      <c r="H1504" s="735"/>
      <c r="I1504" s="735"/>
      <c r="J1504" s="735"/>
      <c r="K1504" s="735"/>
      <c r="L1504" s="735"/>
      <c r="M1504" s="735"/>
      <c r="N1504" s="735"/>
      <c r="O1504" s="735"/>
      <c r="P1504" s="735"/>
      <c r="Q1504" s="711"/>
      <c r="R1504" s="735"/>
      <c r="S1504" s="735"/>
      <c r="T1504" s="735"/>
      <c r="U1504" s="735"/>
      <c r="V1504" s="735"/>
      <c r="W1504" s="735"/>
      <c r="X1504" s="735"/>
      <c r="Y1504" s="735"/>
      <c r="Z1504" s="735"/>
      <c r="AA1504" s="735"/>
      <c r="AB1504" s="735"/>
      <c r="AC1504" s="735"/>
      <c r="AD1504" s="735"/>
      <c r="AE1504" s="842"/>
      <c r="AF1504" s="735"/>
      <c r="AG1504" s="711"/>
      <c r="AH1504" s="711"/>
      <c r="AI1504" s="735"/>
    </row>
    <row r="1505" spans="1:35" x14ac:dyDescent="0.2">
      <c r="A1505" s="704"/>
      <c r="B1505" s="711"/>
      <c r="C1505" s="735"/>
      <c r="D1505" s="735"/>
      <c r="E1505" s="735"/>
      <c r="F1505" s="735"/>
      <c r="G1505" s="735"/>
      <c r="H1505" s="735"/>
      <c r="I1505" s="735"/>
      <c r="J1505" s="735"/>
      <c r="K1505" s="735"/>
      <c r="L1505" s="735"/>
      <c r="M1505" s="735"/>
      <c r="N1505" s="735"/>
      <c r="O1505" s="735"/>
      <c r="P1505" s="735"/>
      <c r="Q1505" s="711"/>
      <c r="R1505" s="735"/>
      <c r="S1505" s="735"/>
      <c r="T1505" s="735"/>
      <c r="U1505" s="735"/>
      <c r="V1505" s="735"/>
      <c r="W1505" s="735"/>
      <c r="X1505" s="735"/>
      <c r="Y1505" s="735"/>
      <c r="Z1505" s="735"/>
      <c r="AA1505" s="735"/>
      <c r="AB1505" s="735"/>
      <c r="AC1505" s="735"/>
      <c r="AD1505" s="735"/>
      <c r="AE1505" s="842"/>
      <c r="AF1505" s="735"/>
      <c r="AG1505" s="711"/>
      <c r="AH1505" s="711"/>
      <c r="AI1505" s="735"/>
    </row>
    <row r="1506" spans="1:35" x14ac:dyDescent="0.2">
      <c r="A1506" s="704"/>
      <c r="B1506" s="711"/>
      <c r="C1506" s="735"/>
      <c r="D1506" s="735"/>
      <c r="E1506" s="735"/>
      <c r="F1506" s="735"/>
      <c r="G1506" s="735"/>
      <c r="H1506" s="735"/>
      <c r="I1506" s="735"/>
      <c r="J1506" s="735"/>
      <c r="K1506" s="735"/>
      <c r="L1506" s="735"/>
      <c r="M1506" s="735"/>
      <c r="N1506" s="735"/>
      <c r="O1506" s="735"/>
      <c r="P1506" s="735"/>
      <c r="Q1506" s="421"/>
      <c r="R1506" s="735"/>
      <c r="S1506" s="735"/>
      <c r="T1506" s="735"/>
      <c r="U1506" s="735"/>
      <c r="V1506" s="735"/>
      <c r="W1506" s="735"/>
      <c r="X1506" s="735"/>
      <c r="Y1506" s="735"/>
      <c r="Z1506" s="735"/>
      <c r="AA1506" s="735"/>
      <c r="AB1506" s="735"/>
      <c r="AC1506" s="735"/>
      <c r="AD1506" s="735"/>
      <c r="AE1506" s="842"/>
      <c r="AF1506" s="735"/>
      <c r="AG1506" s="711"/>
      <c r="AH1506" s="711"/>
      <c r="AI1506" s="735"/>
    </row>
    <row r="1507" spans="1:35" x14ac:dyDescent="0.2">
      <c r="A1507" s="704"/>
      <c r="B1507" s="711"/>
      <c r="C1507" s="735"/>
      <c r="D1507" s="735"/>
      <c r="E1507" s="735"/>
      <c r="F1507" s="735"/>
      <c r="G1507" s="735"/>
      <c r="H1507" s="735"/>
      <c r="I1507" s="735"/>
      <c r="J1507" s="735"/>
      <c r="K1507" s="735"/>
      <c r="L1507" s="735"/>
      <c r="M1507" s="735"/>
      <c r="N1507" s="735"/>
      <c r="O1507" s="735"/>
      <c r="P1507" s="735"/>
      <c r="Q1507" s="421"/>
      <c r="R1507" s="735"/>
      <c r="S1507" s="735"/>
      <c r="T1507" s="735"/>
      <c r="U1507" s="735"/>
      <c r="V1507" s="735"/>
      <c r="W1507" s="735"/>
      <c r="X1507" s="735"/>
      <c r="Y1507" s="735"/>
      <c r="Z1507" s="735"/>
      <c r="AA1507" s="735"/>
      <c r="AB1507" s="735"/>
      <c r="AC1507" s="735"/>
      <c r="AD1507" s="735"/>
      <c r="AE1507" s="842"/>
      <c r="AF1507" s="735"/>
      <c r="AG1507" s="711"/>
      <c r="AH1507" s="711"/>
      <c r="AI1507" s="735"/>
    </row>
    <row r="1508" spans="1:35" x14ac:dyDescent="0.2">
      <c r="A1508" s="704"/>
      <c r="B1508" s="711"/>
      <c r="C1508" s="735"/>
      <c r="D1508" s="735"/>
      <c r="E1508" s="735"/>
      <c r="F1508" s="735"/>
      <c r="G1508" s="735"/>
      <c r="H1508" s="735"/>
      <c r="I1508" s="735"/>
      <c r="J1508" s="735"/>
      <c r="K1508" s="735"/>
      <c r="L1508" s="735"/>
      <c r="M1508" s="735"/>
      <c r="N1508" s="735"/>
      <c r="O1508" s="735"/>
      <c r="P1508" s="735"/>
      <c r="Q1508" s="421"/>
      <c r="R1508" s="735"/>
      <c r="S1508" s="735"/>
      <c r="T1508" s="735"/>
      <c r="U1508" s="735"/>
      <c r="V1508" s="735"/>
      <c r="W1508" s="735"/>
      <c r="X1508" s="735"/>
      <c r="Y1508" s="735"/>
      <c r="Z1508" s="735"/>
      <c r="AA1508" s="735"/>
      <c r="AB1508" s="735"/>
      <c r="AC1508" s="735"/>
      <c r="AD1508" s="735"/>
      <c r="AE1508" s="842"/>
      <c r="AF1508" s="735"/>
      <c r="AG1508" s="711"/>
      <c r="AH1508" s="711"/>
      <c r="AI1508" s="735"/>
    </row>
    <row r="1509" spans="1:35" x14ac:dyDescent="0.2">
      <c r="A1509" s="704"/>
      <c r="B1509" s="711"/>
      <c r="C1509" s="735"/>
      <c r="D1509" s="735"/>
      <c r="E1509" s="735"/>
      <c r="F1509" s="735"/>
      <c r="G1509" s="735"/>
      <c r="H1509" s="735"/>
      <c r="I1509" s="735"/>
      <c r="J1509" s="735"/>
      <c r="K1509" s="735"/>
      <c r="L1509" s="735"/>
      <c r="M1509" s="735"/>
      <c r="N1509" s="735"/>
      <c r="O1509" s="735"/>
      <c r="P1509" s="735"/>
      <c r="Q1509" s="421"/>
      <c r="R1509" s="735"/>
      <c r="S1509" s="735"/>
      <c r="T1509" s="735"/>
      <c r="U1509" s="735"/>
      <c r="V1509" s="735"/>
      <c r="W1509" s="735"/>
      <c r="X1509" s="735"/>
      <c r="Y1509" s="735"/>
      <c r="Z1509" s="735"/>
      <c r="AA1509" s="735"/>
      <c r="AB1509" s="735"/>
      <c r="AC1509" s="735"/>
      <c r="AD1509" s="735"/>
      <c r="AE1509" s="842"/>
      <c r="AF1509" s="735"/>
      <c r="AG1509" s="711"/>
      <c r="AH1509" s="711"/>
      <c r="AI1509" s="735"/>
    </row>
    <row r="1510" spans="1:35" x14ac:dyDescent="0.2">
      <c r="A1510" s="704"/>
      <c r="B1510" s="711"/>
      <c r="C1510" s="735"/>
      <c r="D1510" s="735"/>
      <c r="E1510" s="735"/>
      <c r="F1510" s="735"/>
      <c r="G1510" s="735"/>
      <c r="H1510" s="735"/>
      <c r="I1510" s="735"/>
      <c r="J1510" s="735"/>
      <c r="K1510" s="735"/>
      <c r="L1510" s="735"/>
      <c r="M1510" s="735"/>
      <c r="N1510" s="735"/>
      <c r="O1510" s="735"/>
      <c r="P1510" s="735"/>
      <c r="Q1510" s="421"/>
      <c r="R1510" s="735"/>
      <c r="S1510" s="735"/>
      <c r="T1510" s="735"/>
      <c r="U1510" s="735"/>
      <c r="V1510" s="735"/>
      <c r="W1510" s="735"/>
      <c r="X1510" s="735"/>
      <c r="Y1510" s="735"/>
      <c r="Z1510" s="735"/>
      <c r="AA1510" s="735"/>
      <c r="AB1510" s="735"/>
      <c r="AC1510" s="735"/>
      <c r="AD1510" s="735"/>
      <c r="AE1510" s="842"/>
      <c r="AF1510" s="735"/>
      <c r="AG1510" s="711"/>
      <c r="AH1510" s="711"/>
      <c r="AI1510" s="735"/>
    </row>
    <row r="1511" spans="1:35" x14ac:dyDescent="0.2">
      <c r="A1511" s="704"/>
      <c r="B1511" s="711"/>
      <c r="C1511" s="735"/>
      <c r="D1511" s="735"/>
      <c r="E1511" s="735"/>
      <c r="F1511" s="735"/>
      <c r="G1511" s="735"/>
      <c r="H1511" s="735"/>
      <c r="I1511" s="735"/>
      <c r="J1511" s="735"/>
      <c r="K1511" s="735"/>
      <c r="L1511" s="735"/>
      <c r="M1511" s="735"/>
      <c r="N1511" s="735"/>
      <c r="O1511" s="735"/>
      <c r="P1511" s="735"/>
      <c r="Q1511" s="421"/>
      <c r="R1511" s="735"/>
      <c r="S1511" s="735"/>
      <c r="T1511" s="735"/>
      <c r="U1511" s="735"/>
      <c r="V1511" s="735"/>
      <c r="W1511" s="735"/>
      <c r="X1511" s="735"/>
      <c r="Y1511" s="735"/>
      <c r="Z1511" s="735"/>
      <c r="AA1511" s="735"/>
      <c r="AB1511" s="735"/>
      <c r="AC1511" s="735"/>
      <c r="AD1511" s="735"/>
      <c r="AE1511" s="842"/>
      <c r="AF1511" s="735"/>
      <c r="AG1511" s="711"/>
      <c r="AH1511" s="711"/>
      <c r="AI1511" s="735"/>
    </row>
    <row r="1512" spans="1:35" x14ac:dyDescent="0.2">
      <c r="A1512" s="706" t="s">
        <v>169</v>
      </c>
      <c r="B1512" s="743">
        <f>SUM(B1457:B1511)</f>
        <v>180</v>
      </c>
      <c r="C1512" s="742">
        <f t="shared" ref="C1512:AI1512" si="931">SUM(C1457:C1511)</f>
        <v>770864.34999999986</v>
      </c>
      <c r="D1512" s="742">
        <f t="shared" si="931"/>
        <v>30624.660000000003</v>
      </c>
      <c r="E1512" s="742">
        <f t="shared" si="931"/>
        <v>0</v>
      </c>
      <c r="F1512" s="742">
        <f t="shared" si="931"/>
        <v>0</v>
      </c>
      <c r="G1512" s="742">
        <f t="shared" si="931"/>
        <v>0</v>
      </c>
      <c r="H1512" s="742">
        <f t="shared" si="931"/>
        <v>0</v>
      </c>
      <c r="I1512" s="742">
        <f t="shared" si="931"/>
        <v>0</v>
      </c>
      <c r="J1512" s="742">
        <f t="shared" si="931"/>
        <v>0</v>
      </c>
      <c r="K1512" s="742">
        <f t="shared" si="931"/>
        <v>801489.00999999978</v>
      </c>
      <c r="L1512" s="742">
        <f t="shared" si="931"/>
        <v>180000</v>
      </c>
      <c r="M1512" s="742">
        <f t="shared" si="931"/>
        <v>0</v>
      </c>
      <c r="N1512" s="742">
        <f t="shared" si="931"/>
        <v>0</v>
      </c>
      <c r="O1512" s="742">
        <f t="shared" si="931"/>
        <v>9797868.120000001</v>
      </c>
      <c r="P1512" s="742">
        <f t="shared" si="931"/>
        <v>0</v>
      </c>
      <c r="Q1512" s="712">
        <f t="shared" si="931"/>
        <v>180</v>
      </c>
      <c r="R1512" s="742">
        <f t="shared" si="931"/>
        <v>770864.34999999986</v>
      </c>
      <c r="S1512" s="742">
        <f t="shared" si="931"/>
        <v>30624.660000000003</v>
      </c>
      <c r="T1512" s="742">
        <f t="shared" si="931"/>
        <v>0</v>
      </c>
      <c r="U1512" s="742">
        <f t="shared" si="931"/>
        <v>0</v>
      </c>
      <c r="V1512" s="742">
        <f t="shared" si="931"/>
        <v>0</v>
      </c>
      <c r="W1512" s="742">
        <f t="shared" si="931"/>
        <v>0</v>
      </c>
      <c r="X1512" s="742">
        <f t="shared" si="931"/>
        <v>0</v>
      </c>
      <c r="Y1512" s="742">
        <f t="shared" si="931"/>
        <v>0</v>
      </c>
      <c r="Z1512" s="742">
        <f t="shared" si="931"/>
        <v>801489.00999999978</v>
      </c>
      <c r="AA1512" s="742">
        <f t="shared" si="931"/>
        <v>180000</v>
      </c>
      <c r="AB1512" s="742">
        <f t="shared" si="931"/>
        <v>0</v>
      </c>
      <c r="AC1512" s="742">
        <f t="shared" si="931"/>
        <v>0</v>
      </c>
      <c r="AD1512" s="742">
        <f t="shared" si="931"/>
        <v>9797868.120000001</v>
      </c>
      <c r="AE1512" s="742">
        <f t="shared" si="931"/>
        <v>180</v>
      </c>
      <c r="AF1512" s="742">
        <f t="shared" si="931"/>
        <v>0</v>
      </c>
      <c r="AG1512" s="743">
        <f t="shared" si="931"/>
        <v>0</v>
      </c>
      <c r="AH1512" s="743">
        <f t="shared" si="931"/>
        <v>180</v>
      </c>
      <c r="AI1512" s="742">
        <f t="shared" si="931"/>
        <v>9797868.120000001</v>
      </c>
    </row>
    <row r="1513" spans="1:35" x14ac:dyDescent="0.2">
      <c r="B1513" s="17"/>
      <c r="C1513" s="17"/>
      <c r="D1513" s="17"/>
      <c r="E1513" s="17"/>
      <c r="F1513" s="17"/>
      <c r="G1513" s="17"/>
      <c r="H1513" s="17"/>
      <c r="I1513" s="17"/>
      <c r="J1513" s="17"/>
      <c r="K1513" s="17"/>
      <c r="L1513" s="17"/>
      <c r="M1513" s="17"/>
      <c r="N1513" s="17"/>
      <c r="O1513" s="17"/>
      <c r="P1513" s="17"/>
      <c r="R1513" s="17"/>
      <c r="S1513" s="17"/>
      <c r="T1513" s="17"/>
      <c r="U1513" s="17"/>
      <c r="V1513" s="17"/>
      <c r="W1513" s="17"/>
      <c r="X1513" s="17"/>
      <c r="Y1513" s="17"/>
      <c r="Z1513" s="17"/>
      <c r="AA1513" s="17"/>
      <c r="AB1513" s="17"/>
      <c r="AC1513" s="17"/>
      <c r="AD1513" s="17"/>
      <c r="AE1513" s="17"/>
      <c r="AF1513" s="17"/>
      <c r="AG1513" s="17"/>
      <c r="AH1513" s="17"/>
      <c r="AI1513" s="17"/>
    </row>
    <row r="1514" spans="1:35" x14ac:dyDescent="0.2">
      <c r="B1514" s="17"/>
      <c r="C1514" s="17"/>
      <c r="D1514" s="17"/>
      <c r="E1514" s="17"/>
      <c r="F1514" s="17"/>
      <c r="G1514" s="17"/>
      <c r="H1514" s="17"/>
      <c r="I1514" s="17"/>
      <c r="J1514" s="17"/>
      <c r="K1514" s="17"/>
      <c r="L1514" s="17"/>
      <c r="M1514" s="17"/>
      <c r="N1514" s="17"/>
      <c r="O1514" s="17"/>
      <c r="P1514" s="17"/>
      <c r="R1514" s="17"/>
      <c r="S1514" s="17"/>
      <c r="T1514" s="17"/>
      <c r="U1514" s="17"/>
      <c r="V1514" s="17"/>
      <c r="W1514" s="17"/>
      <c r="X1514" s="17"/>
      <c r="Y1514" s="17"/>
      <c r="Z1514" s="17"/>
      <c r="AA1514" s="17"/>
      <c r="AB1514" s="17"/>
      <c r="AC1514" s="17"/>
      <c r="AD1514" s="17"/>
      <c r="AE1514" s="17"/>
      <c r="AF1514" s="17"/>
      <c r="AG1514" s="17"/>
      <c r="AH1514" s="17"/>
      <c r="AI1514" s="17"/>
    </row>
    <row r="1515" spans="1:35" x14ac:dyDescent="0.2">
      <c r="A1515" s="706" t="s">
        <v>636</v>
      </c>
      <c r="B1515" s="743"/>
      <c r="C1515" s="742"/>
      <c r="D1515" s="742"/>
      <c r="E1515" s="742"/>
      <c r="F1515" s="742"/>
      <c r="G1515" s="742"/>
      <c r="H1515" s="742"/>
      <c r="I1515" s="742"/>
      <c r="J1515" s="742"/>
      <c r="K1515" s="742"/>
      <c r="L1515" s="742"/>
      <c r="M1515" s="742"/>
      <c r="N1515" s="742"/>
      <c r="O1515" s="742"/>
      <c r="P1515" s="742"/>
      <c r="Q1515" s="712"/>
      <c r="R1515" s="742"/>
      <c r="S1515" s="742"/>
      <c r="T1515" s="742"/>
      <c r="U1515" s="742"/>
      <c r="V1515" s="742"/>
      <c r="W1515" s="742"/>
      <c r="X1515" s="742"/>
      <c r="Y1515" s="742"/>
      <c r="Z1515" s="742"/>
      <c r="AA1515" s="742"/>
      <c r="AB1515" s="742"/>
      <c r="AC1515" s="742"/>
      <c r="AD1515" s="742"/>
      <c r="AE1515" s="742"/>
      <c r="AF1515" s="742"/>
      <c r="AG1515" s="743"/>
      <c r="AH1515" s="743"/>
      <c r="AI1515" s="742"/>
    </row>
    <row r="1516" spans="1:35" x14ac:dyDescent="0.2">
      <c r="A1516" s="1485" t="s">
        <v>644</v>
      </c>
      <c r="B1516" s="1487" t="s">
        <v>645</v>
      </c>
      <c r="C1516" s="1487"/>
      <c r="D1516" s="1487"/>
      <c r="E1516" s="1487"/>
      <c r="F1516" s="1487"/>
      <c r="G1516" s="1487"/>
      <c r="H1516" s="1487"/>
      <c r="I1516" s="1487"/>
      <c r="J1516" s="1487"/>
      <c r="K1516" s="1487"/>
      <c r="L1516" s="1487"/>
      <c r="M1516" s="1487"/>
      <c r="N1516" s="1487"/>
      <c r="O1516" s="1487"/>
      <c r="P1516" s="1487"/>
      <c r="Q1516" s="1487" t="s">
        <v>646</v>
      </c>
      <c r="R1516" s="1487"/>
      <c r="S1516" s="1487"/>
      <c r="T1516" s="1487"/>
      <c r="U1516" s="1487"/>
      <c r="V1516" s="1487"/>
      <c r="W1516" s="1487"/>
      <c r="X1516" s="1487"/>
      <c r="Y1516" s="1487"/>
      <c r="Z1516" s="1487"/>
      <c r="AA1516" s="1487"/>
      <c r="AB1516" s="1487"/>
      <c r="AC1516" s="1487"/>
      <c r="AD1516" s="1487"/>
      <c r="AE1516" s="1487"/>
      <c r="AF1516" s="1487" t="s">
        <v>647</v>
      </c>
      <c r="AG1516" s="1487"/>
      <c r="AH1516" s="1487" t="s">
        <v>648</v>
      </c>
      <c r="AI1516" s="1487"/>
    </row>
    <row r="1517" spans="1:35" ht="120" customHeight="1" x14ac:dyDescent="0.2">
      <c r="A1517" s="1485"/>
      <c r="B1517" s="691" t="s">
        <v>649</v>
      </c>
      <c r="C1517" s="692" t="s">
        <v>650</v>
      </c>
      <c r="D1517" s="692" t="s">
        <v>684</v>
      </c>
      <c r="E1517" s="692" t="s">
        <v>652</v>
      </c>
      <c r="F1517" s="692" t="s">
        <v>653</v>
      </c>
      <c r="G1517" s="692" t="s">
        <v>654</v>
      </c>
      <c r="H1517" s="692" t="s">
        <v>655</v>
      </c>
      <c r="I1517" s="692" t="s">
        <v>656</v>
      </c>
      <c r="J1517" s="692" t="s">
        <v>657</v>
      </c>
      <c r="K1517" s="692" t="s">
        <v>658</v>
      </c>
      <c r="L1517" s="692" t="s">
        <v>659</v>
      </c>
      <c r="M1517" s="692" t="s">
        <v>660</v>
      </c>
      <c r="N1517" s="692" t="s">
        <v>661</v>
      </c>
      <c r="O1517" s="692" t="s">
        <v>662</v>
      </c>
      <c r="P1517" s="692" t="s">
        <v>685</v>
      </c>
      <c r="Q1517" s="691" t="s">
        <v>649</v>
      </c>
      <c r="R1517" s="692" t="s">
        <v>650</v>
      </c>
      <c r="S1517" s="692" t="s">
        <v>651</v>
      </c>
      <c r="T1517" s="692" t="s">
        <v>652</v>
      </c>
      <c r="U1517" s="692" t="s">
        <v>653</v>
      </c>
      <c r="V1517" s="692" t="s">
        <v>654</v>
      </c>
      <c r="W1517" s="692" t="s">
        <v>655</v>
      </c>
      <c r="X1517" s="692" t="s">
        <v>656</v>
      </c>
      <c r="Y1517" s="692" t="s">
        <v>657</v>
      </c>
      <c r="Z1517" s="692" t="s">
        <v>658</v>
      </c>
      <c r="AA1517" s="692" t="s">
        <v>659</v>
      </c>
      <c r="AB1517" s="692" t="s">
        <v>660</v>
      </c>
      <c r="AC1517" s="692" t="s">
        <v>661</v>
      </c>
      <c r="AD1517" s="692" t="s">
        <v>662</v>
      </c>
      <c r="AE1517" s="692" t="s">
        <v>686</v>
      </c>
      <c r="AF1517" s="692" t="s">
        <v>664</v>
      </c>
      <c r="AG1517" s="691" t="s">
        <v>665</v>
      </c>
      <c r="AH1517" s="691" t="s">
        <v>649</v>
      </c>
      <c r="AI1517" s="692" t="s">
        <v>687</v>
      </c>
    </row>
    <row r="1518" spans="1:35" x14ac:dyDescent="0.2">
      <c r="A1518" s="1486"/>
      <c r="B1518" s="555" t="s">
        <v>667</v>
      </c>
      <c r="C1518" s="733" t="s">
        <v>668</v>
      </c>
      <c r="D1518" s="733" t="s">
        <v>669</v>
      </c>
      <c r="E1518" s="733" t="s">
        <v>670</v>
      </c>
      <c r="F1518" s="734" t="s">
        <v>671</v>
      </c>
      <c r="G1518" s="734" t="s">
        <v>672</v>
      </c>
      <c r="H1518" s="734" t="s">
        <v>673</v>
      </c>
      <c r="I1518" s="734" t="s">
        <v>674</v>
      </c>
      <c r="J1518" s="734" t="s">
        <v>675</v>
      </c>
      <c r="K1518" s="734" t="s">
        <v>676</v>
      </c>
      <c r="L1518" s="734" t="s">
        <v>677</v>
      </c>
      <c r="M1518" s="734" t="s">
        <v>678</v>
      </c>
      <c r="N1518" s="734" t="s">
        <v>679</v>
      </c>
      <c r="O1518" s="734" t="s">
        <v>680</v>
      </c>
      <c r="P1518" s="734" t="s">
        <v>681</v>
      </c>
      <c r="Q1518" s="555" t="s">
        <v>667</v>
      </c>
      <c r="R1518" s="733" t="s">
        <v>668</v>
      </c>
      <c r="S1518" s="733" t="s">
        <v>669</v>
      </c>
      <c r="T1518" s="733" t="s">
        <v>670</v>
      </c>
      <c r="U1518" s="734" t="s">
        <v>671</v>
      </c>
      <c r="V1518" s="734" t="s">
        <v>672</v>
      </c>
      <c r="W1518" s="734" t="s">
        <v>673</v>
      </c>
      <c r="X1518" s="734" t="s">
        <v>674</v>
      </c>
      <c r="Y1518" s="734" t="s">
        <v>675</v>
      </c>
      <c r="Z1518" s="734" t="s">
        <v>676</v>
      </c>
      <c r="AA1518" s="734" t="s">
        <v>677</v>
      </c>
      <c r="AB1518" s="734" t="s">
        <v>678</v>
      </c>
      <c r="AC1518" s="734" t="s">
        <v>679</v>
      </c>
      <c r="AD1518" s="734" t="s">
        <v>680</v>
      </c>
      <c r="AE1518" s="734" t="s">
        <v>681</v>
      </c>
      <c r="AF1518" s="733"/>
      <c r="AG1518" s="555"/>
      <c r="AH1518" s="555"/>
      <c r="AI1518" s="733"/>
    </row>
    <row r="1519" spans="1:35" x14ac:dyDescent="0.2">
      <c r="A1519" s="863"/>
      <c r="B1519" s="718"/>
      <c r="C1519" s="769"/>
      <c r="D1519" s="769"/>
      <c r="E1519" s="769"/>
      <c r="F1519" s="769"/>
      <c r="G1519" s="769"/>
      <c r="H1519" s="769"/>
      <c r="I1519" s="769"/>
      <c r="J1519" s="769"/>
      <c r="K1519" s="769"/>
      <c r="L1519" s="769"/>
      <c r="M1519" s="769"/>
      <c r="N1519" s="769"/>
      <c r="O1519" s="769"/>
      <c r="P1519" s="769"/>
      <c r="Q1519" s="714"/>
      <c r="R1519" s="769"/>
      <c r="S1519" s="769"/>
      <c r="T1519" s="769"/>
      <c r="U1519" s="769"/>
      <c r="V1519" s="769"/>
      <c r="W1519" s="769"/>
      <c r="X1519" s="769"/>
      <c r="Y1519" s="769"/>
      <c r="Z1519" s="769"/>
      <c r="AA1519" s="769"/>
      <c r="AB1519" s="769"/>
      <c r="AC1519" s="769"/>
      <c r="AD1519" s="769"/>
      <c r="AE1519" s="769"/>
      <c r="AF1519" s="769"/>
      <c r="AG1519" s="718"/>
      <c r="AH1519" s="718"/>
      <c r="AI1519" s="769"/>
    </row>
    <row r="1520" spans="1:35" x14ac:dyDescent="0.2">
      <c r="A1520" s="863" t="s">
        <v>688</v>
      </c>
      <c r="B1520" s="718"/>
      <c r="C1520" s="769"/>
      <c r="D1520" s="769"/>
      <c r="E1520" s="769"/>
      <c r="F1520" s="769"/>
      <c r="G1520" s="769"/>
      <c r="H1520" s="769"/>
      <c r="I1520" s="769"/>
      <c r="J1520" s="769"/>
      <c r="K1520" s="769"/>
      <c r="L1520" s="769"/>
      <c r="M1520" s="769"/>
      <c r="N1520" s="769"/>
      <c r="O1520" s="769"/>
      <c r="P1520" s="769"/>
      <c r="Q1520" s="714"/>
      <c r="R1520" s="769"/>
      <c r="S1520" s="769"/>
      <c r="T1520" s="769"/>
      <c r="U1520" s="769"/>
      <c r="V1520" s="769"/>
      <c r="W1520" s="769"/>
      <c r="X1520" s="769"/>
      <c r="Y1520" s="769"/>
      <c r="Z1520" s="769"/>
      <c r="AA1520" s="769"/>
      <c r="AB1520" s="769"/>
      <c r="AC1520" s="769"/>
      <c r="AD1520" s="769"/>
      <c r="AE1520" s="769"/>
      <c r="AF1520" s="769"/>
      <c r="AG1520" s="718"/>
      <c r="AH1520" s="718"/>
      <c r="AI1520" s="769"/>
    </row>
    <row r="1521" spans="1:35" x14ac:dyDescent="0.2">
      <c r="A1521" s="863" t="s">
        <v>436</v>
      </c>
      <c r="B1521" s="718">
        <v>1</v>
      </c>
      <c r="C1521" s="844">
        <v>1468.37</v>
      </c>
      <c r="D1521" s="844">
        <v>3000</v>
      </c>
      <c r="E1521" s="769"/>
      <c r="F1521" s="769"/>
      <c r="G1521" s="769"/>
      <c r="H1521" s="769"/>
      <c r="I1521" s="844"/>
      <c r="J1521" s="769"/>
      <c r="K1521" s="769">
        <f>SUM(C1521:J1521)</f>
        <v>4468.37</v>
      </c>
      <c r="L1521" s="844">
        <f>1000*B1521</f>
        <v>1000</v>
      </c>
      <c r="M1521" s="844">
        <v>1000</v>
      </c>
      <c r="N1521" s="769">
        <f>K1521+M1521</f>
        <v>5468.37</v>
      </c>
      <c r="O1521" s="769">
        <f>+K1521</f>
        <v>4468.37</v>
      </c>
      <c r="P1521" s="769">
        <f>((O1521*12)*B1521)+M1521</f>
        <v>54620.44</v>
      </c>
      <c r="Q1521" s="718">
        <v>1</v>
      </c>
      <c r="R1521" s="844">
        <v>1468.37</v>
      </c>
      <c r="S1521" s="844">
        <v>3000</v>
      </c>
      <c r="T1521" s="769"/>
      <c r="U1521" s="769"/>
      <c r="V1521" s="769"/>
      <c r="W1521" s="769"/>
      <c r="X1521" s="844"/>
      <c r="Y1521" s="769"/>
      <c r="Z1521" s="769">
        <f>SUM(R1521:Y1521)</f>
        <v>4468.37</v>
      </c>
      <c r="AA1521" s="844">
        <f t="shared" ref="AA1521:AA1527" si="932">1000*Q1521</f>
        <v>1000</v>
      </c>
      <c r="AB1521" s="844">
        <v>1000</v>
      </c>
      <c r="AC1521" s="769">
        <f t="shared" ref="AC1521:AC1527" si="933">Z1521+AB1521</f>
        <v>5468.37</v>
      </c>
      <c r="AD1521" s="769">
        <f>+Z1521</f>
        <v>4468.37</v>
      </c>
      <c r="AE1521" s="769">
        <f>((AD1521*12)*Q1521)+AB1521</f>
        <v>54620.44</v>
      </c>
      <c r="AF1521" s="769">
        <f>+O1521-Z1521</f>
        <v>0</v>
      </c>
      <c r="AG1521" s="845">
        <f>+P1521-AE1521</f>
        <v>0</v>
      </c>
      <c r="AH1521" s="718">
        <f>+Q1521</f>
        <v>1</v>
      </c>
      <c r="AI1521" s="769">
        <f>+AE1521</f>
        <v>54620.44</v>
      </c>
    </row>
    <row r="1522" spans="1:35" x14ac:dyDescent="0.2">
      <c r="A1522" s="863" t="s">
        <v>405</v>
      </c>
      <c r="B1522" s="718">
        <v>2</v>
      </c>
      <c r="C1522" s="844">
        <v>1444.97</v>
      </c>
      <c r="D1522" s="844">
        <f>1311*B1522</f>
        <v>2622</v>
      </c>
      <c r="E1522" s="769"/>
      <c r="F1522" s="769"/>
      <c r="G1522" s="769"/>
      <c r="H1522" s="769"/>
      <c r="I1522" s="844"/>
      <c r="J1522" s="769"/>
      <c r="K1522" s="769">
        <f t="shared" ref="K1522:K1549" si="934">SUM(C1522:J1522)</f>
        <v>4066.9700000000003</v>
      </c>
      <c r="L1522" s="844">
        <f t="shared" ref="L1522:L1548" si="935">1000*B1522</f>
        <v>2000</v>
      </c>
      <c r="M1522" s="844">
        <v>2000</v>
      </c>
      <c r="N1522" s="769">
        <f t="shared" ref="N1522:N1548" si="936">K1522+M1522</f>
        <v>6066.97</v>
      </c>
      <c r="O1522" s="769">
        <f t="shared" ref="O1522:O1549" si="937">+K1522</f>
        <v>4066.9700000000003</v>
      </c>
      <c r="P1522" s="769">
        <f t="shared" ref="P1522:P1549" si="938">((O1522*12)*B1522)+M1522</f>
        <v>99607.28</v>
      </c>
      <c r="Q1522" s="718">
        <v>2</v>
      </c>
      <c r="R1522" s="844">
        <v>1444.97</v>
      </c>
      <c r="S1522" s="844">
        <f>1311*Q1522</f>
        <v>2622</v>
      </c>
      <c r="T1522" s="769"/>
      <c r="U1522" s="769"/>
      <c r="V1522" s="769"/>
      <c r="W1522" s="769"/>
      <c r="X1522" s="844"/>
      <c r="Y1522" s="769"/>
      <c r="Z1522" s="769">
        <f t="shared" ref="Z1522:Z1545" si="939">SUM(R1522:Y1522)</f>
        <v>4066.9700000000003</v>
      </c>
      <c r="AA1522" s="844">
        <f t="shared" si="932"/>
        <v>2000</v>
      </c>
      <c r="AB1522" s="844">
        <v>2000</v>
      </c>
      <c r="AC1522" s="769">
        <f t="shared" si="933"/>
        <v>6066.97</v>
      </c>
      <c r="AD1522" s="769">
        <f t="shared" ref="AD1522:AD1545" si="940">+Z1522</f>
        <v>4066.9700000000003</v>
      </c>
      <c r="AE1522" s="769">
        <f t="shared" ref="AE1522:AE1545" si="941">((AD1522*12)*Q1522)+AB1522</f>
        <v>99607.28</v>
      </c>
      <c r="AF1522" s="769">
        <f t="shared" ref="AF1522:AF1548" si="942">+O1522-Z1522</f>
        <v>0</v>
      </c>
      <c r="AG1522" s="845">
        <f t="shared" ref="AG1522:AG1548" si="943">+P1522-AE1522</f>
        <v>0</v>
      </c>
      <c r="AH1522" s="718">
        <f t="shared" ref="AH1522:AH1549" si="944">+Q1522</f>
        <v>2</v>
      </c>
      <c r="AI1522" s="769">
        <f t="shared" ref="AI1522:AI1549" si="945">+AE1522</f>
        <v>99607.28</v>
      </c>
    </row>
    <row r="1523" spans="1:35" x14ac:dyDescent="0.2">
      <c r="A1523" s="863" t="s">
        <v>741</v>
      </c>
      <c r="B1523" s="718">
        <v>3</v>
      </c>
      <c r="C1523" s="844">
        <v>1229.3</v>
      </c>
      <c r="D1523" s="844">
        <f>1210*B1523</f>
        <v>3630</v>
      </c>
      <c r="E1523" s="769"/>
      <c r="F1523" s="769"/>
      <c r="G1523" s="769"/>
      <c r="H1523" s="769"/>
      <c r="I1523" s="844"/>
      <c r="J1523" s="769"/>
      <c r="K1523" s="769">
        <f t="shared" si="934"/>
        <v>4859.3</v>
      </c>
      <c r="L1523" s="844">
        <f t="shared" si="935"/>
        <v>3000</v>
      </c>
      <c r="M1523" s="844">
        <v>3000</v>
      </c>
      <c r="N1523" s="769">
        <f t="shared" si="936"/>
        <v>7859.3</v>
      </c>
      <c r="O1523" s="769">
        <f t="shared" si="937"/>
        <v>4859.3</v>
      </c>
      <c r="P1523" s="769">
        <f t="shared" si="938"/>
        <v>177934.80000000002</v>
      </c>
      <c r="Q1523" s="718">
        <v>3</v>
      </c>
      <c r="R1523" s="844">
        <v>1229.3</v>
      </c>
      <c r="S1523" s="844">
        <f>1210*Q1523</f>
        <v>3630</v>
      </c>
      <c r="T1523" s="769"/>
      <c r="U1523" s="769"/>
      <c r="V1523" s="769"/>
      <c r="W1523" s="769"/>
      <c r="X1523" s="844"/>
      <c r="Y1523" s="769"/>
      <c r="Z1523" s="769">
        <f t="shared" si="939"/>
        <v>4859.3</v>
      </c>
      <c r="AA1523" s="844">
        <f t="shared" si="932"/>
        <v>3000</v>
      </c>
      <c r="AB1523" s="844">
        <v>3000</v>
      </c>
      <c r="AC1523" s="769">
        <f t="shared" si="933"/>
        <v>7859.3</v>
      </c>
      <c r="AD1523" s="769">
        <f t="shared" si="940"/>
        <v>4859.3</v>
      </c>
      <c r="AE1523" s="769">
        <f t="shared" si="941"/>
        <v>177934.80000000002</v>
      </c>
      <c r="AF1523" s="769">
        <f t="shared" si="942"/>
        <v>0</v>
      </c>
      <c r="AG1523" s="845">
        <f t="shared" si="943"/>
        <v>0</v>
      </c>
      <c r="AH1523" s="718">
        <f t="shared" si="944"/>
        <v>3</v>
      </c>
      <c r="AI1523" s="769">
        <f t="shared" si="945"/>
        <v>177934.80000000002</v>
      </c>
    </row>
    <row r="1524" spans="1:35" x14ac:dyDescent="0.2">
      <c r="A1524" s="880" t="s">
        <v>932</v>
      </c>
      <c r="B1524" s="718">
        <v>1</v>
      </c>
      <c r="C1524" s="844">
        <v>834.94</v>
      </c>
      <c r="D1524" s="844">
        <v>1110</v>
      </c>
      <c r="E1524" s="769"/>
      <c r="F1524" s="769"/>
      <c r="G1524" s="769"/>
      <c r="H1524" s="769"/>
      <c r="I1524" s="844"/>
      <c r="J1524" s="769"/>
      <c r="K1524" s="769">
        <f t="shared" si="934"/>
        <v>1944.94</v>
      </c>
      <c r="L1524" s="844">
        <f t="shared" si="935"/>
        <v>1000</v>
      </c>
      <c r="M1524" s="844">
        <v>1000</v>
      </c>
      <c r="N1524" s="769">
        <f t="shared" si="936"/>
        <v>2944.94</v>
      </c>
      <c r="O1524" s="769">
        <f t="shared" si="937"/>
        <v>1944.94</v>
      </c>
      <c r="P1524" s="769">
        <f t="shared" si="938"/>
        <v>24339.279999999999</v>
      </c>
      <c r="Q1524" s="718">
        <v>1</v>
      </c>
      <c r="R1524" s="844">
        <v>834.94</v>
      </c>
      <c r="S1524" s="844">
        <v>1110</v>
      </c>
      <c r="T1524" s="769"/>
      <c r="U1524" s="769"/>
      <c r="V1524" s="769"/>
      <c r="W1524" s="769"/>
      <c r="X1524" s="844"/>
      <c r="Y1524" s="769"/>
      <c r="Z1524" s="769">
        <f t="shared" si="939"/>
        <v>1944.94</v>
      </c>
      <c r="AA1524" s="844">
        <f t="shared" si="932"/>
        <v>1000</v>
      </c>
      <c r="AB1524" s="844">
        <v>1000</v>
      </c>
      <c r="AC1524" s="769">
        <f t="shared" si="933"/>
        <v>2944.94</v>
      </c>
      <c r="AD1524" s="769">
        <f t="shared" si="940"/>
        <v>1944.94</v>
      </c>
      <c r="AE1524" s="769">
        <f t="shared" si="941"/>
        <v>24339.279999999999</v>
      </c>
      <c r="AF1524" s="769">
        <f t="shared" si="942"/>
        <v>0</v>
      </c>
      <c r="AG1524" s="845">
        <f t="shared" si="943"/>
        <v>0</v>
      </c>
      <c r="AH1524" s="718">
        <f t="shared" si="944"/>
        <v>1</v>
      </c>
      <c r="AI1524" s="769">
        <f t="shared" si="945"/>
        <v>24339.279999999999</v>
      </c>
    </row>
    <row r="1525" spans="1:35" x14ac:dyDescent="0.2">
      <c r="A1525" s="863" t="s">
        <v>391</v>
      </c>
      <c r="B1525" s="718">
        <v>1</v>
      </c>
      <c r="C1525" s="844">
        <v>815.21</v>
      </c>
      <c r="D1525" s="844">
        <f>1070*B1525</f>
        <v>1070</v>
      </c>
      <c r="E1525" s="769"/>
      <c r="F1525" s="769"/>
      <c r="G1525" s="769"/>
      <c r="H1525" s="769"/>
      <c r="I1525" s="844"/>
      <c r="J1525" s="769"/>
      <c r="K1525" s="769">
        <f t="shared" si="934"/>
        <v>1885.21</v>
      </c>
      <c r="L1525" s="844">
        <f t="shared" si="935"/>
        <v>1000</v>
      </c>
      <c r="M1525" s="844">
        <v>1000</v>
      </c>
      <c r="N1525" s="769">
        <f t="shared" si="936"/>
        <v>2885.21</v>
      </c>
      <c r="O1525" s="769">
        <f t="shared" si="937"/>
        <v>1885.21</v>
      </c>
      <c r="P1525" s="769">
        <f t="shared" si="938"/>
        <v>23622.52</v>
      </c>
      <c r="Q1525" s="718">
        <v>1</v>
      </c>
      <c r="R1525" s="844">
        <v>815.21</v>
      </c>
      <c r="S1525" s="844">
        <f>1070*Q1525</f>
        <v>1070</v>
      </c>
      <c r="T1525" s="769"/>
      <c r="U1525" s="769"/>
      <c r="V1525" s="769"/>
      <c r="W1525" s="769"/>
      <c r="X1525" s="844"/>
      <c r="Y1525" s="769"/>
      <c r="Z1525" s="769">
        <f t="shared" si="939"/>
        <v>1885.21</v>
      </c>
      <c r="AA1525" s="844">
        <f t="shared" si="932"/>
        <v>1000</v>
      </c>
      <c r="AB1525" s="844">
        <v>1000</v>
      </c>
      <c r="AC1525" s="769">
        <f t="shared" si="933"/>
        <v>2885.21</v>
      </c>
      <c r="AD1525" s="769">
        <f t="shared" si="940"/>
        <v>1885.21</v>
      </c>
      <c r="AE1525" s="769">
        <f t="shared" si="941"/>
        <v>23622.52</v>
      </c>
      <c r="AF1525" s="769">
        <f t="shared" si="942"/>
        <v>0</v>
      </c>
      <c r="AG1525" s="845">
        <f t="shared" si="943"/>
        <v>0</v>
      </c>
      <c r="AH1525" s="718">
        <f t="shared" si="944"/>
        <v>1</v>
      </c>
      <c r="AI1525" s="769">
        <f t="shared" si="945"/>
        <v>23622.52</v>
      </c>
    </row>
    <row r="1526" spans="1:35" x14ac:dyDescent="0.2">
      <c r="A1526" s="863" t="s">
        <v>392</v>
      </c>
      <c r="B1526" s="718">
        <v>1</v>
      </c>
      <c r="C1526" s="844">
        <v>811.7</v>
      </c>
      <c r="D1526" s="844">
        <f>1070*B1526</f>
        <v>1070</v>
      </c>
      <c r="E1526" s="769"/>
      <c r="F1526" s="769"/>
      <c r="G1526" s="769"/>
      <c r="H1526" s="769"/>
      <c r="I1526" s="844"/>
      <c r="J1526" s="769"/>
      <c r="K1526" s="769">
        <f t="shared" si="934"/>
        <v>1881.7</v>
      </c>
      <c r="L1526" s="844">
        <f t="shared" si="935"/>
        <v>1000</v>
      </c>
      <c r="M1526" s="844">
        <v>1000</v>
      </c>
      <c r="N1526" s="769">
        <f t="shared" si="936"/>
        <v>2881.7</v>
      </c>
      <c r="O1526" s="769">
        <f t="shared" si="937"/>
        <v>1881.7</v>
      </c>
      <c r="P1526" s="769">
        <f t="shared" si="938"/>
        <v>23580.400000000001</v>
      </c>
      <c r="Q1526" s="718">
        <v>1</v>
      </c>
      <c r="R1526" s="844">
        <v>811.7</v>
      </c>
      <c r="S1526" s="844">
        <f>1070*Q1526</f>
        <v>1070</v>
      </c>
      <c r="T1526" s="769"/>
      <c r="U1526" s="769"/>
      <c r="V1526" s="769"/>
      <c r="W1526" s="769"/>
      <c r="X1526" s="844"/>
      <c r="Y1526" s="769"/>
      <c r="Z1526" s="769">
        <f t="shared" si="939"/>
        <v>1881.7</v>
      </c>
      <c r="AA1526" s="844">
        <f t="shared" si="932"/>
        <v>1000</v>
      </c>
      <c r="AB1526" s="844">
        <v>1000</v>
      </c>
      <c r="AC1526" s="769">
        <f t="shared" si="933"/>
        <v>2881.7</v>
      </c>
      <c r="AD1526" s="769">
        <f t="shared" si="940"/>
        <v>1881.7</v>
      </c>
      <c r="AE1526" s="769">
        <f t="shared" si="941"/>
        <v>23580.400000000001</v>
      </c>
      <c r="AF1526" s="769">
        <f t="shared" si="942"/>
        <v>0</v>
      </c>
      <c r="AG1526" s="845">
        <f t="shared" si="943"/>
        <v>0</v>
      </c>
      <c r="AH1526" s="718">
        <f t="shared" si="944"/>
        <v>1</v>
      </c>
      <c r="AI1526" s="769">
        <f t="shared" si="945"/>
        <v>23580.400000000001</v>
      </c>
    </row>
    <row r="1527" spans="1:35" x14ac:dyDescent="0.2">
      <c r="A1527" s="863" t="s">
        <v>409</v>
      </c>
      <c r="B1527" s="718">
        <v>1</v>
      </c>
      <c r="C1527" s="844">
        <v>854</v>
      </c>
      <c r="D1527" s="844">
        <v>1070</v>
      </c>
      <c r="E1527" s="769"/>
      <c r="F1527" s="769"/>
      <c r="G1527" s="769"/>
      <c r="H1527" s="769"/>
      <c r="I1527" s="844"/>
      <c r="J1527" s="769"/>
      <c r="K1527" s="769">
        <f t="shared" si="934"/>
        <v>1924</v>
      </c>
      <c r="L1527" s="844">
        <f t="shared" si="935"/>
        <v>1000</v>
      </c>
      <c r="M1527" s="844">
        <v>1000</v>
      </c>
      <c r="N1527" s="769">
        <f>K1527+M1527</f>
        <v>2924</v>
      </c>
      <c r="O1527" s="769">
        <f>+K1527</f>
        <v>1924</v>
      </c>
      <c r="P1527" s="769">
        <f>((O1527*12)*B1527)+M1527</f>
        <v>24088</v>
      </c>
      <c r="Q1527" s="718">
        <v>1</v>
      </c>
      <c r="R1527" s="844">
        <v>854</v>
      </c>
      <c r="S1527" s="844">
        <v>1070</v>
      </c>
      <c r="T1527" s="769"/>
      <c r="U1527" s="769"/>
      <c r="V1527" s="769"/>
      <c r="W1527" s="769"/>
      <c r="X1527" s="844"/>
      <c r="Y1527" s="769"/>
      <c r="Z1527" s="769">
        <f t="shared" si="939"/>
        <v>1924</v>
      </c>
      <c r="AA1527" s="844">
        <f t="shared" si="932"/>
        <v>1000</v>
      </c>
      <c r="AB1527" s="844">
        <v>1000</v>
      </c>
      <c r="AC1527" s="769">
        <f t="shared" si="933"/>
        <v>2924</v>
      </c>
      <c r="AD1527" s="769">
        <f t="shared" si="940"/>
        <v>1924</v>
      </c>
      <c r="AE1527" s="769">
        <f t="shared" si="941"/>
        <v>24088</v>
      </c>
      <c r="AF1527" s="769">
        <f t="shared" si="942"/>
        <v>0</v>
      </c>
      <c r="AG1527" s="845">
        <f t="shared" si="943"/>
        <v>0</v>
      </c>
      <c r="AH1527" s="718">
        <f t="shared" si="944"/>
        <v>1</v>
      </c>
      <c r="AI1527" s="769">
        <f t="shared" si="945"/>
        <v>24088</v>
      </c>
    </row>
    <row r="1528" spans="1:35" ht="36" x14ac:dyDescent="0.2">
      <c r="A1528" s="863" t="s">
        <v>448</v>
      </c>
      <c r="B1528" s="718"/>
      <c r="C1528" s="844"/>
      <c r="D1528" s="844"/>
      <c r="E1528" s="769"/>
      <c r="F1528" s="769"/>
      <c r="G1528" s="769"/>
      <c r="H1528" s="769"/>
      <c r="I1528" s="844"/>
      <c r="J1528" s="769"/>
      <c r="K1528" s="769">
        <f t="shared" si="934"/>
        <v>0</v>
      </c>
      <c r="L1528" s="844"/>
      <c r="M1528" s="844"/>
      <c r="N1528" s="769">
        <f>(K1528*12)+M1528</f>
        <v>0</v>
      </c>
      <c r="O1528" s="769">
        <f t="shared" si="937"/>
        <v>0</v>
      </c>
      <c r="P1528" s="769">
        <f t="shared" si="938"/>
        <v>0</v>
      </c>
      <c r="Q1528" s="718"/>
      <c r="R1528" s="844"/>
      <c r="S1528" s="844"/>
      <c r="T1528" s="769"/>
      <c r="U1528" s="769"/>
      <c r="V1528" s="769"/>
      <c r="W1528" s="769"/>
      <c r="X1528" s="844"/>
      <c r="Y1528" s="769"/>
      <c r="Z1528" s="769">
        <f t="shared" si="939"/>
        <v>0</v>
      </c>
      <c r="AA1528" s="844"/>
      <c r="AB1528" s="844"/>
      <c r="AC1528" s="769">
        <f>(Z1528*12)+AB1528</f>
        <v>0</v>
      </c>
      <c r="AD1528" s="769">
        <f t="shared" si="940"/>
        <v>0</v>
      </c>
      <c r="AE1528" s="769">
        <f t="shared" si="941"/>
        <v>0</v>
      </c>
      <c r="AF1528" s="769">
        <f t="shared" si="942"/>
        <v>0</v>
      </c>
      <c r="AG1528" s="845">
        <f t="shared" si="943"/>
        <v>0</v>
      </c>
      <c r="AH1528" s="718">
        <f t="shared" si="944"/>
        <v>0</v>
      </c>
      <c r="AI1528" s="769">
        <f t="shared" si="945"/>
        <v>0</v>
      </c>
    </row>
    <row r="1529" spans="1:35" x14ac:dyDescent="0.2">
      <c r="A1529" s="863" t="s">
        <v>394</v>
      </c>
      <c r="B1529" s="718">
        <v>2</v>
      </c>
      <c r="C1529" s="844">
        <v>2086</v>
      </c>
      <c r="D1529" s="844"/>
      <c r="E1529" s="769"/>
      <c r="F1529" s="769"/>
      <c r="G1529" s="769"/>
      <c r="H1529" s="769"/>
      <c r="I1529" s="844">
        <f>158+410+525.36</f>
        <v>1093.3600000000001</v>
      </c>
      <c r="J1529" s="769"/>
      <c r="K1529" s="769">
        <f t="shared" si="934"/>
        <v>3179.36</v>
      </c>
      <c r="L1529" s="844">
        <f t="shared" si="935"/>
        <v>2000</v>
      </c>
      <c r="M1529" s="844">
        <v>2000</v>
      </c>
      <c r="N1529" s="769">
        <f t="shared" si="936"/>
        <v>5179.3600000000006</v>
      </c>
      <c r="O1529" s="769">
        <f t="shared" si="937"/>
        <v>3179.36</v>
      </c>
      <c r="P1529" s="769">
        <f t="shared" si="938"/>
        <v>78304.639999999999</v>
      </c>
      <c r="Q1529" s="718">
        <v>2</v>
      </c>
      <c r="R1529" s="844">
        <v>2086</v>
      </c>
      <c r="S1529" s="844"/>
      <c r="T1529" s="769"/>
      <c r="U1529" s="769"/>
      <c r="V1529" s="769"/>
      <c r="W1529" s="769"/>
      <c r="X1529" s="844">
        <f>158+410+525.36</f>
        <v>1093.3600000000001</v>
      </c>
      <c r="Y1529" s="769"/>
      <c r="Z1529" s="769">
        <f t="shared" si="939"/>
        <v>3179.36</v>
      </c>
      <c r="AA1529" s="844">
        <f t="shared" ref="AA1529:AA1537" si="946">1000*Q1529</f>
        <v>2000</v>
      </c>
      <c r="AB1529" s="844">
        <v>2000</v>
      </c>
      <c r="AC1529" s="769">
        <f t="shared" ref="AC1529:AC1545" si="947">Z1529+AB1529</f>
        <v>5179.3600000000006</v>
      </c>
      <c r="AD1529" s="769">
        <f t="shared" si="940"/>
        <v>3179.36</v>
      </c>
      <c r="AE1529" s="769">
        <f t="shared" si="941"/>
        <v>78304.639999999999</v>
      </c>
      <c r="AF1529" s="769">
        <f t="shared" si="942"/>
        <v>0</v>
      </c>
      <c r="AG1529" s="845">
        <f t="shared" si="943"/>
        <v>0</v>
      </c>
      <c r="AH1529" s="718">
        <f t="shared" si="944"/>
        <v>2</v>
      </c>
      <c r="AI1529" s="769">
        <f t="shared" si="945"/>
        <v>78304.639999999999</v>
      </c>
    </row>
    <row r="1530" spans="1:35" x14ac:dyDescent="0.2">
      <c r="A1530" s="863" t="s">
        <v>441</v>
      </c>
      <c r="B1530" s="718">
        <v>1</v>
      </c>
      <c r="C1530" s="844">
        <v>2077</v>
      </c>
      <c r="D1530" s="844"/>
      <c r="E1530" s="769"/>
      <c r="F1530" s="769"/>
      <c r="G1530" s="769"/>
      <c r="H1530" s="769"/>
      <c r="I1530" s="844">
        <f>158+410+347.1+0.1</f>
        <v>915.2</v>
      </c>
      <c r="J1530" s="769"/>
      <c r="K1530" s="769">
        <f t="shared" si="934"/>
        <v>2992.2</v>
      </c>
      <c r="L1530" s="844">
        <f t="shared" si="935"/>
        <v>1000</v>
      </c>
      <c r="M1530" s="844">
        <v>1000</v>
      </c>
      <c r="N1530" s="769">
        <f t="shared" si="936"/>
        <v>3992.2</v>
      </c>
      <c r="O1530" s="769">
        <f t="shared" si="937"/>
        <v>2992.2</v>
      </c>
      <c r="P1530" s="769">
        <f t="shared" si="938"/>
        <v>36906.399999999994</v>
      </c>
      <c r="Q1530" s="718">
        <v>1</v>
      </c>
      <c r="R1530" s="844">
        <v>2077</v>
      </c>
      <c r="S1530" s="844"/>
      <c r="T1530" s="769"/>
      <c r="U1530" s="769"/>
      <c r="V1530" s="769"/>
      <c r="W1530" s="769"/>
      <c r="X1530" s="844">
        <f>158+410+347.1+0.1</f>
        <v>915.2</v>
      </c>
      <c r="Y1530" s="769"/>
      <c r="Z1530" s="769">
        <f t="shared" si="939"/>
        <v>2992.2</v>
      </c>
      <c r="AA1530" s="844">
        <f t="shared" si="946"/>
        <v>1000</v>
      </c>
      <c r="AB1530" s="844">
        <v>1000</v>
      </c>
      <c r="AC1530" s="769">
        <f t="shared" si="947"/>
        <v>3992.2</v>
      </c>
      <c r="AD1530" s="769">
        <f t="shared" si="940"/>
        <v>2992.2</v>
      </c>
      <c r="AE1530" s="769">
        <f t="shared" si="941"/>
        <v>36906.399999999994</v>
      </c>
      <c r="AF1530" s="769">
        <f t="shared" si="942"/>
        <v>0</v>
      </c>
      <c r="AG1530" s="845">
        <f t="shared" si="943"/>
        <v>0</v>
      </c>
      <c r="AH1530" s="718">
        <f t="shared" si="944"/>
        <v>1</v>
      </c>
      <c r="AI1530" s="769">
        <f t="shared" si="945"/>
        <v>36906.399999999994</v>
      </c>
    </row>
    <row r="1531" spans="1:35" x14ac:dyDescent="0.2">
      <c r="A1531" s="863" t="s">
        <v>442</v>
      </c>
      <c r="B1531" s="718">
        <v>8</v>
      </c>
      <c r="C1531" s="844">
        <v>2068</v>
      </c>
      <c r="D1531" s="844"/>
      <c r="E1531" s="769"/>
      <c r="F1531" s="769"/>
      <c r="G1531" s="769"/>
      <c r="H1531" s="769"/>
      <c r="I1531" s="844">
        <f>158+410+535.05</f>
        <v>1103.05</v>
      </c>
      <c r="J1531" s="769"/>
      <c r="K1531" s="769">
        <f t="shared" si="934"/>
        <v>3171.05</v>
      </c>
      <c r="L1531" s="844">
        <f t="shared" si="935"/>
        <v>8000</v>
      </c>
      <c r="M1531" s="844">
        <v>8000</v>
      </c>
      <c r="N1531" s="769">
        <f t="shared" si="936"/>
        <v>11171.05</v>
      </c>
      <c r="O1531" s="769">
        <f t="shared" si="937"/>
        <v>3171.05</v>
      </c>
      <c r="P1531" s="769">
        <f t="shared" si="938"/>
        <v>312420.80000000005</v>
      </c>
      <c r="Q1531" s="718">
        <v>8</v>
      </c>
      <c r="R1531" s="844">
        <v>2068</v>
      </c>
      <c r="S1531" s="844"/>
      <c r="T1531" s="769"/>
      <c r="U1531" s="769"/>
      <c r="V1531" s="769"/>
      <c r="W1531" s="769"/>
      <c r="X1531" s="844">
        <f>158+410+535.05</f>
        <v>1103.05</v>
      </c>
      <c r="Y1531" s="769"/>
      <c r="Z1531" s="769">
        <f t="shared" si="939"/>
        <v>3171.05</v>
      </c>
      <c r="AA1531" s="844">
        <f t="shared" si="946"/>
        <v>8000</v>
      </c>
      <c r="AB1531" s="844">
        <v>8000</v>
      </c>
      <c r="AC1531" s="769">
        <f t="shared" si="947"/>
        <v>11171.05</v>
      </c>
      <c r="AD1531" s="769">
        <f t="shared" si="940"/>
        <v>3171.05</v>
      </c>
      <c r="AE1531" s="769">
        <f t="shared" si="941"/>
        <v>312420.80000000005</v>
      </c>
      <c r="AF1531" s="769">
        <f t="shared" si="942"/>
        <v>0</v>
      </c>
      <c r="AG1531" s="845">
        <f t="shared" si="943"/>
        <v>0</v>
      </c>
      <c r="AH1531" s="718">
        <f t="shared" si="944"/>
        <v>8</v>
      </c>
      <c r="AI1531" s="769">
        <f t="shared" si="945"/>
        <v>312420.80000000005</v>
      </c>
    </row>
    <row r="1532" spans="1:35" x14ac:dyDescent="0.2">
      <c r="A1532" s="863" t="s">
        <v>451</v>
      </c>
      <c r="B1532" s="718">
        <v>1</v>
      </c>
      <c r="C1532" s="844">
        <v>2041</v>
      </c>
      <c r="D1532" s="844"/>
      <c r="E1532" s="769"/>
      <c r="F1532" s="769"/>
      <c r="G1532" s="769"/>
      <c r="H1532" s="769"/>
      <c r="I1532" s="844">
        <f>158+410+535.05</f>
        <v>1103.05</v>
      </c>
      <c r="J1532" s="769"/>
      <c r="K1532" s="769">
        <f t="shared" si="934"/>
        <v>3144.05</v>
      </c>
      <c r="L1532" s="844">
        <f t="shared" si="935"/>
        <v>1000</v>
      </c>
      <c r="M1532" s="844">
        <v>1000</v>
      </c>
      <c r="N1532" s="769">
        <f t="shared" si="936"/>
        <v>4144.05</v>
      </c>
      <c r="O1532" s="769">
        <f t="shared" si="937"/>
        <v>3144.05</v>
      </c>
      <c r="P1532" s="769">
        <f t="shared" si="938"/>
        <v>38728.600000000006</v>
      </c>
      <c r="Q1532" s="718">
        <v>2</v>
      </c>
      <c r="R1532" s="844">
        <v>2041</v>
      </c>
      <c r="S1532" s="844"/>
      <c r="T1532" s="769"/>
      <c r="U1532" s="769"/>
      <c r="V1532" s="769"/>
      <c r="W1532" s="769"/>
      <c r="X1532" s="844">
        <f>158+410+535.05</f>
        <v>1103.05</v>
      </c>
      <c r="Y1532" s="769"/>
      <c r="Z1532" s="769">
        <f t="shared" si="939"/>
        <v>3144.05</v>
      </c>
      <c r="AA1532" s="844">
        <f t="shared" si="946"/>
        <v>2000</v>
      </c>
      <c r="AB1532" s="844">
        <v>1000</v>
      </c>
      <c r="AC1532" s="769">
        <f t="shared" si="947"/>
        <v>4144.05</v>
      </c>
      <c r="AD1532" s="769">
        <f t="shared" si="940"/>
        <v>3144.05</v>
      </c>
      <c r="AE1532" s="769">
        <f t="shared" si="941"/>
        <v>76457.200000000012</v>
      </c>
      <c r="AF1532" s="769">
        <f t="shared" si="942"/>
        <v>0</v>
      </c>
      <c r="AG1532" s="845">
        <f t="shared" si="943"/>
        <v>-37728.600000000006</v>
      </c>
      <c r="AH1532" s="718">
        <f t="shared" si="944"/>
        <v>2</v>
      </c>
      <c r="AI1532" s="769">
        <f t="shared" si="945"/>
        <v>76457.200000000012</v>
      </c>
    </row>
    <row r="1533" spans="1:35" x14ac:dyDescent="0.2">
      <c r="A1533" s="863" t="s">
        <v>390</v>
      </c>
      <c r="B1533" s="718">
        <v>2</v>
      </c>
      <c r="C1533" s="844">
        <v>2145</v>
      </c>
      <c r="D1533" s="844"/>
      <c r="E1533" s="769"/>
      <c r="F1533" s="769"/>
      <c r="G1533" s="769"/>
      <c r="H1533" s="769"/>
      <c r="I1533" s="844">
        <f>158+410+570.72</f>
        <v>1138.72</v>
      </c>
      <c r="J1533" s="769"/>
      <c r="K1533" s="769">
        <f t="shared" si="934"/>
        <v>3283.7200000000003</v>
      </c>
      <c r="L1533" s="844">
        <f t="shared" si="935"/>
        <v>2000</v>
      </c>
      <c r="M1533" s="844">
        <v>2000</v>
      </c>
      <c r="N1533" s="769">
        <f t="shared" si="936"/>
        <v>5283.72</v>
      </c>
      <c r="O1533" s="769">
        <f t="shared" si="937"/>
        <v>3283.7200000000003</v>
      </c>
      <c r="P1533" s="769">
        <f t="shared" si="938"/>
        <v>80809.279999999999</v>
      </c>
      <c r="Q1533" s="718">
        <v>2</v>
      </c>
      <c r="R1533" s="844">
        <v>2145</v>
      </c>
      <c r="S1533" s="844"/>
      <c r="T1533" s="769"/>
      <c r="U1533" s="769"/>
      <c r="V1533" s="769"/>
      <c r="W1533" s="769"/>
      <c r="X1533" s="844">
        <f>158+410+570.72</f>
        <v>1138.72</v>
      </c>
      <c r="Y1533" s="769"/>
      <c r="Z1533" s="769">
        <f t="shared" si="939"/>
        <v>3283.7200000000003</v>
      </c>
      <c r="AA1533" s="844">
        <f t="shared" si="946"/>
        <v>2000</v>
      </c>
      <c r="AB1533" s="844">
        <v>2000</v>
      </c>
      <c r="AC1533" s="769">
        <f t="shared" si="947"/>
        <v>5283.72</v>
      </c>
      <c r="AD1533" s="769">
        <f t="shared" si="940"/>
        <v>3283.7200000000003</v>
      </c>
      <c r="AE1533" s="769">
        <f t="shared" si="941"/>
        <v>80809.279999999999</v>
      </c>
      <c r="AF1533" s="769">
        <f t="shared" si="942"/>
        <v>0</v>
      </c>
      <c r="AG1533" s="845">
        <f t="shared" si="943"/>
        <v>0</v>
      </c>
      <c r="AH1533" s="718">
        <f t="shared" si="944"/>
        <v>2</v>
      </c>
      <c r="AI1533" s="769">
        <f t="shared" si="945"/>
        <v>80809.279999999999</v>
      </c>
    </row>
    <row r="1534" spans="1:35" x14ac:dyDescent="0.2">
      <c r="A1534" s="863" t="s">
        <v>391</v>
      </c>
      <c r="B1534" s="718">
        <v>11</v>
      </c>
      <c r="C1534" s="844">
        <v>2127</v>
      </c>
      <c r="D1534" s="844"/>
      <c r="E1534" s="769"/>
      <c r="F1534" s="769"/>
      <c r="G1534" s="769"/>
      <c r="H1534" s="769"/>
      <c r="I1534" s="844">
        <f>158+410+642.06</f>
        <v>1210.06</v>
      </c>
      <c r="J1534" s="769"/>
      <c r="K1534" s="769">
        <f t="shared" si="934"/>
        <v>3337.06</v>
      </c>
      <c r="L1534" s="844">
        <f t="shared" si="935"/>
        <v>11000</v>
      </c>
      <c r="M1534" s="844">
        <v>11000</v>
      </c>
      <c r="N1534" s="769">
        <f t="shared" si="936"/>
        <v>14337.06</v>
      </c>
      <c r="O1534" s="769">
        <f t="shared" si="937"/>
        <v>3337.06</v>
      </c>
      <c r="P1534" s="769">
        <f t="shared" si="938"/>
        <v>451491.92000000004</v>
      </c>
      <c r="Q1534" s="718">
        <v>11</v>
      </c>
      <c r="R1534" s="844">
        <v>2127</v>
      </c>
      <c r="S1534" s="844"/>
      <c r="T1534" s="769"/>
      <c r="U1534" s="769"/>
      <c r="V1534" s="769"/>
      <c r="W1534" s="769"/>
      <c r="X1534" s="844">
        <f>158+410+642.06</f>
        <v>1210.06</v>
      </c>
      <c r="Y1534" s="769"/>
      <c r="Z1534" s="769">
        <f t="shared" si="939"/>
        <v>3337.06</v>
      </c>
      <c r="AA1534" s="844">
        <f t="shared" si="946"/>
        <v>11000</v>
      </c>
      <c r="AB1534" s="844">
        <v>11000</v>
      </c>
      <c r="AC1534" s="769">
        <f t="shared" si="947"/>
        <v>14337.06</v>
      </c>
      <c r="AD1534" s="769">
        <f t="shared" si="940"/>
        <v>3337.06</v>
      </c>
      <c r="AE1534" s="769">
        <f t="shared" si="941"/>
        <v>451491.92000000004</v>
      </c>
      <c r="AF1534" s="769">
        <f t="shared" si="942"/>
        <v>0</v>
      </c>
      <c r="AG1534" s="845">
        <f t="shared" si="943"/>
        <v>0</v>
      </c>
      <c r="AH1534" s="718">
        <f t="shared" si="944"/>
        <v>11</v>
      </c>
      <c r="AI1534" s="769">
        <f t="shared" si="945"/>
        <v>451491.92000000004</v>
      </c>
    </row>
    <row r="1535" spans="1:35" x14ac:dyDescent="0.2">
      <c r="A1535" s="863" t="s">
        <v>392</v>
      </c>
      <c r="B1535" s="718">
        <v>11</v>
      </c>
      <c r="C1535" s="844">
        <v>2109</v>
      </c>
      <c r="D1535" s="844"/>
      <c r="E1535" s="769"/>
      <c r="F1535" s="769"/>
      <c r="G1535" s="769"/>
      <c r="H1535" s="769"/>
      <c r="I1535" s="844">
        <f>158+410+535.05</f>
        <v>1103.05</v>
      </c>
      <c r="J1535" s="769"/>
      <c r="K1535" s="769">
        <f t="shared" si="934"/>
        <v>3212.05</v>
      </c>
      <c r="L1535" s="844">
        <f t="shared" si="935"/>
        <v>11000</v>
      </c>
      <c r="M1535" s="844">
        <v>12000</v>
      </c>
      <c r="N1535" s="769">
        <f t="shared" si="936"/>
        <v>15212.05</v>
      </c>
      <c r="O1535" s="769">
        <f t="shared" si="937"/>
        <v>3212.05</v>
      </c>
      <c r="P1535" s="769">
        <f t="shared" si="938"/>
        <v>435990.60000000009</v>
      </c>
      <c r="Q1535" s="718">
        <v>11</v>
      </c>
      <c r="R1535" s="844">
        <v>2109</v>
      </c>
      <c r="S1535" s="844"/>
      <c r="T1535" s="769"/>
      <c r="U1535" s="769"/>
      <c r="V1535" s="769"/>
      <c r="W1535" s="769"/>
      <c r="X1535" s="844">
        <f>158+410+535.05</f>
        <v>1103.05</v>
      </c>
      <c r="Y1535" s="769"/>
      <c r="Z1535" s="769">
        <f t="shared" si="939"/>
        <v>3212.05</v>
      </c>
      <c r="AA1535" s="844">
        <f t="shared" si="946"/>
        <v>11000</v>
      </c>
      <c r="AB1535" s="844">
        <v>12000</v>
      </c>
      <c r="AC1535" s="769">
        <f t="shared" si="947"/>
        <v>15212.05</v>
      </c>
      <c r="AD1535" s="769">
        <f t="shared" si="940"/>
        <v>3212.05</v>
      </c>
      <c r="AE1535" s="769">
        <f t="shared" si="941"/>
        <v>435990.60000000009</v>
      </c>
      <c r="AF1535" s="769">
        <f t="shared" si="942"/>
        <v>0</v>
      </c>
      <c r="AG1535" s="845">
        <f t="shared" si="943"/>
        <v>0</v>
      </c>
      <c r="AH1535" s="718">
        <f t="shared" si="944"/>
        <v>11</v>
      </c>
      <c r="AI1535" s="769">
        <f t="shared" si="945"/>
        <v>435990.60000000009</v>
      </c>
    </row>
    <row r="1536" spans="1:35" x14ac:dyDescent="0.2">
      <c r="A1536" s="863" t="s">
        <v>439</v>
      </c>
      <c r="B1536" s="718">
        <v>1</v>
      </c>
      <c r="C1536" s="844">
        <v>2091</v>
      </c>
      <c r="D1536" s="844"/>
      <c r="E1536" s="769"/>
      <c r="F1536" s="769"/>
      <c r="G1536" s="769"/>
      <c r="H1536" s="769"/>
      <c r="I1536" s="844">
        <f>158+410+347.1</f>
        <v>915.1</v>
      </c>
      <c r="J1536" s="769"/>
      <c r="K1536" s="769">
        <f t="shared" si="934"/>
        <v>3006.1</v>
      </c>
      <c r="L1536" s="844">
        <f t="shared" si="935"/>
        <v>1000</v>
      </c>
      <c r="M1536" s="844">
        <v>1000</v>
      </c>
      <c r="N1536" s="769">
        <f t="shared" si="936"/>
        <v>4006.1</v>
      </c>
      <c r="O1536" s="769">
        <f t="shared" si="937"/>
        <v>3006.1</v>
      </c>
      <c r="P1536" s="769">
        <f t="shared" si="938"/>
        <v>37073.199999999997</v>
      </c>
      <c r="Q1536" s="718">
        <v>1</v>
      </c>
      <c r="R1536" s="844">
        <v>2091</v>
      </c>
      <c r="S1536" s="844"/>
      <c r="T1536" s="769"/>
      <c r="U1536" s="769"/>
      <c r="V1536" s="769"/>
      <c r="W1536" s="769"/>
      <c r="X1536" s="844">
        <f>158+410+347.1</f>
        <v>915.1</v>
      </c>
      <c r="Y1536" s="769"/>
      <c r="Z1536" s="769">
        <f t="shared" si="939"/>
        <v>3006.1</v>
      </c>
      <c r="AA1536" s="844">
        <f t="shared" si="946"/>
        <v>1000</v>
      </c>
      <c r="AB1536" s="844">
        <v>1000</v>
      </c>
      <c r="AC1536" s="769">
        <f t="shared" si="947"/>
        <v>4006.1</v>
      </c>
      <c r="AD1536" s="769">
        <f t="shared" si="940"/>
        <v>3006.1</v>
      </c>
      <c r="AE1536" s="769">
        <f t="shared" si="941"/>
        <v>37073.199999999997</v>
      </c>
      <c r="AF1536" s="769">
        <f t="shared" si="942"/>
        <v>0</v>
      </c>
      <c r="AG1536" s="845">
        <f t="shared" si="943"/>
        <v>0</v>
      </c>
      <c r="AH1536" s="718">
        <f t="shared" si="944"/>
        <v>1</v>
      </c>
      <c r="AI1536" s="769">
        <f t="shared" si="945"/>
        <v>37073.199999999997</v>
      </c>
    </row>
    <row r="1537" spans="1:35" x14ac:dyDescent="0.2">
      <c r="A1537" s="863" t="s">
        <v>440</v>
      </c>
      <c r="B1537" s="718">
        <v>54</v>
      </c>
      <c r="C1537" s="844">
        <v>2324</v>
      </c>
      <c r="D1537" s="844"/>
      <c r="E1537" s="769"/>
      <c r="F1537" s="769"/>
      <c r="G1537" s="769"/>
      <c r="H1537" s="769"/>
      <c r="I1537" s="844">
        <f>158+410+287.95</f>
        <v>855.95</v>
      </c>
      <c r="J1537" s="769"/>
      <c r="K1537" s="769">
        <f t="shared" si="934"/>
        <v>3179.95</v>
      </c>
      <c r="L1537" s="844">
        <f t="shared" si="935"/>
        <v>54000</v>
      </c>
      <c r="M1537" s="844">
        <v>54000</v>
      </c>
      <c r="N1537" s="769">
        <f t="shared" si="936"/>
        <v>57179.95</v>
      </c>
      <c r="O1537" s="769">
        <f t="shared" si="937"/>
        <v>3179.95</v>
      </c>
      <c r="P1537" s="769">
        <f t="shared" si="938"/>
        <v>2114607.5999999996</v>
      </c>
      <c r="Q1537" s="718">
        <v>55</v>
      </c>
      <c r="R1537" s="844">
        <v>2324</v>
      </c>
      <c r="S1537" s="844"/>
      <c r="T1537" s="769"/>
      <c r="U1537" s="769"/>
      <c r="V1537" s="769"/>
      <c r="W1537" s="769"/>
      <c r="X1537" s="844">
        <f>158+410+287.95</f>
        <v>855.95</v>
      </c>
      <c r="Y1537" s="769"/>
      <c r="Z1537" s="769">
        <f t="shared" si="939"/>
        <v>3179.95</v>
      </c>
      <c r="AA1537" s="844">
        <f t="shared" si="946"/>
        <v>55000</v>
      </c>
      <c r="AB1537" s="844">
        <v>54000</v>
      </c>
      <c r="AC1537" s="769">
        <f t="shared" si="947"/>
        <v>57179.95</v>
      </c>
      <c r="AD1537" s="769">
        <f t="shared" si="940"/>
        <v>3179.95</v>
      </c>
      <c r="AE1537" s="769">
        <f t="shared" si="941"/>
        <v>2152766.9999999995</v>
      </c>
      <c r="AF1537" s="769">
        <f t="shared" si="942"/>
        <v>0</v>
      </c>
      <c r="AG1537" s="845">
        <f t="shared" si="943"/>
        <v>-38159.399999999907</v>
      </c>
      <c r="AH1537" s="718">
        <f t="shared" si="944"/>
        <v>55</v>
      </c>
      <c r="AI1537" s="769">
        <f t="shared" si="945"/>
        <v>2152766.9999999995</v>
      </c>
    </row>
    <row r="1538" spans="1:35" ht="36" x14ac:dyDescent="0.2">
      <c r="A1538" s="863" t="s">
        <v>511</v>
      </c>
      <c r="B1538" s="718"/>
      <c r="C1538" s="844"/>
      <c r="D1538" s="844"/>
      <c r="E1538" s="769"/>
      <c r="F1538" s="769"/>
      <c r="G1538" s="769"/>
      <c r="H1538" s="769"/>
      <c r="I1538" s="844"/>
      <c r="J1538" s="769"/>
      <c r="K1538" s="769">
        <f t="shared" si="934"/>
        <v>0</v>
      </c>
      <c r="L1538" s="844"/>
      <c r="M1538" s="844"/>
      <c r="N1538" s="769">
        <f t="shared" si="936"/>
        <v>0</v>
      </c>
      <c r="O1538" s="769">
        <f t="shared" si="937"/>
        <v>0</v>
      </c>
      <c r="P1538" s="769">
        <f t="shared" si="938"/>
        <v>0</v>
      </c>
      <c r="Q1538" s="718"/>
      <c r="R1538" s="844"/>
      <c r="S1538" s="844"/>
      <c r="T1538" s="769"/>
      <c r="U1538" s="769"/>
      <c r="V1538" s="769"/>
      <c r="W1538" s="769"/>
      <c r="X1538" s="844"/>
      <c r="Y1538" s="769"/>
      <c r="Z1538" s="769">
        <f t="shared" si="939"/>
        <v>0</v>
      </c>
      <c r="AA1538" s="844"/>
      <c r="AB1538" s="844"/>
      <c r="AC1538" s="769">
        <f t="shared" si="947"/>
        <v>0</v>
      </c>
      <c r="AD1538" s="769">
        <f t="shared" si="940"/>
        <v>0</v>
      </c>
      <c r="AE1538" s="769">
        <f t="shared" si="941"/>
        <v>0</v>
      </c>
      <c r="AF1538" s="769">
        <f t="shared" si="942"/>
        <v>0</v>
      </c>
      <c r="AG1538" s="845">
        <f t="shared" si="943"/>
        <v>0</v>
      </c>
      <c r="AH1538" s="718">
        <f t="shared" si="944"/>
        <v>0</v>
      </c>
      <c r="AI1538" s="769">
        <f t="shared" si="945"/>
        <v>0</v>
      </c>
    </row>
    <row r="1539" spans="1:35" x14ac:dyDescent="0.2">
      <c r="A1539" s="863" t="s">
        <v>933</v>
      </c>
      <c r="B1539" s="718">
        <v>4</v>
      </c>
      <c r="C1539" s="844">
        <v>3344</v>
      </c>
      <c r="D1539" s="844"/>
      <c r="E1539" s="769"/>
      <c r="F1539" s="769"/>
      <c r="G1539" s="769"/>
      <c r="H1539" s="769"/>
      <c r="I1539" s="844">
        <f>730+1051.83</f>
        <v>1781.83</v>
      </c>
      <c r="J1539" s="769"/>
      <c r="K1539" s="769">
        <f t="shared" si="934"/>
        <v>5125.83</v>
      </c>
      <c r="L1539" s="844">
        <f t="shared" si="935"/>
        <v>4000</v>
      </c>
      <c r="M1539" s="844">
        <v>4000</v>
      </c>
      <c r="N1539" s="769">
        <f t="shared" si="936"/>
        <v>9125.83</v>
      </c>
      <c r="O1539" s="769">
        <f t="shared" si="937"/>
        <v>5125.83</v>
      </c>
      <c r="P1539" s="769">
        <f t="shared" si="938"/>
        <v>250039.84</v>
      </c>
      <c r="Q1539" s="718">
        <v>4</v>
      </c>
      <c r="R1539" s="844">
        <v>3344</v>
      </c>
      <c r="S1539" s="844"/>
      <c r="T1539" s="769"/>
      <c r="U1539" s="769"/>
      <c r="V1539" s="769"/>
      <c r="W1539" s="769"/>
      <c r="X1539" s="844">
        <f>730+1051.83</f>
        <v>1781.83</v>
      </c>
      <c r="Y1539" s="769"/>
      <c r="Z1539" s="769">
        <f t="shared" si="939"/>
        <v>5125.83</v>
      </c>
      <c r="AA1539" s="844">
        <f t="shared" ref="AA1539:AA1545" si="948">1000*Q1539</f>
        <v>4000</v>
      </c>
      <c r="AB1539" s="844">
        <v>4000</v>
      </c>
      <c r="AC1539" s="769">
        <f t="shared" si="947"/>
        <v>9125.83</v>
      </c>
      <c r="AD1539" s="769">
        <f t="shared" si="940"/>
        <v>5125.83</v>
      </c>
      <c r="AE1539" s="769">
        <f t="shared" si="941"/>
        <v>250039.84</v>
      </c>
      <c r="AF1539" s="769">
        <f t="shared" si="942"/>
        <v>0</v>
      </c>
      <c r="AG1539" s="845">
        <f t="shared" si="943"/>
        <v>0</v>
      </c>
      <c r="AH1539" s="718">
        <f t="shared" si="944"/>
        <v>4</v>
      </c>
      <c r="AI1539" s="769">
        <f t="shared" si="945"/>
        <v>250039.84</v>
      </c>
    </row>
    <row r="1540" spans="1:35" x14ac:dyDescent="0.2">
      <c r="A1540" s="863" t="s">
        <v>934</v>
      </c>
      <c r="B1540" s="718">
        <v>1</v>
      </c>
      <c r="C1540" s="844">
        <v>4158</v>
      </c>
      <c r="D1540" s="844"/>
      <c r="E1540" s="769"/>
      <c r="F1540" s="769"/>
      <c r="G1540" s="769"/>
      <c r="H1540" s="769"/>
      <c r="I1540" s="844">
        <f>730+1542.93</f>
        <v>2272.9300000000003</v>
      </c>
      <c r="J1540" s="769"/>
      <c r="K1540" s="769">
        <f t="shared" si="934"/>
        <v>6430.93</v>
      </c>
      <c r="L1540" s="844">
        <f t="shared" si="935"/>
        <v>1000</v>
      </c>
      <c r="M1540" s="844">
        <v>1000</v>
      </c>
      <c r="N1540" s="769">
        <f t="shared" si="936"/>
        <v>7430.93</v>
      </c>
      <c r="O1540" s="769">
        <f t="shared" si="937"/>
        <v>6430.93</v>
      </c>
      <c r="P1540" s="769">
        <f t="shared" si="938"/>
        <v>78171.16</v>
      </c>
      <c r="Q1540" s="718">
        <v>1</v>
      </c>
      <c r="R1540" s="844">
        <v>4158</v>
      </c>
      <c r="S1540" s="844"/>
      <c r="T1540" s="769"/>
      <c r="U1540" s="769"/>
      <c r="V1540" s="769"/>
      <c r="W1540" s="769"/>
      <c r="X1540" s="844">
        <f>730+1542.93</f>
        <v>2272.9300000000003</v>
      </c>
      <c r="Y1540" s="769"/>
      <c r="Z1540" s="769">
        <f t="shared" si="939"/>
        <v>6430.93</v>
      </c>
      <c r="AA1540" s="844">
        <f t="shared" si="948"/>
        <v>1000</v>
      </c>
      <c r="AB1540" s="844">
        <v>1000</v>
      </c>
      <c r="AC1540" s="769">
        <f t="shared" si="947"/>
        <v>7430.93</v>
      </c>
      <c r="AD1540" s="769">
        <f t="shared" si="940"/>
        <v>6430.93</v>
      </c>
      <c r="AE1540" s="769">
        <f t="shared" si="941"/>
        <v>78171.16</v>
      </c>
      <c r="AF1540" s="769">
        <f t="shared" si="942"/>
        <v>0</v>
      </c>
      <c r="AG1540" s="845">
        <f t="shared" si="943"/>
        <v>0</v>
      </c>
      <c r="AH1540" s="718">
        <f t="shared" si="944"/>
        <v>1</v>
      </c>
      <c r="AI1540" s="769">
        <f t="shared" si="945"/>
        <v>78171.16</v>
      </c>
    </row>
    <row r="1541" spans="1:35" x14ac:dyDescent="0.2">
      <c r="A1541" s="863" t="s">
        <v>574</v>
      </c>
      <c r="B1541" s="718">
        <v>2</v>
      </c>
      <c r="C1541" s="844">
        <v>3344</v>
      </c>
      <c r="D1541" s="844"/>
      <c r="E1541" s="769"/>
      <c r="F1541" s="769"/>
      <c r="G1541" s="769"/>
      <c r="H1541" s="769"/>
      <c r="I1541" s="844">
        <f>925.35+930+1350</f>
        <v>3205.35</v>
      </c>
      <c r="J1541" s="769"/>
      <c r="K1541" s="769">
        <f t="shared" si="934"/>
        <v>6549.35</v>
      </c>
      <c r="L1541" s="844">
        <f t="shared" si="935"/>
        <v>2000</v>
      </c>
      <c r="M1541" s="844">
        <v>2000</v>
      </c>
      <c r="N1541" s="769">
        <f t="shared" si="936"/>
        <v>8549.35</v>
      </c>
      <c r="O1541" s="769">
        <f t="shared" si="937"/>
        <v>6549.35</v>
      </c>
      <c r="P1541" s="769">
        <f t="shared" si="938"/>
        <v>159184.40000000002</v>
      </c>
      <c r="Q1541" s="718">
        <v>2</v>
      </c>
      <c r="R1541" s="844">
        <v>3344</v>
      </c>
      <c r="S1541" s="844"/>
      <c r="T1541" s="769"/>
      <c r="U1541" s="769"/>
      <c r="V1541" s="769"/>
      <c r="W1541" s="769"/>
      <c r="X1541" s="844">
        <f>925.35+930+1350</f>
        <v>3205.35</v>
      </c>
      <c r="Y1541" s="769"/>
      <c r="Z1541" s="769">
        <f t="shared" si="939"/>
        <v>6549.35</v>
      </c>
      <c r="AA1541" s="844">
        <f t="shared" si="948"/>
        <v>2000</v>
      </c>
      <c r="AB1541" s="844">
        <v>2000</v>
      </c>
      <c r="AC1541" s="769">
        <f t="shared" si="947"/>
        <v>8549.35</v>
      </c>
      <c r="AD1541" s="769">
        <f t="shared" si="940"/>
        <v>6549.35</v>
      </c>
      <c r="AE1541" s="769">
        <f t="shared" si="941"/>
        <v>159184.40000000002</v>
      </c>
      <c r="AF1541" s="769">
        <f t="shared" si="942"/>
        <v>0</v>
      </c>
      <c r="AG1541" s="845">
        <f t="shared" si="943"/>
        <v>0</v>
      </c>
      <c r="AH1541" s="718">
        <f t="shared" si="944"/>
        <v>2</v>
      </c>
      <c r="AI1541" s="769">
        <f t="shared" si="945"/>
        <v>159184.40000000002</v>
      </c>
    </row>
    <row r="1542" spans="1:35" x14ac:dyDescent="0.2">
      <c r="A1542" s="863" t="s">
        <v>575</v>
      </c>
      <c r="B1542" s="718">
        <v>1</v>
      </c>
      <c r="C1542" s="844">
        <v>3900</v>
      </c>
      <c r="D1542" s="844"/>
      <c r="E1542" s="769"/>
      <c r="F1542" s="769"/>
      <c r="G1542" s="769"/>
      <c r="H1542" s="769"/>
      <c r="I1542" s="844">
        <f>730+1110.42</f>
        <v>1840.42</v>
      </c>
      <c r="J1542" s="769"/>
      <c r="K1542" s="769">
        <f t="shared" si="934"/>
        <v>5740.42</v>
      </c>
      <c r="L1542" s="844">
        <f t="shared" si="935"/>
        <v>1000</v>
      </c>
      <c r="M1542" s="844">
        <v>1000</v>
      </c>
      <c r="N1542" s="769">
        <f t="shared" si="936"/>
        <v>6740.42</v>
      </c>
      <c r="O1542" s="769">
        <f t="shared" si="937"/>
        <v>5740.42</v>
      </c>
      <c r="P1542" s="769">
        <f t="shared" si="938"/>
        <v>69885.040000000008</v>
      </c>
      <c r="Q1542" s="718">
        <v>1</v>
      </c>
      <c r="R1542" s="844">
        <v>3900</v>
      </c>
      <c r="S1542" s="844"/>
      <c r="T1542" s="769"/>
      <c r="U1542" s="769"/>
      <c r="V1542" s="769"/>
      <c r="W1542" s="769"/>
      <c r="X1542" s="844">
        <f>730+1110.42</f>
        <v>1840.42</v>
      </c>
      <c r="Y1542" s="769"/>
      <c r="Z1542" s="769">
        <f t="shared" si="939"/>
        <v>5740.42</v>
      </c>
      <c r="AA1542" s="844">
        <f t="shared" si="948"/>
        <v>1000</v>
      </c>
      <c r="AB1542" s="844">
        <v>1000</v>
      </c>
      <c r="AC1542" s="769">
        <f t="shared" si="947"/>
        <v>6740.42</v>
      </c>
      <c r="AD1542" s="769">
        <f t="shared" si="940"/>
        <v>5740.42</v>
      </c>
      <c r="AE1542" s="769">
        <f t="shared" si="941"/>
        <v>69885.040000000008</v>
      </c>
      <c r="AF1542" s="769">
        <f t="shared" si="942"/>
        <v>0</v>
      </c>
      <c r="AG1542" s="845">
        <f t="shared" si="943"/>
        <v>0</v>
      </c>
      <c r="AH1542" s="718">
        <f t="shared" si="944"/>
        <v>1</v>
      </c>
      <c r="AI1542" s="769">
        <f t="shared" si="945"/>
        <v>69885.040000000008</v>
      </c>
    </row>
    <row r="1543" spans="1:35" x14ac:dyDescent="0.2">
      <c r="A1543" s="863" t="s">
        <v>935</v>
      </c>
      <c r="B1543" s="718">
        <v>8</v>
      </c>
      <c r="C1543" s="844">
        <v>3344</v>
      </c>
      <c r="D1543" s="844"/>
      <c r="E1543" s="769"/>
      <c r="F1543" s="769"/>
      <c r="G1543" s="769"/>
      <c r="H1543" s="769"/>
      <c r="I1543" s="844">
        <f>730+1344.01+930</f>
        <v>3004.01</v>
      </c>
      <c r="J1543" s="769"/>
      <c r="K1543" s="769">
        <f t="shared" si="934"/>
        <v>6348.01</v>
      </c>
      <c r="L1543" s="844">
        <f t="shared" si="935"/>
        <v>8000</v>
      </c>
      <c r="M1543" s="844">
        <v>8000</v>
      </c>
      <c r="N1543" s="769">
        <f t="shared" si="936"/>
        <v>14348.01</v>
      </c>
      <c r="O1543" s="769">
        <f t="shared" si="937"/>
        <v>6348.01</v>
      </c>
      <c r="P1543" s="769">
        <f t="shared" si="938"/>
        <v>617408.96</v>
      </c>
      <c r="Q1543" s="718">
        <v>9</v>
      </c>
      <c r="R1543" s="844">
        <v>3344</v>
      </c>
      <c r="S1543" s="844"/>
      <c r="T1543" s="769"/>
      <c r="U1543" s="769"/>
      <c r="V1543" s="769"/>
      <c r="W1543" s="769"/>
      <c r="X1543" s="844">
        <f>730+1344.01+930</f>
        <v>3004.01</v>
      </c>
      <c r="Y1543" s="769"/>
      <c r="Z1543" s="769">
        <f t="shared" si="939"/>
        <v>6348.01</v>
      </c>
      <c r="AA1543" s="844">
        <f t="shared" si="948"/>
        <v>9000</v>
      </c>
      <c r="AB1543" s="844">
        <v>8000</v>
      </c>
      <c r="AC1543" s="769">
        <f t="shared" si="947"/>
        <v>14348.01</v>
      </c>
      <c r="AD1543" s="769">
        <f t="shared" si="940"/>
        <v>6348.01</v>
      </c>
      <c r="AE1543" s="769">
        <f t="shared" si="941"/>
        <v>693585.08</v>
      </c>
      <c r="AF1543" s="769">
        <f t="shared" si="942"/>
        <v>0</v>
      </c>
      <c r="AG1543" s="845">
        <f t="shared" si="943"/>
        <v>-76176.12</v>
      </c>
      <c r="AH1543" s="718">
        <f t="shared" si="944"/>
        <v>9</v>
      </c>
      <c r="AI1543" s="769">
        <f t="shared" si="945"/>
        <v>693585.08</v>
      </c>
    </row>
    <row r="1544" spans="1:35" x14ac:dyDescent="0.2">
      <c r="A1544" s="863" t="s">
        <v>936</v>
      </c>
      <c r="B1544" s="718">
        <v>1</v>
      </c>
      <c r="C1544" s="844">
        <v>3344</v>
      </c>
      <c r="D1544" s="844"/>
      <c r="E1544" s="769"/>
      <c r="F1544" s="769"/>
      <c r="G1544" s="769"/>
      <c r="H1544" s="769"/>
      <c r="I1544" s="844">
        <f>730+944.96</f>
        <v>1674.96</v>
      </c>
      <c r="J1544" s="769"/>
      <c r="K1544" s="769">
        <f t="shared" si="934"/>
        <v>5018.96</v>
      </c>
      <c r="L1544" s="844">
        <f t="shared" si="935"/>
        <v>1000</v>
      </c>
      <c r="M1544" s="844">
        <v>1000</v>
      </c>
      <c r="N1544" s="769">
        <f t="shared" si="936"/>
        <v>6018.96</v>
      </c>
      <c r="O1544" s="769">
        <f t="shared" si="937"/>
        <v>5018.96</v>
      </c>
      <c r="P1544" s="769">
        <f t="shared" si="938"/>
        <v>61227.520000000004</v>
      </c>
      <c r="Q1544" s="718">
        <v>1</v>
      </c>
      <c r="R1544" s="844">
        <v>3344</v>
      </c>
      <c r="S1544" s="844"/>
      <c r="T1544" s="769"/>
      <c r="U1544" s="769"/>
      <c r="V1544" s="769"/>
      <c r="W1544" s="769"/>
      <c r="X1544" s="844">
        <f>730+944.96</f>
        <v>1674.96</v>
      </c>
      <c r="Y1544" s="769"/>
      <c r="Z1544" s="769">
        <f t="shared" si="939"/>
        <v>5018.96</v>
      </c>
      <c r="AA1544" s="844">
        <f t="shared" si="948"/>
        <v>1000</v>
      </c>
      <c r="AB1544" s="844">
        <v>1000</v>
      </c>
      <c r="AC1544" s="769">
        <f t="shared" si="947"/>
        <v>6018.96</v>
      </c>
      <c r="AD1544" s="769">
        <f t="shared" si="940"/>
        <v>5018.96</v>
      </c>
      <c r="AE1544" s="769">
        <f t="shared" si="941"/>
        <v>61227.520000000004</v>
      </c>
      <c r="AF1544" s="769">
        <f t="shared" si="942"/>
        <v>0</v>
      </c>
      <c r="AG1544" s="845">
        <f t="shared" si="943"/>
        <v>0</v>
      </c>
      <c r="AH1544" s="718">
        <f t="shared" si="944"/>
        <v>1</v>
      </c>
      <c r="AI1544" s="769">
        <f t="shared" si="945"/>
        <v>61227.520000000004</v>
      </c>
    </row>
    <row r="1545" spans="1:35" x14ac:dyDescent="0.2">
      <c r="A1545" s="863" t="s">
        <v>556</v>
      </c>
      <c r="B1545" s="718">
        <v>4</v>
      </c>
      <c r="C1545" s="844">
        <v>5532</v>
      </c>
      <c r="D1545" s="844"/>
      <c r="E1545" s="769"/>
      <c r="F1545" s="769"/>
      <c r="G1545" s="769"/>
      <c r="H1545" s="769"/>
      <c r="I1545" s="844">
        <f>1270+1290.34+1850</f>
        <v>4410.34</v>
      </c>
      <c r="J1545" s="769"/>
      <c r="K1545" s="769">
        <f t="shared" si="934"/>
        <v>9942.34</v>
      </c>
      <c r="L1545" s="844">
        <f t="shared" si="935"/>
        <v>4000</v>
      </c>
      <c r="M1545" s="844">
        <v>4000</v>
      </c>
      <c r="N1545" s="769">
        <f t="shared" si="936"/>
        <v>13942.34</v>
      </c>
      <c r="O1545" s="769">
        <f t="shared" si="937"/>
        <v>9942.34</v>
      </c>
      <c r="P1545" s="769">
        <f t="shared" si="938"/>
        <v>481232.32</v>
      </c>
      <c r="Q1545" s="718">
        <v>4</v>
      </c>
      <c r="R1545" s="844">
        <v>5532</v>
      </c>
      <c r="S1545" s="844"/>
      <c r="T1545" s="769"/>
      <c r="U1545" s="769"/>
      <c r="V1545" s="769"/>
      <c r="W1545" s="769"/>
      <c r="X1545" s="844">
        <f>1270+1290.34+1850</f>
        <v>4410.34</v>
      </c>
      <c r="Y1545" s="769"/>
      <c r="Z1545" s="769">
        <f t="shared" si="939"/>
        <v>9942.34</v>
      </c>
      <c r="AA1545" s="844">
        <f t="shared" si="948"/>
        <v>4000</v>
      </c>
      <c r="AB1545" s="844">
        <v>4000</v>
      </c>
      <c r="AC1545" s="769">
        <f t="shared" si="947"/>
        <v>13942.34</v>
      </c>
      <c r="AD1545" s="769">
        <f t="shared" si="940"/>
        <v>9942.34</v>
      </c>
      <c r="AE1545" s="769">
        <f t="shared" si="941"/>
        <v>481232.32</v>
      </c>
      <c r="AF1545" s="769">
        <f t="shared" si="942"/>
        <v>0</v>
      </c>
      <c r="AG1545" s="845">
        <f t="shared" si="943"/>
        <v>0</v>
      </c>
      <c r="AH1545" s="718">
        <f t="shared" si="944"/>
        <v>4</v>
      </c>
      <c r="AI1545" s="769">
        <f t="shared" si="945"/>
        <v>481232.32</v>
      </c>
    </row>
    <row r="1546" spans="1:35" x14ac:dyDescent="0.2">
      <c r="A1546" s="863" t="s">
        <v>570</v>
      </c>
      <c r="B1546" s="718"/>
      <c r="C1546" s="844"/>
      <c r="D1546" s="844"/>
      <c r="E1546" s="769"/>
      <c r="F1546" s="769"/>
      <c r="G1546" s="769"/>
      <c r="H1546" s="769"/>
      <c r="I1546" s="844"/>
      <c r="J1546" s="769"/>
      <c r="K1546" s="769"/>
      <c r="L1546" s="844"/>
      <c r="M1546" s="844"/>
      <c r="N1546" s="769"/>
      <c r="O1546" s="769"/>
      <c r="P1546" s="769"/>
      <c r="Q1546" s="718"/>
      <c r="R1546" s="844"/>
      <c r="S1546" s="844"/>
      <c r="T1546" s="769"/>
      <c r="U1546" s="769"/>
      <c r="V1546" s="769"/>
      <c r="W1546" s="769"/>
      <c r="X1546" s="844"/>
      <c r="Y1546" s="769"/>
      <c r="Z1546" s="769"/>
      <c r="AA1546" s="844"/>
      <c r="AB1546" s="844"/>
      <c r="AC1546" s="769"/>
      <c r="AD1546" s="769"/>
      <c r="AE1546" s="769"/>
      <c r="AF1546" s="769">
        <f>+O1546-Z1546</f>
        <v>0</v>
      </c>
      <c r="AG1546" s="845">
        <f t="shared" si="943"/>
        <v>0</v>
      </c>
      <c r="AH1546" s="718">
        <f t="shared" si="944"/>
        <v>0</v>
      </c>
      <c r="AI1546" s="769">
        <f t="shared" si="945"/>
        <v>0</v>
      </c>
    </row>
    <row r="1547" spans="1:35" x14ac:dyDescent="0.2">
      <c r="A1547" s="863" t="s">
        <v>555</v>
      </c>
      <c r="B1547" s="718">
        <v>2</v>
      </c>
      <c r="C1547" s="844">
        <v>6336</v>
      </c>
      <c r="D1547" s="844"/>
      <c r="E1547" s="769"/>
      <c r="F1547" s="769"/>
      <c r="G1547" s="769"/>
      <c r="H1547" s="769"/>
      <c r="I1547" s="844">
        <f>1349+1850+1270</f>
        <v>4469</v>
      </c>
      <c r="J1547" s="769"/>
      <c r="K1547" s="769">
        <f t="shared" si="934"/>
        <v>10805</v>
      </c>
      <c r="L1547" s="844">
        <f t="shared" si="935"/>
        <v>2000</v>
      </c>
      <c r="M1547" s="844">
        <v>1000</v>
      </c>
      <c r="N1547" s="769">
        <f t="shared" si="936"/>
        <v>11805</v>
      </c>
      <c r="O1547" s="769">
        <f t="shared" si="937"/>
        <v>10805</v>
      </c>
      <c r="P1547" s="769">
        <f t="shared" si="938"/>
        <v>260320</v>
      </c>
      <c r="Q1547" s="718">
        <v>2</v>
      </c>
      <c r="R1547" s="844">
        <v>6336</v>
      </c>
      <c r="S1547" s="844"/>
      <c r="T1547" s="769"/>
      <c r="U1547" s="769"/>
      <c r="V1547" s="769"/>
      <c r="W1547" s="769"/>
      <c r="X1547" s="844">
        <f>1349+1850+1270</f>
        <v>4469</v>
      </c>
      <c r="Y1547" s="769"/>
      <c r="Z1547" s="769">
        <f>SUM(R1547:Y1547)</f>
        <v>10805</v>
      </c>
      <c r="AA1547" s="844">
        <f>1000*Q1547</f>
        <v>2000</v>
      </c>
      <c r="AB1547" s="844">
        <v>1000</v>
      </c>
      <c r="AC1547" s="769">
        <f>Z1547+AB1547</f>
        <v>11805</v>
      </c>
      <c r="AD1547" s="769">
        <f>+Z1547</f>
        <v>10805</v>
      </c>
      <c r="AE1547" s="769">
        <f>((AD1547*12)*Q1547)+AB1547</f>
        <v>260320</v>
      </c>
      <c r="AF1547" s="769">
        <f t="shared" si="942"/>
        <v>0</v>
      </c>
      <c r="AG1547" s="845">
        <f t="shared" si="943"/>
        <v>0</v>
      </c>
      <c r="AH1547" s="718">
        <f t="shared" si="944"/>
        <v>2</v>
      </c>
      <c r="AI1547" s="769">
        <f t="shared" si="945"/>
        <v>260320</v>
      </c>
    </row>
    <row r="1548" spans="1:35" x14ac:dyDescent="0.2">
      <c r="A1548" s="863" t="s">
        <v>554</v>
      </c>
      <c r="B1548" s="718">
        <v>2</v>
      </c>
      <c r="C1548" s="844">
        <v>6826</v>
      </c>
      <c r="D1548" s="844"/>
      <c r="E1548" s="769"/>
      <c r="F1548" s="769"/>
      <c r="G1548" s="769"/>
      <c r="H1548" s="769"/>
      <c r="I1548" s="844">
        <f>1416.33+1850+1270</f>
        <v>4536.33</v>
      </c>
      <c r="J1548" s="769"/>
      <c r="K1548" s="769">
        <f t="shared" si="934"/>
        <v>11362.33</v>
      </c>
      <c r="L1548" s="844">
        <f t="shared" si="935"/>
        <v>2000</v>
      </c>
      <c r="M1548" s="844">
        <v>2000</v>
      </c>
      <c r="N1548" s="769">
        <f t="shared" si="936"/>
        <v>13362.33</v>
      </c>
      <c r="O1548" s="769">
        <f t="shared" si="937"/>
        <v>11362.33</v>
      </c>
      <c r="P1548" s="769">
        <f t="shared" si="938"/>
        <v>274695.92</v>
      </c>
      <c r="Q1548" s="718">
        <v>2</v>
      </c>
      <c r="R1548" s="844">
        <v>6826</v>
      </c>
      <c r="S1548" s="844"/>
      <c r="T1548" s="769"/>
      <c r="U1548" s="769"/>
      <c r="V1548" s="769"/>
      <c r="W1548" s="769"/>
      <c r="X1548" s="844">
        <f>1416.33+1850+1270</f>
        <v>4536.33</v>
      </c>
      <c r="Y1548" s="769"/>
      <c r="Z1548" s="769">
        <f>SUM(R1548:Y1548)</f>
        <v>11362.33</v>
      </c>
      <c r="AA1548" s="844">
        <f>1000*Q1548</f>
        <v>2000</v>
      </c>
      <c r="AB1548" s="844">
        <v>2000</v>
      </c>
      <c r="AC1548" s="769">
        <f>Z1548+AB1548</f>
        <v>13362.33</v>
      </c>
      <c r="AD1548" s="769">
        <f>+Z1548</f>
        <v>11362.33</v>
      </c>
      <c r="AE1548" s="769">
        <f>((AD1548*12)*Q1548)+AB1548</f>
        <v>274695.92</v>
      </c>
      <c r="AF1548" s="769">
        <f t="shared" si="942"/>
        <v>0</v>
      </c>
      <c r="AG1548" s="845">
        <f t="shared" si="943"/>
        <v>0</v>
      </c>
      <c r="AH1548" s="718">
        <f t="shared" si="944"/>
        <v>2</v>
      </c>
      <c r="AI1548" s="769">
        <f t="shared" si="945"/>
        <v>274695.92</v>
      </c>
    </row>
    <row r="1549" spans="1:35" x14ac:dyDescent="0.2">
      <c r="A1549" s="863"/>
      <c r="B1549" s="718"/>
      <c r="C1549" s="844"/>
      <c r="D1549" s="844"/>
      <c r="E1549" s="769"/>
      <c r="F1549" s="769"/>
      <c r="G1549" s="769"/>
      <c r="H1549" s="769"/>
      <c r="I1549" s="844"/>
      <c r="J1549" s="769"/>
      <c r="K1549" s="769">
        <f t="shared" si="934"/>
        <v>0</v>
      </c>
      <c r="L1549" s="844"/>
      <c r="M1549" s="844"/>
      <c r="N1549" s="769">
        <f>(K1549*12)+M1549</f>
        <v>0</v>
      </c>
      <c r="O1549" s="769">
        <f t="shared" si="937"/>
        <v>0</v>
      </c>
      <c r="P1549" s="769">
        <f t="shared" si="938"/>
        <v>0</v>
      </c>
      <c r="Q1549" s="718"/>
      <c r="R1549" s="844"/>
      <c r="S1549" s="844"/>
      <c r="T1549" s="769"/>
      <c r="U1549" s="769"/>
      <c r="V1549" s="769"/>
      <c r="W1549" s="769"/>
      <c r="X1549" s="844"/>
      <c r="Y1549" s="769"/>
      <c r="Z1549" s="769">
        <f>SUM(R1549:Y1549)</f>
        <v>0</v>
      </c>
      <c r="AA1549" s="844"/>
      <c r="AB1549" s="844"/>
      <c r="AC1549" s="769">
        <f>(Z1549*12)+AB1549</f>
        <v>0</v>
      </c>
      <c r="AD1549" s="769">
        <f>+Z1549</f>
        <v>0</v>
      </c>
      <c r="AE1549" s="769">
        <f>((AD1549*12)*Q1549)+AB1549</f>
        <v>0</v>
      </c>
      <c r="AF1549" s="769"/>
      <c r="AG1549" s="718"/>
      <c r="AH1549" s="718">
        <f t="shared" si="944"/>
        <v>0</v>
      </c>
      <c r="AI1549" s="769">
        <f t="shared" si="945"/>
        <v>0</v>
      </c>
    </row>
    <row r="1550" spans="1:35" ht="23.25" customHeight="1" x14ac:dyDescent="0.2">
      <c r="A1550" s="705" t="s">
        <v>169</v>
      </c>
      <c r="B1550" s="724">
        <f>SUM(B1521:B1549)</f>
        <v>126</v>
      </c>
      <c r="C1550" s="842">
        <f>SUM(C1521:C1549)</f>
        <v>66654.489999999991</v>
      </c>
      <c r="D1550" s="842">
        <f>SUM(D1521:D1549)</f>
        <v>13572</v>
      </c>
      <c r="E1550" s="744"/>
      <c r="F1550" s="744"/>
      <c r="G1550" s="744"/>
      <c r="H1550" s="744"/>
      <c r="I1550" s="842">
        <f>SUM(I1521:I1549)</f>
        <v>36632.71</v>
      </c>
      <c r="J1550" s="744"/>
      <c r="K1550" s="842">
        <f t="shared" ref="K1550:Q1550" si="949">SUM(K1521:K1549)</f>
        <v>116859.2</v>
      </c>
      <c r="L1550" s="846">
        <f t="shared" si="949"/>
        <v>126000</v>
      </c>
      <c r="M1550" s="846">
        <f t="shared" si="949"/>
        <v>126000</v>
      </c>
      <c r="N1550" s="846">
        <f t="shared" si="949"/>
        <v>242859.19999999998</v>
      </c>
      <c r="O1550" s="846">
        <f t="shared" si="949"/>
        <v>116859.2</v>
      </c>
      <c r="P1550" s="846">
        <f t="shared" si="949"/>
        <v>6266290.9199999999</v>
      </c>
      <c r="Q1550" s="724">
        <f t="shared" si="949"/>
        <v>129</v>
      </c>
      <c r="R1550" s="744"/>
      <c r="S1550" s="744"/>
      <c r="T1550" s="744"/>
      <c r="U1550" s="744"/>
      <c r="V1550" s="744"/>
      <c r="W1550" s="744"/>
      <c r="X1550" s="839">
        <f>SUM(X1519:X1549)</f>
        <v>36632.71</v>
      </c>
      <c r="Y1550" s="839">
        <f t="shared" ref="Y1550:AE1550" si="950">SUM(Y1519:Y1549)</f>
        <v>0</v>
      </c>
      <c r="Z1550" s="839">
        <f t="shared" si="950"/>
        <v>116859.2</v>
      </c>
      <c r="AA1550" s="839">
        <f t="shared" si="950"/>
        <v>129000</v>
      </c>
      <c r="AB1550" s="839">
        <f t="shared" si="950"/>
        <v>126000</v>
      </c>
      <c r="AC1550" s="839">
        <f t="shared" si="950"/>
        <v>242859.19999999998</v>
      </c>
      <c r="AD1550" s="839">
        <f t="shared" si="950"/>
        <v>116859.2</v>
      </c>
      <c r="AE1550" s="839">
        <f t="shared" si="950"/>
        <v>6418355.04</v>
      </c>
      <c r="AF1550" s="839">
        <f>SUM(AF1519:AF1549)</f>
        <v>0</v>
      </c>
      <c r="AG1550" s="847">
        <f>SUM(AG1519:AG1549)</f>
        <v>-152064.11999999991</v>
      </c>
      <c r="AH1550" s="848">
        <f>SUM(AH1519:AH1549)</f>
        <v>129</v>
      </c>
      <c r="AI1550" s="839">
        <f>SUM(AI1519:AI1549)</f>
        <v>6418355.04</v>
      </c>
    </row>
    <row r="1551" spans="1:35" ht="24.75" customHeight="1" x14ac:dyDescent="0.2">
      <c r="A1551" s="881" t="s">
        <v>584</v>
      </c>
      <c r="B1551" s="761">
        <f t="shared" ref="B1551:AI1551" si="951">+B34+B59+B90+B130+B170+B206+B224+B263+B299+B333+B355+B440+B560+B644+B708+B743+B1211+B1303+B1354+B1448+B1512+B1550</f>
        <v>5622</v>
      </c>
      <c r="C1551" s="849">
        <f t="shared" si="951"/>
        <v>8830169.3754143324</v>
      </c>
      <c r="D1551" s="849">
        <f t="shared" si="951"/>
        <v>467706.56000000006</v>
      </c>
      <c r="E1551" s="849">
        <f t="shared" si="951"/>
        <v>31139.300000000017</v>
      </c>
      <c r="F1551" s="849">
        <f t="shared" si="951"/>
        <v>119904.44</v>
      </c>
      <c r="G1551" s="849">
        <f t="shared" si="951"/>
        <v>5782.4800000000041</v>
      </c>
      <c r="H1551" s="849">
        <f t="shared" si="951"/>
        <v>0</v>
      </c>
      <c r="I1551" s="849">
        <f t="shared" si="951"/>
        <v>231513.02985189232</v>
      </c>
      <c r="J1551" s="849">
        <f t="shared" si="951"/>
        <v>106255.25</v>
      </c>
      <c r="K1551" s="849">
        <f t="shared" si="951"/>
        <v>7891614.8098518886</v>
      </c>
      <c r="L1551" s="849">
        <f t="shared" si="951"/>
        <v>2874938</v>
      </c>
      <c r="M1551" s="849">
        <f t="shared" si="951"/>
        <v>126000</v>
      </c>
      <c r="N1551" s="849">
        <f t="shared" si="951"/>
        <v>1429867.2</v>
      </c>
      <c r="O1551" s="849">
        <f t="shared" si="951"/>
        <v>108847209.76782292</v>
      </c>
      <c r="P1551" s="849">
        <f t="shared" si="951"/>
        <v>238248613.84000018</v>
      </c>
      <c r="Q1551" s="849">
        <f t="shared" si="951"/>
        <v>5564</v>
      </c>
      <c r="R1551" s="849">
        <f t="shared" si="951"/>
        <v>8735295.2554143313</v>
      </c>
      <c r="S1551" s="849">
        <f t="shared" si="951"/>
        <v>461082.47</v>
      </c>
      <c r="T1551" s="849">
        <f t="shared" si="951"/>
        <v>31139.300000000017</v>
      </c>
      <c r="U1551" s="849">
        <f t="shared" si="951"/>
        <v>118351.54000000001</v>
      </c>
      <c r="V1551" s="849">
        <f t="shared" si="951"/>
        <v>5782.4800000000041</v>
      </c>
      <c r="W1551" s="849">
        <f t="shared" si="951"/>
        <v>0</v>
      </c>
      <c r="X1551" s="849">
        <f t="shared" si="951"/>
        <v>231513.02985189232</v>
      </c>
      <c r="Y1551" s="849">
        <f t="shared" ca="1" si="951"/>
        <v>408057.9</v>
      </c>
      <c r="Z1551" s="849">
        <f t="shared" ca="1" si="951"/>
        <v>408057.9</v>
      </c>
      <c r="AA1551" s="849">
        <f t="shared" si="951"/>
        <v>2822938</v>
      </c>
      <c r="AB1551" s="849">
        <f t="shared" si="951"/>
        <v>126000</v>
      </c>
      <c r="AC1551" s="849">
        <f t="shared" si="951"/>
        <v>1375867.2</v>
      </c>
      <c r="AD1551" s="849">
        <f t="shared" si="951"/>
        <v>110666004.9682229</v>
      </c>
      <c r="AE1551" s="849">
        <f t="shared" si="951"/>
        <v>251752836.76000014</v>
      </c>
      <c r="AF1551" s="849">
        <f t="shared" si="951"/>
        <v>-1473417.2400000009</v>
      </c>
      <c r="AG1551" s="761">
        <f t="shared" si="951"/>
        <v>7305984.3840000005</v>
      </c>
      <c r="AH1551" s="761">
        <f t="shared" si="951"/>
        <v>4253</v>
      </c>
      <c r="AI1551" s="849">
        <f t="shared" si="951"/>
        <v>800246544.52000225</v>
      </c>
    </row>
    <row r="1555" spans="1:3" x14ac:dyDescent="0.2">
      <c r="A1555" s="852" t="s">
        <v>937</v>
      </c>
      <c r="B1555" s="748"/>
    </row>
    <row r="1556" spans="1:3" x14ac:dyDescent="0.2">
      <c r="A1556" s="852" t="s">
        <v>938</v>
      </c>
      <c r="B1556" s="506" t="s">
        <v>939</v>
      </c>
      <c r="C1556" s="882"/>
    </row>
    <row r="1557" spans="1:3" x14ac:dyDescent="0.2">
      <c r="A1557" s="852" t="s">
        <v>940</v>
      </c>
      <c r="B1557" s="506" t="s">
        <v>941</v>
      </c>
      <c r="C1557" s="882"/>
    </row>
    <row r="1558" spans="1:3" x14ac:dyDescent="0.2">
      <c r="A1558" s="852" t="s">
        <v>942</v>
      </c>
      <c r="B1558" s="506" t="s">
        <v>943</v>
      </c>
      <c r="C1558" s="882"/>
    </row>
    <row r="1559" spans="1:3" x14ac:dyDescent="0.2">
      <c r="A1559" s="852" t="s">
        <v>944</v>
      </c>
      <c r="B1559" s="506" t="s">
        <v>945</v>
      </c>
      <c r="C1559" s="882"/>
    </row>
    <row r="1560" spans="1:3" x14ac:dyDescent="0.2">
      <c r="B1560" s="506" t="s">
        <v>946</v>
      </c>
      <c r="C1560" s="882"/>
    </row>
    <row r="1561" spans="1:3" ht="24" x14ac:dyDescent="0.2">
      <c r="A1561" s="852" t="s">
        <v>947</v>
      </c>
      <c r="B1561" s="506" t="s">
        <v>948</v>
      </c>
      <c r="C1561" s="882"/>
    </row>
    <row r="1562" spans="1:3" x14ac:dyDescent="0.2">
      <c r="B1562" s="506" t="s">
        <v>949</v>
      </c>
      <c r="C1562" s="882"/>
    </row>
    <row r="1563" spans="1:3" x14ac:dyDescent="0.2">
      <c r="B1563" s="506" t="s">
        <v>950</v>
      </c>
      <c r="C1563" s="882"/>
    </row>
    <row r="1564" spans="1:3" x14ac:dyDescent="0.2">
      <c r="B1564" s="506" t="s">
        <v>951</v>
      </c>
      <c r="C1564" s="882"/>
    </row>
    <row r="1565" spans="1:3" x14ac:dyDescent="0.2">
      <c r="A1565" s="852" t="s">
        <v>952</v>
      </c>
      <c r="B1565" s="506" t="s">
        <v>953</v>
      </c>
      <c r="C1565" s="882"/>
    </row>
    <row r="1566" spans="1:3" ht="36" x14ac:dyDescent="0.2">
      <c r="A1566" s="852" t="s">
        <v>954</v>
      </c>
      <c r="B1566" s="506" t="s">
        <v>955</v>
      </c>
      <c r="C1566" s="882"/>
    </row>
    <row r="1567" spans="1:3" ht="24" x14ac:dyDescent="0.2">
      <c r="A1567" s="852" t="s">
        <v>956</v>
      </c>
      <c r="B1567" s="506" t="s">
        <v>957</v>
      </c>
      <c r="C1567" s="882"/>
    </row>
    <row r="1568" spans="1:3" x14ac:dyDescent="0.2">
      <c r="B1568" s="506" t="s">
        <v>949</v>
      </c>
      <c r="C1568" s="882"/>
    </row>
    <row r="1569" spans="1:3" x14ac:dyDescent="0.2">
      <c r="B1569" s="506" t="s">
        <v>950</v>
      </c>
      <c r="C1569" s="882"/>
    </row>
    <row r="1570" spans="1:3" x14ac:dyDescent="0.2">
      <c r="B1570" s="506" t="s">
        <v>958</v>
      </c>
      <c r="C1570" s="882"/>
    </row>
    <row r="1571" spans="1:3" ht="24" x14ac:dyDescent="0.2">
      <c r="A1571" s="852" t="s">
        <v>959</v>
      </c>
      <c r="B1571" s="506" t="s">
        <v>960</v>
      </c>
      <c r="C1571" s="882"/>
    </row>
    <row r="1572" spans="1:3" ht="24" x14ac:dyDescent="0.2">
      <c r="A1572" s="852" t="s">
        <v>961</v>
      </c>
      <c r="B1572" s="506" t="s">
        <v>962</v>
      </c>
      <c r="C1572" s="882"/>
    </row>
    <row r="1573" spans="1:3" x14ac:dyDescent="0.2">
      <c r="A1573" s="852" t="s">
        <v>963</v>
      </c>
      <c r="B1573" s="506" t="s">
        <v>964</v>
      </c>
      <c r="C1573" s="882"/>
    </row>
  </sheetData>
  <mergeCells count="108">
    <mergeCell ref="A1516:A1518"/>
    <mergeCell ref="B1516:P1516"/>
    <mergeCell ref="Q1516:AE1516"/>
    <mergeCell ref="AF1516:AG1516"/>
    <mergeCell ref="AH1516:AI1516"/>
    <mergeCell ref="A1452:A1454"/>
    <mergeCell ref="B1452:P1452"/>
    <mergeCell ref="Q1452:AE1452"/>
    <mergeCell ref="AF1452:AG1452"/>
    <mergeCell ref="AH1452:AI1452"/>
    <mergeCell ref="A1358:A1360"/>
    <mergeCell ref="B1358:P1358"/>
    <mergeCell ref="Q1358:AE1358"/>
    <mergeCell ref="AF1358:AG1358"/>
    <mergeCell ref="AH1358:AI1358"/>
    <mergeCell ref="A1307:A1309"/>
    <mergeCell ref="B1307:P1307"/>
    <mergeCell ref="Q1307:AE1307"/>
    <mergeCell ref="AF1307:AG1307"/>
    <mergeCell ref="AH1307:AI1307"/>
    <mergeCell ref="AH747:AI747"/>
    <mergeCell ref="A1215:A1217"/>
    <mergeCell ref="B1215:P1215"/>
    <mergeCell ref="Q1215:AE1215"/>
    <mergeCell ref="AF1215:AG1215"/>
    <mergeCell ref="AH1215:AI1215"/>
    <mergeCell ref="A712:A713"/>
    <mergeCell ref="A747:A749"/>
    <mergeCell ref="B747:P747"/>
    <mergeCell ref="Q747:AE747"/>
    <mergeCell ref="AF747:AG747"/>
    <mergeCell ref="A648:A650"/>
    <mergeCell ref="B648:P648"/>
    <mergeCell ref="Q648:AE648"/>
    <mergeCell ref="AF648:AG648"/>
    <mergeCell ref="AH648:AI648"/>
    <mergeCell ref="A564:A566"/>
    <mergeCell ref="B564:P564"/>
    <mergeCell ref="Q564:AE564"/>
    <mergeCell ref="AF564:AG564"/>
    <mergeCell ref="AH564:AI564"/>
    <mergeCell ref="A444:A446"/>
    <mergeCell ref="B444:P444"/>
    <mergeCell ref="Q444:AE444"/>
    <mergeCell ref="AF444:AG444"/>
    <mergeCell ref="AH444:AI444"/>
    <mergeCell ref="A359:A361"/>
    <mergeCell ref="B359:P359"/>
    <mergeCell ref="Q359:AE359"/>
    <mergeCell ref="AF359:AG359"/>
    <mergeCell ref="AH359:AI359"/>
    <mergeCell ref="A337:A339"/>
    <mergeCell ref="B337:P337"/>
    <mergeCell ref="Q337:AE337"/>
    <mergeCell ref="AF337:AG337"/>
    <mergeCell ref="AH337:AI337"/>
    <mergeCell ref="A304:A306"/>
    <mergeCell ref="B304:P304"/>
    <mergeCell ref="Q304:AE304"/>
    <mergeCell ref="AF304:AG304"/>
    <mergeCell ref="AH304:AI304"/>
    <mergeCell ref="A268:A270"/>
    <mergeCell ref="B268:P268"/>
    <mergeCell ref="Q268:AE268"/>
    <mergeCell ref="AF268:AG268"/>
    <mergeCell ref="AH268:AI268"/>
    <mergeCell ref="A228:A230"/>
    <mergeCell ref="B228:P228"/>
    <mergeCell ref="Q228:AE228"/>
    <mergeCell ref="AF228:AG228"/>
    <mergeCell ref="AH228:AI228"/>
    <mergeCell ref="A210:A212"/>
    <mergeCell ref="B210:P210"/>
    <mergeCell ref="Q210:AE210"/>
    <mergeCell ref="AF210:AG210"/>
    <mergeCell ref="AH210:AI210"/>
    <mergeCell ref="A174:A176"/>
    <mergeCell ref="B174:P174"/>
    <mergeCell ref="Q174:AE174"/>
    <mergeCell ref="AF174:AG174"/>
    <mergeCell ref="AH174:AI174"/>
    <mergeCell ref="A134:A136"/>
    <mergeCell ref="B134:P134"/>
    <mergeCell ref="Q134:AE134"/>
    <mergeCell ref="AF134:AG134"/>
    <mergeCell ref="AH134:AI134"/>
    <mergeCell ref="A94:A96"/>
    <mergeCell ref="B94:P94"/>
    <mergeCell ref="Q94:AE94"/>
    <mergeCell ref="AF94:AG94"/>
    <mergeCell ref="AH94:AI94"/>
    <mergeCell ref="A1:AI1"/>
    <mergeCell ref="A5:A7"/>
    <mergeCell ref="B5:P5"/>
    <mergeCell ref="Q5:AE5"/>
    <mergeCell ref="AF5:AG5"/>
    <mergeCell ref="AH5:AI5"/>
    <mergeCell ref="A2:D2"/>
    <mergeCell ref="A63:A65"/>
    <mergeCell ref="B63:P63"/>
    <mergeCell ref="Q63:AE63"/>
    <mergeCell ref="AF63:AG63"/>
    <mergeCell ref="AH63:AI63"/>
    <mergeCell ref="A38:A40"/>
    <mergeCell ref="B38:P38"/>
    <mergeCell ref="Q38:AE38"/>
    <mergeCell ref="AF38:AG38"/>
    <mergeCell ref="AH38:AI38"/>
  </mergeCells>
  <phoneticPr fontId="11" type="noConversion"/>
  <printOptions horizontalCentered="1"/>
  <pageMargins left="0.19685039370078741" right="0.19685039370078741" top="0.74803149606299213" bottom="0.74803149606299213" header="0.31496062992125984" footer="0.31496062992125984"/>
  <pageSetup paperSize="9" scale="28"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rowBreaks count="1" manualBreakCount="1">
    <brk id="208" max="3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9" tint="-0.249977111117893"/>
    <pageSetUpPr fitToPage="1"/>
  </sheetPr>
  <dimension ref="A1:J29"/>
  <sheetViews>
    <sheetView zoomScaleNormal="100" zoomScaleSheetLayoutView="80" zoomScalePageLayoutView="85" workbookViewId="0">
      <selection activeCell="D34" sqref="D34"/>
    </sheetView>
  </sheetViews>
  <sheetFormatPr baseColWidth="10" defaultColWidth="11.42578125" defaultRowHeight="12" x14ac:dyDescent="0.2"/>
  <cols>
    <col min="1" max="1" width="57.140625" style="3" customWidth="1"/>
    <col min="2" max="2" width="15.140625" style="3" customWidth="1"/>
    <col min="3" max="3" width="15" style="3" customWidth="1"/>
    <col min="4" max="4" width="13.85546875" style="3" customWidth="1"/>
    <col min="5" max="5" width="15.28515625" style="3" customWidth="1"/>
    <col min="6" max="6" width="15.85546875" style="3" customWidth="1"/>
    <col min="7" max="7" width="15.140625" style="3" customWidth="1"/>
    <col min="8" max="8" width="13" style="3" customWidth="1"/>
    <col min="9" max="9" width="15" style="3" customWidth="1"/>
    <col min="10" max="10" width="14.42578125" style="260" customWidth="1"/>
    <col min="11" max="16384" width="11.42578125" style="3"/>
  </cols>
  <sheetData>
    <row r="1" spans="1:10" ht="21.75" customHeight="1" x14ac:dyDescent="0.2">
      <c r="A1" s="1474" t="s">
        <v>965</v>
      </c>
      <c r="B1" s="1474"/>
      <c r="C1" s="1474"/>
      <c r="D1" s="1474"/>
      <c r="E1" s="1474"/>
      <c r="F1" s="1474"/>
      <c r="G1" s="1474"/>
      <c r="H1" s="1474"/>
      <c r="I1" s="1474"/>
      <c r="J1" s="1474"/>
    </row>
    <row r="2" spans="1:10" ht="15" customHeight="1" x14ac:dyDescent="0.2">
      <c r="A2" s="1461" t="s">
        <v>43</v>
      </c>
      <c r="B2" s="1461"/>
      <c r="C2" s="1461"/>
      <c r="D2" s="1461"/>
      <c r="E2" s="2"/>
      <c r="F2" s="2"/>
      <c r="G2" s="2"/>
      <c r="H2" s="2"/>
      <c r="I2" s="2"/>
      <c r="J2" s="91"/>
    </row>
    <row r="3" spans="1:10" ht="12.75" thickBot="1" x14ac:dyDescent="0.25">
      <c r="B3" s="4"/>
      <c r="E3" s="4"/>
    </row>
    <row r="4" spans="1:10" ht="14.25" customHeight="1" x14ac:dyDescent="0.2">
      <c r="A4" s="1497" t="s">
        <v>966</v>
      </c>
      <c r="B4" s="1499" t="s">
        <v>967</v>
      </c>
      <c r="C4" s="1491" t="s">
        <v>968</v>
      </c>
      <c r="D4" s="1499" t="s">
        <v>969</v>
      </c>
      <c r="E4" s="1491" t="s">
        <v>970</v>
      </c>
      <c r="F4" s="1491" t="s">
        <v>971</v>
      </c>
      <c r="G4" s="1493" t="s">
        <v>972</v>
      </c>
      <c r="H4" s="1491" t="s">
        <v>973</v>
      </c>
      <c r="I4" s="1491" t="s">
        <v>974</v>
      </c>
      <c r="J4" s="1495" t="s">
        <v>973</v>
      </c>
    </row>
    <row r="5" spans="1:10" ht="15.75" customHeight="1" thickBot="1" x14ac:dyDescent="0.25">
      <c r="A5" s="1498"/>
      <c r="B5" s="1500"/>
      <c r="C5" s="1492"/>
      <c r="D5" s="1501"/>
      <c r="E5" s="1492"/>
      <c r="F5" s="1492"/>
      <c r="G5" s="1494"/>
      <c r="H5" s="1492"/>
      <c r="I5" s="1492"/>
      <c r="J5" s="1496"/>
    </row>
    <row r="6" spans="1:10" x14ac:dyDescent="0.2">
      <c r="A6" s="65" t="s">
        <v>975</v>
      </c>
      <c r="B6" s="66">
        <v>2945420</v>
      </c>
      <c r="C6" s="67">
        <v>3598772</v>
      </c>
      <c r="D6" s="66">
        <v>2534964</v>
      </c>
      <c r="E6" s="67">
        <v>3214192</v>
      </c>
      <c r="F6" s="56">
        <v>2633534</v>
      </c>
      <c r="G6" s="68">
        <f>+D6-B6</f>
        <v>-410456</v>
      </c>
      <c r="H6" s="69">
        <f>D6/B6-1</f>
        <v>-0.13935398007754407</v>
      </c>
      <c r="I6" s="67">
        <f>+F6-D6</f>
        <v>98570</v>
      </c>
      <c r="J6" s="883">
        <f>IFERROR(IF(D6="",1,1-(F6/D6)),"")</f>
        <v>-3.8884181392714101E-2</v>
      </c>
    </row>
    <row r="7" spans="1:10" x14ac:dyDescent="0.2">
      <c r="A7" s="65" t="s">
        <v>976</v>
      </c>
      <c r="B7" s="66">
        <v>598553</v>
      </c>
      <c r="C7" s="67">
        <v>574763</v>
      </c>
      <c r="D7" s="66">
        <v>475439</v>
      </c>
      <c r="E7" s="67">
        <v>667593</v>
      </c>
      <c r="F7" s="56">
        <v>622611</v>
      </c>
      <c r="G7" s="68">
        <f t="shared" ref="G7:G24" si="0">+D7-B7</f>
        <v>-123114</v>
      </c>
      <c r="H7" s="69">
        <f t="shared" ref="H7:H24" si="1">D7/B7-1</f>
        <v>-0.20568604618137409</v>
      </c>
      <c r="I7" s="67">
        <f t="shared" ref="I7:I24" si="2">+F7-D7</f>
        <v>147172</v>
      </c>
      <c r="J7" s="883">
        <f t="shared" ref="J7:J24" si="3">IFERROR(IF(D7="",1,1-(F7/D7)),"")</f>
        <v>-0.309549700382173</v>
      </c>
    </row>
    <row r="8" spans="1:10" x14ac:dyDescent="0.2">
      <c r="A8" s="65" t="s">
        <v>977</v>
      </c>
      <c r="B8" s="66">
        <v>2811858</v>
      </c>
      <c r="C8" s="67">
        <v>3759459</v>
      </c>
      <c r="D8" s="66">
        <v>1872470</v>
      </c>
      <c r="E8" s="67">
        <v>2230658</v>
      </c>
      <c r="F8" s="56">
        <v>2384519</v>
      </c>
      <c r="G8" s="68">
        <f t="shared" si="0"/>
        <v>-939388</v>
      </c>
      <c r="H8" s="69">
        <f t="shared" si="1"/>
        <v>-0.33408088175149675</v>
      </c>
      <c r="I8" s="67">
        <f t="shared" si="2"/>
        <v>512049</v>
      </c>
      <c r="J8" s="883">
        <f t="shared" si="3"/>
        <v>-0.27346179111013802</v>
      </c>
    </row>
    <row r="9" spans="1:10" x14ac:dyDescent="0.2">
      <c r="A9" s="65" t="s">
        <v>978</v>
      </c>
      <c r="B9" s="66">
        <v>4007928</v>
      </c>
      <c r="C9" s="67">
        <v>7075085</v>
      </c>
      <c r="D9" s="66">
        <v>3919774</v>
      </c>
      <c r="E9" s="67">
        <v>5390889</v>
      </c>
      <c r="F9" s="56">
        <v>3795734</v>
      </c>
      <c r="G9" s="68">
        <f t="shared" si="0"/>
        <v>-88154</v>
      </c>
      <c r="H9" s="69">
        <f t="shared" si="1"/>
        <v>-2.1994906096117539E-2</v>
      </c>
      <c r="I9" s="67">
        <f t="shared" si="2"/>
        <v>-124040</v>
      </c>
      <c r="J9" s="883">
        <f t="shared" si="3"/>
        <v>3.164468155562028E-2</v>
      </c>
    </row>
    <row r="10" spans="1:10" x14ac:dyDescent="0.2">
      <c r="A10" s="65" t="s">
        <v>979</v>
      </c>
      <c r="B10" s="66">
        <v>437418</v>
      </c>
      <c r="C10" s="67">
        <v>1053951</v>
      </c>
      <c r="D10" s="66">
        <v>338666</v>
      </c>
      <c r="E10" s="67">
        <v>704776</v>
      </c>
      <c r="F10" s="56">
        <v>284669</v>
      </c>
      <c r="G10" s="68">
        <f t="shared" si="0"/>
        <v>-98752</v>
      </c>
      <c r="H10" s="69">
        <f t="shared" si="1"/>
        <v>-0.22576117123666606</v>
      </c>
      <c r="I10" s="67">
        <f t="shared" si="2"/>
        <v>-53997</v>
      </c>
      <c r="J10" s="883">
        <f t="shared" si="3"/>
        <v>0.15944027448872933</v>
      </c>
    </row>
    <row r="11" spans="1:10" x14ac:dyDescent="0.2">
      <c r="A11" s="65" t="s">
        <v>980</v>
      </c>
      <c r="B11" s="66">
        <v>82100</v>
      </c>
      <c r="C11" s="67">
        <v>250641</v>
      </c>
      <c r="D11" s="66">
        <v>96971</v>
      </c>
      <c r="E11" s="67">
        <v>203860</v>
      </c>
      <c r="F11" s="56">
        <v>226763</v>
      </c>
      <c r="G11" s="68">
        <f t="shared" si="0"/>
        <v>14871</v>
      </c>
      <c r="H11" s="69">
        <f t="shared" si="1"/>
        <v>0.1811327649208283</v>
      </c>
      <c r="I11" s="67">
        <f t="shared" si="2"/>
        <v>129792</v>
      </c>
      <c r="J11" s="883">
        <f t="shared" si="3"/>
        <v>-1.3384620144166814</v>
      </c>
    </row>
    <row r="12" spans="1:10" x14ac:dyDescent="0.2">
      <c r="A12" s="65" t="s">
        <v>981</v>
      </c>
      <c r="B12" s="66">
        <v>6221053</v>
      </c>
      <c r="C12" s="67">
        <v>26575973</v>
      </c>
      <c r="D12" s="66">
        <v>4066708</v>
      </c>
      <c r="E12" s="67">
        <v>14707951</v>
      </c>
      <c r="F12" s="56">
        <v>4438732</v>
      </c>
      <c r="G12" s="68">
        <f t="shared" si="0"/>
        <v>-2154345</v>
      </c>
      <c r="H12" s="69">
        <f t="shared" si="1"/>
        <v>-0.34629909116672053</v>
      </c>
      <c r="I12" s="67">
        <f t="shared" si="2"/>
        <v>372024</v>
      </c>
      <c r="J12" s="883">
        <f t="shared" si="3"/>
        <v>-9.1480381674809097E-2</v>
      </c>
    </row>
    <row r="13" spans="1:10" x14ac:dyDescent="0.2">
      <c r="A13" s="65" t="s">
        <v>982</v>
      </c>
      <c r="B13" s="66">
        <v>2643162</v>
      </c>
      <c r="C13" s="67">
        <v>1696113</v>
      </c>
      <c r="D13" s="66">
        <v>200320</v>
      </c>
      <c r="E13" s="67">
        <v>473862</v>
      </c>
      <c r="F13" s="56">
        <v>624212</v>
      </c>
      <c r="G13" s="68">
        <f t="shared" si="0"/>
        <v>-2442842</v>
      </c>
      <c r="H13" s="69">
        <f t="shared" si="1"/>
        <v>-0.92421198549313288</v>
      </c>
      <c r="I13" s="67">
        <f t="shared" si="2"/>
        <v>423892</v>
      </c>
      <c r="J13" s="883">
        <f t="shared" si="3"/>
        <v>-2.1160742811501598</v>
      </c>
    </row>
    <row r="14" spans="1:10" x14ac:dyDescent="0.2">
      <c r="A14" s="65" t="s">
        <v>983</v>
      </c>
      <c r="B14" s="66">
        <v>109292</v>
      </c>
      <c r="C14" s="67">
        <v>234026</v>
      </c>
      <c r="D14" s="66">
        <v>82326</v>
      </c>
      <c r="E14" s="67">
        <v>86794</v>
      </c>
      <c r="F14" s="56">
        <v>321613</v>
      </c>
      <c r="G14" s="68">
        <f t="shared" si="0"/>
        <v>-26966</v>
      </c>
      <c r="H14" s="69">
        <f t="shared" si="1"/>
        <v>-0.24673352120923764</v>
      </c>
      <c r="I14" s="67">
        <f t="shared" si="2"/>
        <v>239287</v>
      </c>
      <c r="J14" s="883">
        <f t="shared" si="3"/>
        <v>-2.9065787236110099</v>
      </c>
    </row>
    <row r="15" spans="1:10" x14ac:dyDescent="0.2">
      <c r="A15" s="65" t="s">
        <v>984</v>
      </c>
      <c r="B15" s="66">
        <v>337120</v>
      </c>
      <c r="C15" s="67">
        <v>380044</v>
      </c>
      <c r="D15" s="66">
        <v>149236</v>
      </c>
      <c r="E15" s="67">
        <v>151204</v>
      </c>
      <c r="F15" s="56">
        <v>132540</v>
      </c>
      <c r="G15" s="68">
        <f t="shared" si="0"/>
        <v>-187884</v>
      </c>
      <c r="H15" s="69">
        <f t="shared" si="1"/>
        <v>-0.55732083531086851</v>
      </c>
      <c r="I15" s="67">
        <f t="shared" si="2"/>
        <v>-16696</v>
      </c>
      <c r="J15" s="883">
        <f t="shared" si="3"/>
        <v>0.11187649092712215</v>
      </c>
    </row>
    <row r="16" spans="1:10" x14ac:dyDescent="0.2">
      <c r="A16" s="65" t="s">
        <v>985</v>
      </c>
      <c r="B16" s="66">
        <v>1173964</v>
      </c>
      <c r="C16" s="67">
        <v>1591698</v>
      </c>
      <c r="D16" s="66">
        <v>883211</v>
      </c>
      <c r="E16" s="67">
        <v>907871</v>
      </c>
      <c r="F16" s="56">
        <v>812810</v>
      </c>
      <c r="G16" s="68">
        <f t="shared" si="0"/>
        <v>-290753</v>
      </c>
      <c r="H16" s="69">
        <f t="shared" si="1"/>
        <v>-0.24766773086738603</v>
      </c>
      <c r="I16" s="67">
        <f t="shared" si="2"/>
        <v>-70401</v>
      </c>
      <c r="J16" s="883">
        <f t="shared" si="3"/>
        <v>7.9710284405425158E-2</v>
      </c>
    </row>
    <row r="17" spans="1:10" x14ac:dyDescent="0.2">
      <c r="A17" s="65" t="s">
        <v>986</v>
      </c>
      <c r="B17" s="66">
        <v>7934336</v>
      </c>
      <c r="C17" s="67">
        <v>5350920</v>
      </c>
      <c r="D17" s="66">
        <v>4103325</v>
      </c>
      <c r="E17" s="67">
        <v>5239639</v>
      </c>
      <c r="F17" s="56">
        <v>4908581</v>
      </c>
      <c r="G17" s="68">
        <f t="shared" si="0"/>
        <v>-3831011</v>
      </c>
      <c r="H17" s="69">
        <f t="shared" si="1"/>
        <v>-0.48283952179489242</v>
      </c>
      <c r="I17" s="67">
        <f t="shared" si="2"/>
        <v>805256</v>
      </c>
      <c r="J17" s="883">
        <f t="shared" si="3"/>
        <v>-0.19624475273101694</v>
      </c>
    </row>
    <row r="18" spans="1:10" x14ac:dyDescent="0.2">
      <c r="A18" s="65" t="s">
        <v>987</v>
      </c>
      <c r="B18" s="66">
        <v>6853137</v>
      </c>
      <c r="C18" s="67">
        <v>7013576</v>
      </c>
      <c r="D18" s="66">
        <v>8680214</v>
      </c>
      <c r="E18" s="67">
        <v>8824109</v>
      </c>
      <c r="F18" s="56">
        <v>8997043</v>
      </c>
      <c r="G18" s="68">
        <f t="shared" si="0"/>
        <v>1827077</v>
      </c>
      <c r="H18" s="69">
        <f t="shared" si="1"/>
        <v>0.26660447616908867</v>
      </c>
      <c r="I18" s="67">
        <f t="shared" si="2"/>
        <v>316829</v>
      </c>
      <c r="J18" s="883">
        <f t="shared" si="3"/>
        <v>-3.6500136978189657E-2</v>
      </c>
    </row>
    <row r="19" spans="1:10" x14ac:dyDescent="0.2">
      <c r="A19" s="65" t="s">
        <v>988</v>
      </c>
      <c r="B19" s="66">
        <v>9675</v>
      </c>
      <c r="C19" s="67">
        <v>6429</v>
      </c>
      <c r="D19" s="66">
        <v>29920</v>
      </c>
      <c r="E19" s="67">
        <v>29920</v>
      </c>
      <c r="F19" s="56">
        <v>1139303</v>
      </c>
      <c r="G19" s="68">
        <f>+D19-B19</f>
        <v>20245</v>
      </c>
      <c r="H19" s="69">
        <f t="shared" si="1"/>
        <v>2.0925064599483205</v>
      </c>
      <c r="I19" s="67">
        <f t="shared" si="2"/>
        <v>1109383</v>
      </c>
      <c r="J19" s="883">
        <f t="shared" si="3"/>
        <v>-37.078308823529412</v>
      </c>
    </row>
    <row r="20" spans="1:10" x14ac:dyDescent="0.2">
      <c r="A20" s="65" t="s">
        <v>989</v>
      </c>
      <c r="B20" s="66">
        <v>7750984</v>
      </c>
      <c r="C20" s="67">
        <v>12099376</v>
      </c>
      <c r="D20" s="66">
        <v>7422493</v>
      </c>
      <c r="E20" s="67">
        <v>8892822</v>
      </c>
      <c r="F20" s="56">
        <v>13686048</v>
      </c>
      <c r="G20" s="68">
        <f t="shared" si="0"/>
        <v>-328491</v>
      </c>
      <c r="H20" s="69">
        <f t="shared" si="1"/>
        <v>-4.2380554520561553E-2</v>
      </c>
      <c r="I20" s="67">
        <f t="shared" si="2"/>
        <v>6263555</v>
      </c>
      <c r="J20" s="883">
        <f t="shared" si="3"/>
        <v>-0.84386135493829362</v>
      </c>
    </row>
    <row r="21" spans="1:10" x14ac:dyDescent="0.2">
      <c r="A21" s="65" t="s">
        <v>990</v>
      </c>
      <c r="B21" s="66">
        <v>800734</v>
      </c>
      <c r="C21" s="67">
        <v>2612918</v>
      </c>
      <c r="D21" s="66">
        <v>882605</v>
      </c>
      <c r="E21" s="67">
        <v>2958300</v>
      </c>
      <c r="F21" s="56">
        <v>1209600</v>
      </c>
      <c r="G21" s="68">
        <f t="shared" si="0"/>
        <v>81871</v>
      </c>
      <c r="H21" s="69">
        <f t="shared" si="1"/>
        <v>0.10224494026730468</v>
      </c>
      <c r="I21" s="67">
        <f t="shared" si="2"/>
        <v>326995</v>
      </c>
      <c r="J21" s="883">
        <f t="shared" si="3"/>
        <v>-0.37048849711932297</v>
      </c>
    </row>
    <row r="22" spans="1:10" x14ac:dyDescent="0.2">
      <c r="A22" s="65" t="s">
        <v>991</v>
      </c>
      <c r="B22" s="66">
        <v>386082</v>
      </c>
      <c r="C22" s="67">
        <v>2953799</v>
      </c>
      <c r="D22" s="66">
        <v>340688</v>
      </c>
      <c r="E22" s="67">
        <v>2741955</v>
      </c>
      <c r="F22" s="56">
        <v>484521</v>
      </c>
      <c r="G22" s="68">
        <f t="shared" si="0"/>
        <v>-45394</v>
      </c>
      <c r="H22" s="69">
        <f t="shared" si="1"/>
        <v>-0.11757605897192824</v>
      </c>
      <c r="I22" s="67">
        <f t="shared" si="2"/>
        <v>143833</v>
      </c>
      <c r="J22" s="883">
        <f t="shared" si="3"/>
        <v>-0.42218393368712714</v>
      </c>
    </row>
    <row r="23" spans="1:10" x14ac:dyDescent="0.2">
      <c r="A23" s="65" t="s">
        <v>992</v>
      </c>
      <c r="B23" s="66">
        <v>21222528</v>
      </c>
      <c r="C23" s="67">
        <v>36362408</v>
      </c>
      <c r="D23" s="66">
        <v>16283076</v>
      </c>
      <c r="E23" s="67">
        <v>19163548</v>
      </c>
      <c r="F23" s="56">
        <v>11722706</v>
      </c>
      <c r="G23" s="68">
        <f t="shared" si="0"/>
        <v>-4939452</v>
      </c>
      <c r="H23" s="69">
        <f t="shared" si="1"/>
        <v>-0.23274569363272835</v>
      </c>
      <c r="I23" s="67">
        <f t="shared" si="2"/>
        <v>-4560370</v>
      </c>
      <c r="J23" s="883">
        <f t="shared" si="3"/>
        <v>0.28006809032887892</v>
      </c>
    </row>
    <row r="24" spans="1:10" x14ac:dyDescent="0.2">
      <c r="A24" s="65" t="s">
        <v>397</v>
      </c>
      <c r="B24" s="66">
        <v>39794970</v>
      </c>
      <c r="C24" s="67">
        <v>81036337</v>
      </c>
      <c r="D24" s="66">
        <v>41663912</v>
      </c>
      <c r="E24" s="67">
        <v>65770809</v>
      </c>
      <c r="F24" s="56">
        <v>44366125</v>
      </c>
      <c r="G24" s="68">
        <f t="shared" si="0"/>
        <v>1868942</v>
      </c>
      <c r="H24" s="69">
        <f t="shared" si="1"/>
        <v>4.6964277143568545E-2</v>
      </c>
      <c r="I24" s="67">
        <f t="shared" si="2"/>
        <v>2702213</v>
      </c>
      <c r="J24" s="883">
        <f t="shared" si="3"/>
        <v>-6.4857399852419118E-2</v>
      </c>
    </row>
    <row r="25" spans="1:10" ht="12.75" thickBot="1" x14ac:dyDescent="0.25">
      <c r="A25" s="65" t="s">
        <v>993</v>
      </c>
      <c r="B25" s="66"/>
      <c r="C25" s="67"/>
      <c r="D25" s="66">
        <v>2658026</v>
      </c>
      <c r="E25" s="67">
        <v>12490997</v>
      </c>
      <c r="F25" s="56">
        <v>11034532</v>
      </c>
      <c r="G25" s="68">
        <f>IF(YB25="",D25-B25,0)</f>
        <v>2658026</v>
      </c>
      <c r="H25" s="69">
        <f t="shared" ref="H25:H26" si="4">IFERROR(IF(B25="",1,1-(D25/B25)),"")</f>
        <v>1</v>
      </c>
      <c r="I25" s="67">
        <f>+F25-D25</f>
        <v>8376506</v>
      </c>
      <c r="J25" s="883">
        <f>IFERROR(IF(D25="",1,1-(F25/D25)),"")</f>
        <v>-3.1514010773408536</v>
      </c>
    </row>
    <row r="26" spans="1:10" ht="15.75" customHeight="1" thickBot="1" x14ac:dyDescent="0.25">
      <c r="A26" s="263" t="s">
        <v>612</v>
      </c>
      <c r="B26" s="265">
        <f>SUM(B6:B24)</f>
        <v>106120314</v>
      </c>
      <c r="C26" s="289">
        <f>SUM(C6:C24)</f>
        <v>194226288</v>
      </c>
      <c r="D26" s="265">
        <f>SUM(D6:D25)</f>
        <v>96684344</v>
      </c>
      <c r="E26" s="289">
        <f>SUM(E6:E25)</f>
        <v>154851749</v>
      </c>
      <c r="F26" s="289">
        <f>SUM(F6:F25)</f>
        <v>113826196</v>
      </c>
      <c r="G26" s="289">
        <f>SUM(G6:G25)</f>
        <v>-9435970</v>
      </c>
      <c r="H26" s="884">
        <f t="shared" si="4"/>
        <v>8.8917660006169963E-2</v>
      </c>
      <c r="I26" s="289">
        <f>SUM(I6:I25)</f>
        <v>17141852</v>
      </c>
      <c r="J26" s="885">
        <f>SUM(J6:J25)</f>
        <v>-48.575597228208551</v>
      </c>
    </row>
    <row r="27" spans="1:10" x14ac:dyDescent="0.2">
      <c r="A27" s="1" t="s">
        <v>994</v>
      </c>
      <c r="B27" s="2"/>
      <c r="C27" s="2"/>
      <c r="D27" s="2"/>
      <c r="E27" s="2"/>
      <c r="F27" s="2"/>
      <c r="G27" s="2"/>
      <c r="H27" s="2"/>
      <c r="I27" s="2"/>
    </row>
    <row r="28" spans="1:10" x14ac:dyDescent="0.2">
      <c r="A28" s="1" t="s">
        <v>995</v>
      </c>
      <c r="B28" s="7"/>
      <c r="C28" s="7"/>
      <c r="D28" s="7"/>
      <c r="E28" s="7"/>
      <c r="F28" s="7"/>
      <c r="G28" s="7"/>
      <c r="H28" s="7"/>
      <c r="I28" s="7"/>
    </row>
    <row r="29" spans="1:10" x14ac:dyDescent="0.2">
      <c r="A29" s="1" t="s">
        <v>996</v>
      </c>
      <c r="B29" s="2"/>
      <c r="C29" s="2"/>
      <c r="D29" s="2"/>
      <c r="E29" s="2"/>
      <c r="F29" s="2"/>
      <c r="G29" s="2"/>
      <c r="H29" s="2"/>
      <c r="I29" s="2"/>
    </row>
  </sheetData>
  <mergeCells count="12">
    <mergeCell ref="A1:J1"/>
    <mergeCell ref="A2:D2"/>
    <mergeCell ref="F4:F5"/>
    <mergeCell ref="G4:G5"/>
    <mergeCell ref="H4:H5"/>
    <mergeCell ref="I4:I5"/>
    <mergeCell ref="J4:J5"/>
    <mergeCell ref="A4:A5"/>
    <mergeCell ref="B4:B5"/>
    <mergeCell ref="C4:C5"/>
    <mergeCell ref="D4:D5"/>
    <mergeCell ref="E4:E5"/>
  </mergeCells>
  <phoneticPr fontId="0" type="noConversion"/>
  <printOptions horizontalCentered="1"/>
  <pageMargins left="0.23622047244094491" right="0.23622047244094491" top="0.74803149606299213" bottom="0.74803149606299213" header="0.31496062992125984" footer="0.31496062992125984"/>
  <pageSetup paperSize="9" scale="77"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9" tint="-0.249977111117893"/>
  </sheetPr>
  <dimension ref="A1:Y29"/>
  <sheetViews>
    <sheetView zoomScaleNormal="100" zoomScaleSheetLayoutView="90" zoomScalePageLayoutView="85" workbookViewId="0">
      <selection activeCell="G11" sqref="G11"/>
    </sheetView>
  </sheetViews>
  <sheetFormatPr baseColWidth="10" defaultColWidth="11.42578125" defaultRowHeight="12" x14ac:dyDescent="0.2"/>
  <cols>
    <col min="1" max="1" width="31.42578125" style="3" customWidth="1"/>
    <col min="2" max="2" width="17.28515625" style="3" customWidth="1"/>
    <col min="3" max="3" width="16.7109375" style="3" customWidth="1"/>
    <col min="4" max="5" width="16.42578125" style="3" customWidth="1"/>
    <col min="6" max="6" width="16.28515625" style="3" customWidth="1"/>
    <col min="7" max="14" width="15.5703125" style="3" customWidth="1"/>
    <col min="15" max="16384" width="11.42578125" style="3"/>
  </cols>
  <sheetData>
    <row r="1" spans="1:25" ht="21.75" customHeight="1" x14ac:dyDescent="0.2">
      <c r="A1" s="1474" t="s">
        <v>997</v>
      </c>
      <c r="B1" s="1474"/>
      <c r="C1" s="1474"/>
      <c r="D1" s="1474"/>
      <c r="E1" s="1474"/>
      <c r="F1" s="1474"/>
      <c r="G1" s="1474"/>
      <c r="H1" s="1474"/>
      <c r="I1" s="1474"/>
      <c r="J1" s="1474"/>
      <c r="K1" s="1474"/>
      <c r="L1" s="1474"/>
      <c r="M1" s="1474"/>
      <c r="N1" s="1474"/>
    </row>
    <row r="2" spans="1:25" x14ac:dyDescent="0.2">
      <c r="A2" s="1461" t="s">
        <v>43</v>
      </c>
      <c r="B2" s="1461"/>
      <c r="C2" s="1461"/>
      <c r="D2" s="1461"/>
      <c r="E2" s="2"/>
      <c r="F2" s="2"/>
      <c r="G2" s="2"/>
      <c r="H2" s="2"/>
      <c r="I2" s="2"/>
      <c r="J2" s="2"/>
      <c r="K2" s="2"/>
      <c r="L2" s="2"/>
      <c r="M2" s="2"/>
      <c r="N2" s="2"/>
      <c r="O2" s="2"/>
      <c r="P2" s="2"/>
      <c r="Q2" s="2"/>
      <c r="R2" s="2"/>
      <c r="S2" s="2"/>
      <c r="T2" s="2"/>
      <c r="U2" s="2"/>
      <c r="V2" s="2"/>
      <c r="W2" s="2"/>
      <c r="X2" s="2"/>
      <c r="Y2" s="2"/>
    </row>
    <row r="3" spans="1:25" ht="12.75" thickBot="1" x14ac:dyDescent="0.25">
      <c r="B3" s="4"/>
      <c r="G3" s="4"/>
      <c r="H3" s="4"/>
    </row>
    <row r="4" spans="1:25" ht="13.5" hidden="1" customHeight="1" x14ac:dyDescent="0.2">
      <c r="A4" s="16" t="s">
        <v>998</v>
      </c>
      <c r="B4" s="15"/>
      <c r="C4" s="19"/>
      <c r="D4" s="19"/>
      <c r="E4" s="19"/>
      <c r="F4" s="19"/>
      <c r="G4" s="19"/>
      <c r="H4" s="19"/>
      <c r="I4" s="19"/>
      <c r="J4" s="19"/>
      <c r="K4" s="19"/>
      <c r="L4" s="19"/>
      <c r="M4" s="19"/>
      <c r="N4" s="19"/>
    </row>
    <row r="5" spans="1:25" ht="45" customHeight="1" thickBot="1" x14ac:dyDescent="0.25">
      <c r="A5" s="263" t="s">
        <v>999</v>
      </c>
      <c r="B5" s="327" t="s">
        <v>1000</v>
      </c>
      <c r="C5" s="328" t="s">
        <v>1001</v>
      </c>
      <c r="D5" s="328" t="s">
        <v>1002</v>
      </c>
      <c r="E5" s="328" t="s">
        <v>1003</v>
      </c>
      <c r="F5" s="328" t="s">
        <v>1004</v>
      </c>
      <c r="G5" s="328" t="s">
        <v>1005</v>
      </c>
      <c r="H5" s="328" t="s">
        <v>1006</v>
      </c>
      <c r="I5" s="328" t="s">
        <v>1007</v>
      </c>
      <c r="J5" s="328" t="s">
        <v>1008</v>
      </c>
      <c r="K5" s="328" t="s">
        <v>1009</v>
      </c>
      <c r="L5" s="328" t="s">
        <v>1010</v>
      </c>
      <c r="M5" s="328" t="s">
        <v>1011</v>
      </c>
      <c r="N5" s="328" t="s">
        <v>1012</v>
      </c>
    </row>
    <row r="6" spans="1:25" ht="60" x14ac:dyDescent="0.2">
      <c r="A6" s="71" t="s">
        <v>1013</v>
      </c>
      <c r="B6" s="72" t="s">
        <v>1014</v>
      </c>
      <c r="C6" s="72" t="s">
        <v>1015</v>
      </c>
      <c r="D6" s="72" t="s">
        <v>1016</v>
      </c>
      <c r="E6" s="72" t="s">
        <v>1017</v>
      </c>
      <c r="F6" s="80">
        <v>33442081.260000002</v>
      </c>
      <c r="G6" s="73">
        <v>43083</v>
      </c>
      <c r="H6" s="72" t="s">
        <v>1018</v>
      </c>
      <c r="I6" s="72">
        <v>450</v>
      </c>
      <c r="J6" s="73">
        <v>44493</v>
      </c>
      <c r="K6" s="72">
        <v>427</v>
      </c>
      <c r="L6" s="73">
        <v>44493</v>
      </c>
      <c r="M6" s="73">
        <v>44493</v>
      </c>
      <c r="N6" s="73">
        <f>M6+60</f>
        <v>44553</v>
      </c>
    </row>
    <row r="7" spans="1:25" ht="96" x14ac:dyDescent="0.2">
      <c r="A7" s="71" t="s">
        <v>1019</v>
      </c>
      <c r="B7" s="72" t="s">
        <v>1020</v>
      </c>
      <c r="C7" s="72" t="s">
        <v>1015</v>
      </c>
      <c r="D7" s="72" t="s">
        <v>1016</v>
      </c>
      <c r="E7" s="72" t="s">
        <v>1021</v>
      </c>
      <c r="F7" s="80">
        <v>33095227.449999999</v>
      </c>
      <c r="G7" s="73">
        <v>43464</v>
      </c>
      <c r="H7" s="72" t="s">
        <v>1022</v>
      </c>
      <c r="I7" s="72">
        <v>450</v>
      </c>
      <c r="J7" s="73">
        <v>43974</v>
      </c>
      <c r="K7" s="72">
        <v>573</v>
      </c>
      <c r="L7" s="73">
        <v>44547</v>
      </c>
      <c r="M7" s="73">
        <v>44547</v>
      </c>
      <c r="N7" s="73">
        <f t="shared" ref="N7:N18" si="0">M7+60</f>
        <v>44607</v>
      </c>
    </row>
    <row r="8" spans="1:25" ht="96" x14ac:dyDescent="0.2">
      <c r="A8" s="71" t="s">
        <v>1023</v>
      </c>
      <c r="B8" s="72" t="s">
        <v>1024</v>
      </c>
      <c r="C8" s="72" t="s">
        <v>1015</v>
      </c>
      <c r="D8" s="72" t="s">
        <v>1016</v>
      </c>
      <c r="E8" s="72" t="s">
        <v>1025</v>
      </c>
      <c r="F8" s="80">
        <v>4997555</v>
      </c>
      <c r="G8" s="73">
        <v>44243</v>
      </c>
      <c r="H8" s="72" t="s">
        <v>1026</v>
      </c>
      <c r="I8" s="72">
        <v>120</v>
      </c>
      <c r="J8" s="73">
        <v>44453</v>
      </c>
      <c r="K8" s="72">
        <v>0</v>
      </c>
      <c r="L8" s="73">
        <v>44453</v>
      </c>
      <c r="M8" s="73">
        <v>44453</v>
      </c>
      <c r="N8" s="73">
        <f t="shared" si="0"/>
        <v>44513</v>
      </c>
    </row>
    <row r="9" spans="1:25" ht="72" x14ac:dyDescent="0.2">
      <c r="A9" s="71" t="s">
        <v>1027</v>
      </c>
      <c r="B9" s="72" t="s">
        <v>1028</v>
      </c>
      <c r="C9" s="72" t="s">
        <v>1015</v>
      </c>
      <c r="D9" s="72" t="s">
        <v>1016</v>
      </c>
      <c r="E9" s="72" t="s">
        <v>1029</v>
      </c>
      <c r="F9" s="80">
        <v>11291856.42</v>
      </c>
      <c r="G9" s="73">
        <v>43347</v>
      </c>
      <c r="H9" s="72" t="s">
        <v>1030</v>
      </c>
      <c r="I9" s="72">
        <v>150</v>
      </c>
      <c r="J9" s="73">
        <v>43512</v>
      </c>
      <c r="K9" s="72">
        <f t="shared" ref="K9:K18" si="1">L9-J9</f>
        <v>943</v>
      </c>
      <c r="L9" s="73">
        <v>44455</v>
      </c>
      <c r="M9" s="73">
        <v>44455</v>
      </c>
      <c r="N9" s="73">
        <f t="shared" si="0"/>
        <v>44515</v>
      </c>
    </row>
    <row r="10" spans="1:25" ht="60" x14ac:dyDescent="0.2">
      <c r="A10" s="71" t="s">
        <v>1031</v>
      </c>
      <c r="B10" s="72" t="s">
        <v>1032</v>
      </c>
      <c r="C10" s="72" t="s">
        <v>1015</v>
      </c>
      <c r="D10" s="72" t="s">
        <v>1016</v>
      </c>
      <c r="E10" s="72" t="s">
        <v>1033</v>
      </c>
      <c r="F10" s="80">
        <v>40421258.109999999</v>
      </c>
      <c r="G10" s="73">
        <v>43487</v>
      </c>
      <c r="H10" s="72" t="s">
        <v>1034</v>
      </c>
      <c r="I10" s="72">
        <v>450</v>
      </c>
      <c r="J10" s="73">
        <v>44006</v>
      </c>
      <c r="K10" s="72">
        <f t="shared" si="1"/>
        <v>506</v>
      </c>
      <c r="L10" s="73">
        <v>44512</v>
      </c>
      <c r="M10" s="73">
        <v>44512</v>
      </c>
      <c r="N10" s="73">
        <f t="shared" si="0"/>
        <v>44572</v>
      </c>
    </row>
    <row r="11" spans="1:25" ht="72" x14ac:dyDescent="0.2">
      <c r="A11" s="71" t="s">
        <v>1035</v>
      </c>
      <c r="B11" s="72" t="s">
        <v>1036</v>
      </c>
      <c r="C11" s="72" t="s">
        <v>1015</v>
      </c>
      <c r="D11" s="72" t="s">
        <v>1037</v>
      </c>
      <c r="E11" s="72" t="s">
        <v>1038</v>
      </c>
      <c r="F11" s="80">
        <v>114032509.01000001</v>
      </c>
      <c r="G11" s="73">
        <v>43124</v>
      </c>
      <c r="H11" s="72" t="s">
        <v>1039</v>
      </c>
      <c r="I11" s="72">
        <v>540</v>
      </c>
      <c r="J11" s="73">
        <v>44148</v>
      </c>
      <c r="K11" s="72">
        <f t="shared" si="1"/>
        <v>410</v>
      </c>
      <c r="L11" s="73">
        <v>44558</v>
      </c>
      <c r="M11" s="73">
        <v>44558</v>
      </c>
      <c r="N11" s="73">
        <f t="shared" si="0"/>
        <v>44618</v>
      </c>
    </row>
    <row r="12" spans="1:25" ht="60" x14ac:dyDescent="0.2">
      <c r="A12" s="71" t="s">
        <v>1040</v>
      </c>
      <c r="B12" s="72" t="s">
        <v>1041</v>
      </c>
      <c r="C12" s="72" t="s">
        <v>1042</v>
      </c>
      <c r="D12" s="72" t="s">
        <v>1016</v>
      </c>
      <c r="E12" s="72" t="s">
        <v>1043</v>
      </c>
      <c r="F12" s="80">
        <v>203260008.49000001</v>
      </c>
      <c r="G12" s="73">
        <v>43481</v>
      </c>
      <c r="H12" s="72" t="s">
        <v>1044</v>
      </c>
      <c r="I12" s="72">
        <v>660</v>
      </c>
      <c r="J12" s="73">
        <v>44188</v>
      </c>
      <c r="K12" s="72">
        <f t="shared" si="1"/>
        <v>340</v>
      </c>
      <c r="L12" s="73">
        <v>44528</v>
      </c>
      <c r="M12" s="73">
        <v>44528</v>
      </c>
      <c r="N12" s="73">
        <f t="shared" si="0"/>
        <v>44588</v>
      </c>
    </row>
    <row r="13" spans="1:25" ht="48" x14ac:dyDescent="0.2">
      <c r="A13" s="71" t="s">
        <v>1045</v>
      </c>
      <c r="B13" s="72" t="s">
        <v>1046</v>
      </c>
      <c r="C13" s="72" t="s">
        <v>1047</v>
      </c>
      <c r="D13" s="72" t="s">
        <v>1016</v>
      </c>
      <c r="E13" s="72" t="s">
        <v>1048</v>
      </c>
      <c r="F13" s="80">
        <v>343763600.62</v>
      </c>
      <c r="G13" s="73">
        <v>42507</v>
      </c>
      <c r="H13" s="72" t="s">
        <v>1049</v>
      </c>
      <c r="I13" s="72">
        <v>900</v>
      </c>
      <c r="J13" s="73">
        <v>43470</v>
      </c>
      <c r="K13" s="72">
        <f t="shared" si="1"/>
        <v>1051</v>
      </c>
      <c r="L13" s="73">
        <v>44521</v>
      </c>
      <c r="M13" s="73">
        <v>44521</v>
      </c>
      <c r="N13" s="73">
        <f t="shared" si="0"/>
        <v>44581</v>
      </c>
    </row>
    <row r="14" spans="1:25" ht="84" x14ac:dyDescent="0.2">
      <c r="A14" s="71" t="s">
        <v>1050</v>
      </c>
      <c r="B14" s="72" t="s">
        <v>1051</v>
      </c>
      <c r="C14" s="72" t="s">
        <v>1015</v>
      </c>
      <c r="D14" s="72" t="s">
        <v>1016</v>
      </c>
      <c r="E14" s="72" t="s">
        <v>1052</v>
      </c>
      <c r="F14" s="80">
        <v>15132362.41</v>
      </c>
      <c r="G14" s="73">
        <v>43507</v>
      </c>
      <c r="H14" s="72" t="s">
        <v>1053</v>
      </c>
      <c r="I14" s="72">
        <v>150</v>
      </c>
      <c r="J14" s="73">
        <v>43754</v>
      </c>
      <c r="K14" s="72">
        <f>L14-J14</f>
        <v>725</v>
      </c>
      <c r="L14" s="73">
        <v>44479</v>
      </c>
      <c r="M14" s="73">
        <v>44479</v>
      </c>
      <c r="N14" s="73">
        <f t="shared" si="0"/>
        <v>44539</v>
      </c>
    </row>
    <row r="15" spans="1:25" ht="84" x14ac:dyDescent="0.2">
      <c r="A15" s="71" t="s">
        <v>1054</v>
      </c>
      <c r="B15" s="72" t="s">
        <v>1055</v>
      </c>
      <c r="C15" s="72" t="s">
        <v>1015</v>
      </c>
      <c r="D15" s="72" t="s">
        <v>1016</v>
      </c>
      <c r="E15" s="72" t="s">
        <v>1056</v>
      </c>
      <c r="F15" s="80">
        <v>105448721.93000001</v>
      </c>
      <c r="G15" s="73">
        <v>43487</v>
      </c>
      <c r="H15" s="72" t="s">
        <v>1057</v>
      </c>
      <c r="I15" s="72">
        <v>810</v>
      </c>
      <c r="J15" s="73">
        <v>44636</v>
      </c>
      <c r="K15" s="72">
        <f t="shared" si="1"/>
        <v>213</v>
      </c>
      <c r="L15" s="73">
        <v>44849</v>
      </c>
      <c r="M15" s="73">
        <v>44849</v>
      </c>
      <c r="N15" s="73">
        <f t="shared" si="0"/>
        <v>44909</v>
      </c>
    </row>
    <row r="16" spans="1:25" ht="60" x14ac:dyDescent="0.2">
      <c r="A16" s="71" t="s">
        <v>1058</v>
      </c>
      <c r="B16" s="72" t="s">
        <v>1059</v>
      </c>
      <c r="C16" s="72" t="s">
        <v>1015</v>
      </c>
      <c r="D16" s="72" t="s">
        <v>1016</v>
      </c>
      <c r="E16" s="72" t="s">
        <v>1060</v>
      </c>
      <c r="F16" s="80" t="s">
        <v>1061</v>
      </c>
      <c r="G16" s="73">
        <v>44335</v>
      </c>
      <c r="H16" s="72" t="s">
        <v>1062</v>
      </c>
      <c r="I16" s="72">
        <v>360</v>
      </c>
      <c r="J16" s="73">
        <v>44729</v>
      </c>
      <c r="K16" s="72">
        <v>0</v>
      </c>
      <c r="L16" s="73">
        <v>44730</v>
      </c>
      <c r="M16" s="73">
        <v>44730</v>
      </c>
      <c r="N16" s="73">
        <f t="shared" si="0"/>
        <v>44790</v>
      </c>
    </row>
    <row r="17" spans="1:14" ht="72" x14ac:dyDescent="0.2">
      <c r="A17" s="71" t="s">
        <v>1063</v>
      </c>
      <c r="B17" s="72" t="s">
        <v>1064</v>
      </c>
      <c r="C17" s="72" t="s">
        <v>1042</v>
      </c>
      <c r="D17" s="72" t="s">
        <v>1016</v>
      </c>
      <c r="E17" s="72" t="s">
        <v>1065</v>
      </c>
      <c r="F17" s="80">
        <v>32833998</v>
      </c>
      <c r="G17" s="73">
        <v>43636</v>
      </c>
      <c r="H17" s="72" t="s">
        <v>1066</v>
      </c>
      <c r="I17" s="72">
        <v>450</v>
      </c>
      <c r="J17" s="73">
        <v>44161</v>
      </c>
      <c r="K17" s="72">
        <f t="shared" si="1"/>
        <v>498</v>
      </c>
      <c r="L17" s="73">
        <v>44659</v>
      </c>
      <c r="M17" s="73">
        <v>44659</v>
      </c>
      <c r="N17" s="73">
        <f t="shared" si="0"/>
        <v>44719</v>
      </c>
    </row>
    <row r="18" spans="1:14" ht="60" x14ac:dyDescent="0.2">
      <c r="A18" s="71" t="s">
        <v>1067</v>
      </c>
      <c r="B18" s="72" t="s">
        <v>1068</v>
      </c>
      <c r="C18" s="72" t="s">
        <v>1015</v>
      </c>
      <c r="D18" s="72" t="s">
        <v>1016</v>
      </c>
      <c r="E18" s="72" t="s">
        <v>1069</v>
      </c>
      <c r="F18" s="80">
        <v>24896151.039999999</v>
      </c>
      <c r="G18" s="73">
        <v>43447</v>
      </c>
      <c r="H18" s="72" t="s">
        <v>1070</v>
      </c>
      <c r="I18" s="72">
        <v>690</v>
      </c>
      <c r="J18" s="73">
        <v>44214</v>
      </c>
      <c r="K18" s="72">
        <f t="shared" si="1"/>
        <v>504</v>
      </c>
      <c r="L18" s="73">
        <v>44718</v>
      </c>
      <c r="M18" s="73">
        <v>44718</v>
      </c>
      <c r="N18" s="73">
        <f t="shared" si="0"/>
        <v>44778</v>
      </c>
    </row>
    <row r="19" spans="1:14" ht="60" x14ac:dyDescent="0.2">
      <c r="A19" s="71" t="s">
        <v>1071</v>
      </c>
      <c r="B19" s="72" t="s">
        <v>1072</v>
      </c>
      <c r="C19" s="72" t="s">
        <v>1015</v>
      </c>
      <c r="D19" s="72" t="s">
        <v>1016</v>
      </c>
      <c r="E19" s="72" t="s">
        <v>1073</v>
      </c>
      <c r="F19" s="80">
        <v>12109953.83</v>
      </c>
      <c r="G19" s="72"/>
      <c r="H19" s="72"/>
      <c r="I19" s="73"/>
      <c r="J19" s="72"/>
      <c r="K19" s="72"/>
      <c r="L19" s="72"/>
      <c r="M19" s="72"/>
      <c r="N19" s="72"/>
    </row>
    <row r="20" spans="1:14" ht="84" x14ac:dyDescent="0.2">
      <c r="A20" s="71" t="s">
        <v>1074</v>
      </c>
      <c r="B20" s="72" t="s">
        <v>1075</v>
      </c>
      <c r="C20" s="72"/>
      <c r="D20" s="72"/>
      <c r="E20" s="72"/>
      <c r="F20" s="80"/>
      <c r="G20" s="72"/>
      <c r="H20" s="72"/>
      <c r="I20" s="72"/>
      <c r="J20" s="72"/>
      <c r="K20" s="72"/>
      <c r="L20" s="72"/>
      <c r="M20" s="72"/>
      <c r="N20" s="72"/>
    </row>
    <row r="21" spans="1:14" ht="72" x14ac:dyDescent="0.2">
      <c r="A21" s="71" t="s">
        <v>1076</v>
      </c>
      <c r="B21" s="72" t="s">
        <v>1077</v>
      </c>
      <c r="C21" s="72" t="s">
        <v>1015</v>
      </c>
      <c r="D21" s="72" t="s">
        <v>1016</v>
      </c>
      <c r="E21" s="72" t="s">
        <v>1078</v>
      </c>
      <c r="F21" s="80">
        <v>7834714.8899999997</v>
      </c>
      <c r="G21" s="72"/>
      <c r="H21" s="72"/>
      <c r="I21" s="72"/>
      <c r="J21" s="72"/>
      <c r="K21" s="72"/>
      <c r="L21" s="72"/>
      <c r="M21" s="72"/>
      <c r="N21" s="72"/>
    </row>
    <row r="22" spans="1:14" ht="96" x14ac:dyDescent="0.2">
      <c r="A22" s="71" t="s">
        <v>1079</v>
      </c>
      <c r="B22" s="72" t="s">
        <v>1080</v>
      </c>
      <c r="C22" s="72"/>
      <c r="D22" s="72"/>
      <c r="E22" s="72"/>
      <c r="F22" s="80"/>
      <c r="G22" s="72"/>
      <c r="H22" s="72"/>
      <c r="I22" s="72"/>
      <c r="J22" s="72"/>
      <c r="K22" s="72"/>
      <c r="L22" s="72"/>
      <c r="M22" s="72"/>
      <c r="N22" s="72"/>
    </row>
    <row r="23" spans="1:14" ht="72.75" thickBot="1" x14ac:dyDescent="0.25">
      <c r="A23" s="74" t="s">
        <v>1081</v>
      </c>
      <c r="B23" s="75" t="s">
        <v>1082</v>
      </c>
      <c r="C23" s="76"/>
      <c r="D23" s="76"/>
      <c r="E23" s="76"/>
      <c r="F23" s="81">
        <v>15506482.1</v>
      </c>
      <c r="G23" s="76"/>
      <c r="H23" s="76"/>
      <c r="I23" s="76"/>
      <c r="J23" s="76"/>
      <c r="K23" s="76"/>
      <c r="L23" s="76"/>
      <c r="M23" s="76"/>
      <c r="N23" s="76"/>
    </row>
    <row r="24" spans="1:14" ht="21" customHeight="1" thickBot="1" x14ac:dyDescent="0.25">
      <c r="A24" s="77" t="s">
        <v>169</v>
      </c>
      <c r="B24" s="78"/>
      <c r="C24" s="77"/>
      <c r="D24" s="79"/>
      <c r="E24" s="79"/>
      <c r="F24" s="82">
        <f>SUM(F6:F23)</f>
        <v>998066480.56000006</v>
      </c>
      <c r="G24" s="77"/>
      <c r="H24" s="77"/>
      <c r="I24" s="77"/>
      <c r="J24" s="77"/>
      <c r="K24" s="77"/>
      <c r="L24" s="77"/>
      <c r="M24" s="77"/>
      <c r="N24" s="77"/>
    </row>
    <row r="25" spans="1:14" x14ac:dyDescent="0.2">
      <c r="A25" s="1" t="s">
        <v>1083</v>
      </c>
      <c r="B25" s="2"/>
      <c r="C25" s="2"/>
      <c r="D25" s="2"/>
      <c r="E25" s="2"/>
      <c r="F25" s="2"/>
      <c r="G25" s="2"/>
      <c r="H25" s="2"/>
      <c r="I25" s="2"/>
      <c r="J25" s="2"/>
      <c r="K25" s="2"/>
      <c r="L25" s="2"/>
    </row>
    <row r="26" spans="1:14" x14ac:dyDescent="0.2">
      <c r="A26" s="6"/>
      <c r="B26" s="6"/>
    </row>
    <row r="27" spans="1:14" x14ac:dyDescent="0.2">
      <c r="A27" s="6"/>
    </row>
    <row r="28" spans="1:14" x14ac:dyDescent="0.2">
      <c r="A28" s="6"/>
    </row>
    <row r="29" spans="1:14" x14ac:dyDescent="0.2">
      <c r="A29" s="6"/>
    </row>
  </sheetData>
  <mergeCells count="2">
    <mergeCell ref="A1:N1"/>
    <mergeCell ref="A2:D2"/>
  </mergeCells>
  <phoneticPr fontId="11" type="noConversion"/>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theme="9" tint="-0.249977111117893"/>
  </sheetPr>
  <dimension ref="A1:Y1095"/>
  <sheetViews>
    <sheetView topLeftCell="A1087" zoomScaleNormal="100" zoomScaleSheetLayoutView="100" zoomScalePageLayoutView="85" workbookViewId="0">
      <selection activeCell="C1106" sqref="C1106"/>
    </sheetView>
  </sheetViews>
  <sheetFormatPr baseColWidth="10" defaultColWidth="11.42578125" defaultRowHeight="12" x14ac:dyDescent="0.2"/>
  <cols>
    <col min="1" max="1" width="59.140625" style="63" customWidth="1"/>
    <col min="2" max="2" width="28.28515625" style="63" customWidth="1"/>
    <col min="3" max="3" width="17.5703125" style="63" customWidth="1"/>
    <col min="4" max="4" width="15.85546875" style="63" customWidth="1"/>
    <col min="5" max="5" width="9.42578125" style="511" customWidth="1"/>
    <col min="6" max="6" width="16.28515625" style="979" customWidth="1"/>
    <col min="7" max="7" width="25.42578125" style="505" customWidth="1"/>
    <col min="8" max="8" width="17.7109375" style="63" customWidth="1"/>
    <col min="9" max="10" width="12.28515625" style="924" customWidth="1"/>
    <col min="11" max="11" width="28.85546875" style="63" customWidth="1"/>
    <col min="12" max="16384" width="11.42578125" style="63"/>
  </cols>
  <sheetData>
    <row r="1" spans="1:25" ht="15.75" customHeight="1" x14ac:dyDescent="0.2">
      <c r="A1" s="1504" t="s">
        <v>1084</v>
      </c>
      <c r="B1" s="1504"/>
      <c r="C1" s="1504"/>
      <c r="D1" s="1504"/>
      <c r="E1" s="1504"/>
      <c r="F1" s="1504"/>
      <c r="G1" s="1504"/>
      <c r="H1" s="1504"/>
      <c r="I1" s="1504"/>
      <c r="J1" s="1504"/>
      <c r="K1" s="1504"/>
    </row>
    <row r="2" spans="1:25" x14ac:dyDescent="0.2">
      <c r="A2" s="886" t="s">
        <v>1085</v>
      </c>
      <c r="B2" s="886"/>
      <c r="C2" s="886"/>
      <c r="D2" s="886"/>
      <c r="E2" s="889"/>
      <c r="F2" s="920"/>
      <c r="G2" s="563"/>
      <c r="H2" s="886"/>
      <c r="I2" s="921"/>
      <c r="J2" s="921"/>
      <c r="K2" s="886"/>
      <c r="L2" s="886"/>
      <c r="M2" s="886"/>
      <c r="N2" s="886"/>
      <c r="O2" s="886"/>
      <c r="P2" s="886"/>
      <c r="Q2" s="886"/>
      <c r="R2" s="886"/>
      <c r="S2" s="886"/>
      <c r="T2" s="886"/>
      <c r="U2" s="886"/>
      <c r="V2" s="886"/>
      <c r="W2" s="886"/>
      <c r="X2" s="886"/>
      <c r="Y2" s="886"/>
    </row>
    <row r="3" spans="1:25" ht="14.25" customHeight="1" x14ac:dyDescent="0.2">
      <c r="A3" s="914"/>
      <c r="B3" s="914"/>
      <c r="C3" s="914"/>
      <c r="D3" s="914"/>
      <c r="E3" s="62"/>
      <c r="F3" s="922"/>
      <c r="G3" s="923"/>
    </row>
    <row r="4" spans="1:25" ht="13.5" hidden="1" customHeight="1" x14ac:dyDescent="0.2">
      <c r="A4" s="887" t="s">
        <v>998</v>
      </c>
      <c r="B4" s="887"/>
      <c r="C4" s="925"/>
      <c r="D4" s="926"/>
      <c r="E4" s="926"/>
      <c r="F4" s="927"/>
      <c r="G4" s="928" t="s">
        <v>333</v>
      </c>
      <c r="H4" s="926" t="s">
        <v>1086</v>
      </c>
      <c r="I4" s="929"/>
      <c r="J4" s="929"/>
    </row>
    <row r="5" spans="1:25" ht="48" x14ac:dyDescent="0.2">
      <c r="A5" s="725" t="s">
        <v>1087</v>
      </c>
      <c r="B5" s="725" t="s">
        <v>1001</v>
      </c>
      <c r="C5" s="907" t="s">
        <v>1088</v>
      </c>
      <c r="D5" s="725" t="s">
        <v>1002</v>
      </c>
      <c r="E5" s="725" t="s">
        <v>1003</v>
      </c>
      <c r="F5" s="725" t="s">
        <v>1089</v>
      </c>
      <c r="G5" s="881" t="s">
        <v>1006</v>
      </c>
      <c r="H5" s="725" t="s">
        <v>1090</v>
      </c>
      <c r="I5" s="888" t="s">
        <v>1005</v>
      </c>
      <c r="J5" s="888" t="s">
        <v>1011</v>
      </c>
      <c r="K5" s="725" t="s">
        <v>1091</v>
      </c>
    </row>
    <row r="6" spans="1:25" x14ac:dyDescent="0.2">
      <c r="A6" s="915" t="s">
        <v>1092</v>
      </c>
      <c r="B6" s="915"/>
      <c r="C6" s="915"/>
      <c r="D6" s="915"/>
      <c r="E6" s="930"/>
      <c r="F6" s="931"/>
      <c r="G6" s="932"/>
      <c r="H6" s="930"/>
      <c r="I6" s="933"/>
      <c r="J6" s="933"/>
      <c r="K6" s="932"/>
    </row>
    <row r="7" spans="1:25" ht="36" x14ac:dyDescent="0.2">
      <c r="A7" s="862" t="s">
        <v>1093</v>
      </c>
      <c r="B7" s="890" t="s">
        <v>1094</v>
      </c>
      <c r="C7" s="890" t="s">
        <v>1095</v>
      </c>
      <c r="D7" s="806" t="s">
        <v>1096</v>
      </c>
      <c r="E7" s="713">
        <v>2</v>
      </c>
      <c r="F7" s="934">
        <v>98637</v>
      </c>
      <c r="G7" s="60" t="s">
        <v>1097</v>
      </c>
      <c r="H7" s="713" t="s">
        <v>1098</v>
      </c>
      <c r="I7" s="897">
        <v>43917</v>
      </c>
      <c r="J7" s="906"/>
      <c r="K7" s="862" t="s">
        <v>1099</v>
      </c>
    </row>
    <row r="8" spans="1:25" ht="36" x14ac:dyDescent="0.2">
      <c r="A8" s="862" t="s">
        <v>1100</v>
      </c>
      <c r="B8" s="890" t="s">
        <v>1101</v>
      </c>
      <c r="C8" s="890" t="s">
        <v>1102</v>
      </c>
      <c r="D8" s="806" t="s">
        <v>1096</v>
      </c>
      <c r="E8" s="713">
        <v>1</v>
      </c>
      <c r="F8" s="934">
        <v>54000</v>
      </c>
      <c r="G8" s="862" t="s">
        <v>1103</v>
      </c>
      <c r="H8" s="713" t="s">
        <v>1098</v>
      </c>
      <c r="I8" s="897"/>
      <c r="J8" s="906"/>
      <c r="K8" s="862" t="s">
        <v>1104</v>
      </c>
    </row>
    <row r="9" spans="1:25" ht="36" x14ac:dyDescent="0.2">
      <c r="A9" s="862" t="s">
        <v>1105</v>
      </c>
      <c r="B9" s="890" t="s">
        <v>1042</v>
      </c>
      <c r="C9" s="890" t="s">
        <v>1106</v>
      </c>
      <c r="D9" s="806" t="s">
        <v>1107</v>
      </c>
      <c r="E9" s="713">
        <v>1</v>
      </c>
      <c r="F9" s="934">
        <v>42350</v>
      </c>
      <c r="G9" s="862" t="s">
        <v>1108</v>
      </c>
      <c r="H9" s="713" t="s">
        <v>1098</v>
      </c>
      <c r="I9" s="897">
        <v>43914</v>
      </c>
      <c r="J9" s="906"/>
      <c r="K9" s="862" t="s">
        <v>1104</v>
      </c>
    </row>
    <row r="10" spans="1:25" ht="48" x14ac:dyDescent="0.2">
      <c r="A10" s="890" t="s">
        <v>1109</v>
      </c>
      <c r="B10" s="890" t="s">
        <v>1094</v>
      </c>
      <c r="C10" s="890" t="s">
        <v>1110</v>
      </c>
      <c r="D10" s="806" t="s">
        <v>1096</v>
      </c>
      <c r="E10" s="713">
        <v>2</v>
      </c>
      <c r="F10" s="934">
        <v>35382.800000000003</v>
      </c>
      <c r="G10" s="862" t="s">
        <v>1111</v>
      </c>
      <c r="H10" s="713" t="s">
        <v>1098</v>
      </c>
      <c r="I10" s="897">
        <v>44348</v>
      </c>
      <c r="J10" s="906"/>
      <c r="K10" s="862" t="s">
        <v>1112</v>
      </c>
    </row>
    <row r="11" spans="1:25" ht="36" x14ac:dyDescent="0.2">
      <c r="A11" s="862" t="s">
        <v>1113</v>
      </c>
      <c r="B11" s="890" t="s">
        <v>1101</v>
      </c>
      <c r="C11" s="890" t="s">
        <v>1114</v>
      </c>
      <c r="D11" s="806" t="s">
        <v>1096</v>
      </c>
      <c r="E11" s="713">
        <v>1</v>
      </c>
      <c r="F11" s="934">
        <v>46907.3</v>
      </c>
      <c r="G11" s="862" t="s">
        <v>1115</v>
      </c>
      <c r="H11" s="713" t="s">
        <v>1098</v>
      </c>
      <c r="I11" s="897"/>
      <c r="J11" s="906"/>
      <c r="K11" s="862" t="s">
        <v>1104</v>
      </c>
    </row>
    <row r="12" spans="1:25" ht="36" x14ac:dyDescent="0.2">
      <c r="A12" s="862" t="s">
        <v>1116</v>
      </c>
      <c r="B12" s="890" t="s">
        <v>1117</v>
      </c>
      <c r="C12" s="890" t="s">
        <v>1118</v>
      </c>
      <c r="D12" s="806" t="s">
        <v>1096</v>
      </c>
      <c r="E12" s="713">
        <v>1</v>
      </c>
      <c r="F12" s="934">
        <v>99582.6</v>
      </c>
      <c r="G12" s="862" t="s">
        <v>1119</v>
      </c>
      <c r="H12" s="713" t="s">
        <v>1098</v>
      </c>
      <c r="I12" s="897"/>
      <c r="J12" s="906"/>
      <c r="K12" s="862" t="s">
        <v>1104</v>
      </c>
    </row>
    <row r="13" spans="1:25" ht="48" x14ac:dyDescent="0.2">
      <c r="A13" s="862" t="s">
        <v>1120</v>
      </c>
      <c r="B13" s="890" t="s">
        <v>1117</v>
      </c>
      <c r="C13" s="890" t="s">
        <v>1121</v>
      </c>
      <c r="D13" s="806" t="s">
        <v>1096</v>
      </c>
      <c r="E13" s="713">
        <v>1</v>
      </c>
      <c r="F13" s="934">
        <v>54027</v>
      </c>
      <c r="G13" s="862" t="s">
        <v>1122</v>
      </c>
      <c r="H13" s="713" t="s">
        <v>1098</v>
      </c>
      <c r="I13" s="897"/>
      <c r="J13" s="906"/>
      <c r="K13" s="862" t="s">
        <v>1104</v>
      </c>
    </row>
    <row r="14" spans="1:25" ht="56.25" x14ac:dyDescent="0.2">
      <c r="A14" s="891" t="s">
        <v>1123</v>
      </c>
      <c r="B14" s="890" t="s">
        <v>1094</v>
      </c>
      <c r="C14" s="890" t="s">
        <v>1124</v>
      </c>
      <c r="D14" s="806" t="s">
        <v>1096</v>
      </c>
      <c r="E14" s="713">
        <v>1</v>
      </c>
      <c r="F14" s="934">
        <v>38729.24</v>
      </c>
      <c r="G14" s="862" t="s">
        <v>1125</v>
      </c>
      <c r="H14" s="713" t="s">
        <v>1098</v>
      </c>
      <c r="I14" s="897">
        <v>44383</v>
      </c>
      <c r="J14" s="906"/>
      <c r="K14" s="862" t="s">
        <v>1126</v>
      </c>
    </row>
    <row r="15" spans="1:25" ht="36" x14ac:dyDescent="0.2">
      <c r="A15" s="862" t="s">
        <v>1127</v>
      </c>
      <c r="B15" s="890" t="s">
        <v>1101</v>
      </c>
      <c r="C15" s="890" t="s">
        <v>1128</v>
      </c>
      <c r="D15" s="806" t="s">
        <v>1096</v>
      </c>
      <c r="E15" s="713">
        <v>1</v>
      </c>
      <c r="F15" s="934">
        <v>63840</v>
      </c>
      <c r="G15" s="862" t="s">
        <v>1129</v>
      </c>
      <c r="H15" s="713" t="s">
        <v>1098</v>
      </c>
      <c r="I15" s="897"/>
      <c r="J15" s="906"/>
      <c r="K15" s="862" t="s">
        <v>1104</v>
      </c>
    </row>
    <row r="16" spans="1:25" ht="36" x14ac:dyDescent="0.2">
      <c r="A16" s="862" t="s">
        <v>1130</v>
      </c>
      <c r="B16" s="890" t="s">
        <v>1101</v>
      </c>
      <c r="C16" s="890" t="s">
        <v>1131</v>
      </c>
      <c r="D16" s="806" t="s">
        <v>1096</v>
      </c>
      <c r="E16" s="713">
        <v>1</v>
      </c>
      <c r="F16" s="934">
        <v>55440</v>
      </c>
      <c r="G16" s="862" t="s">
        <v>1132</v>
      </c>
      <c r="H16" s="713" t="s">
        <v>1098</v>
      </c>
      <c r="I16" s="897"/>
      <c r="J16" s="906"/>
      <c r="K16" s="862" t="s">
        <v>1104</v>
      </c>
    </row>
    <row r="17" spans="1:11" ht="36" x14ac:dyDescent="0.2">
      <c r="A17" s="862" t="s">
        <v>1133</v>
      </c>
      <c r="B17" s="890" t="s">
        <v>1101</v>
      </c>
      <c r="C17" s="890" t="s">
        <v>1134</v>
      </c>
      <c r="D17" s="806" t="s">
        <v>1096</v>
      </c>
      <c r="E17" s="713">
        <v>1</v>
      </c>
      <c r="F17" s="934">
        <v>62153.5</v>
      </c>
      <c r="G17" s="862" t="s">
        <v>1103</v>
      </c>
      <c r="H17" s="713" t="s">
        <v>1098</v>
      </c>
      <c r="I17" s="897"/>
      <c r="J17" s="906"/>
      <c r="K17" s="862" t="s">
        <v>1104</v>
      </c>
    </row>
    <row r="18" spans="1:11" ht="84" x14ac:dyDescent="0.2">
      <c r="A18" s="862" t="s">
        <v>1135</v>
      </c>
      <c r="B18" s="890" t="s">
        <v>1117</v>
      </c>
      <c r="C18" s="890" t="s">
        <v>1136</v>
      </c>
      <c r="D18" s="806" t="s">
        <v>1096</v>
      </c>
      <c r="E18" s="713">
        <v>1</v>
      </c>
      <c r="F18" s="934">
        <v>73500</v>
      </c>
      <c r="G18" s="862" t="s">
        <v>1137</v>
      </c>
      <c r="H18" s="713" t="s">
        <v>1098</v>
      </c>
      <c r="I18" s="897"/>
      <c r="J18" s="906"/>
      <c r="K18" s="862" t="s">
        <v>1104</v>
      </c>
    </row>
    <row r="19" spans="1:11" ht="48" x14ac:dyDescent="0.2">
      <c r="A19" s="862" t="s">
        <v>1138</v>
      </c>
      <c r="B19" s="890" t="s">
        <v>1117</v>
      </c>
      <c r="C19" s="890" t="s">
        <v>1139</v>
      </c>
      <c r="D19" s="806" t="s">
        <v>1107</v>
      </c>
      <c r="E19" s="713">
        <v>1</v>
      </c>
      <c r="F19" s="934">
        <v>70000</v>
      </c>
      <c r="G19" s="862" t="s">
        <v>1140</v>
      </c>
      <c r="H19" s="713" t="s">
        <v>1098</v>
      </c>
      <c r="I19" s="897">
        <v>44034</v>
      </c>
      <c r="J19" s="906"/>
      <c r="K19" s="862" t="s">
        <v>1141</v>
      </c>
    </row>
    <row r="20" spans="1:11" ht="45" x14ac:dyDescent="0.2">
      <c r="A20" s="891" t="s">
        <v>1142</v>
      </c>
      <c r="B20" s="890" t="s">
        <v>1117</v>
      </c>
      <c r="C20" s="890" t="s">
        <v>1143</v>
      </c>
      <c r="D20" s="806" t="s">
        <v>1096</v>
      </c>
      <c r="E20" s="713">
        <v>1</v>
      </c>
      <c r="F20" s="934">
        <v>115785</v>
      </c>
      <c r="G20" s="862" t="s">
        <v>1144</v>
      </c>
      <c r="H20" s="713" t="s">
        <v>1098</v>
      </c>
      <c r="I20" s="897"/>
      <c r="J20" s="906"/>
      <c r="K20" s="862" t="s">
        <v>1104</v>
      </c>
    </row>
    <row r="21" spans="1:11" ht="67.5" x14ac:dyDescent="0.2">
      <c r="A21" s="891" t="s">
        <v>1145</v>
      </c>
      <c r="B21" s="890" t="s">
        <v>1094</v>
      </c>
      <c r="C21" s="890" t="s">
        <v>1146</v>
      </c>
      <c r="D21" s="806" t="s">
        <v>1096</v>
      </c>
      <c r="E21" s="713">
        <v>1</v>
      </c>
      <c r="F21" s="934">
        <v>258300</v>
      </c>
      <c r="G21" s="862" t="s">
        <v>1147</v>
      </c>
      <c r="H21" s="713" t="s">
        <v>1098</v>
      </c>
      <c r="I21" s="897">
        <v>44062</v>
      </c>
      <c r="J21" s="906"/>
      <c r="K21" s="862" t="s">
        <v>1148</v>
      </c>
    </row>
    <row r="22" spans="1:11" ht="67.5" x14ac:dyDescent="0.2">
      <c r="A22" s="891" t="s">
        <v>1149</v>
      </c>
      <c r="B22" s="890" t="s">
        <v>1117</v>
      </c>
      <c r="C22" s="890" t="s">
        <v>1150</v>
      </c>
      <c r="D22" s="806" t="s">
        <v>1096</v>
      </c>
      <c r="E22" s="713">
        <v>1</v>
      </c>
      <c r="F22" s="934">
        <v>159500</v>
      </c>
      <c r="G22" s="862" t="s">
        <v>1151</v>
      </c>
      <c r="H22" s="713" t="s">
        <v>1098</v>
      </c>
      <c r="I22" s="897">
        <v>44055</v>
      </c>
      <c r="J22" s="906"/>
      <c r="K22" s="862" t="s">
        <v>1152</v>
      </c>
    </row>
    <row r="23" spans="1:11" ht="78.75" x14ac:dyDescent="0.2">
      <c r="A23" s="892" t="s">
        <v>1153</v>
      </c>
      <c r="B23" s="890" t="s">
        <v>1117</v>
      </c>
      <c r="C23" s="890" t="s">
        <v>1154</v>
      </c>
      <c r="D23" s="806" t="s">
        <v>1096</v>
      </c>
      <c r="E23" s="713">
        <v>1</v>
      </c>
      <c r="F23" s="934">
        <v>127920</v>
      </c>
      <c r="G23" s="862" t="s">
        <v>1155</v>
      </c>
      <c r="H23" s="713" t="s">
        <v>1098</v>
      </c>
      <c r="I23" s="897">
        <v>44055</v>
      </c>
      <c r="J23" s="906"/>
      <c r="K23" s="862" t="s">
        <v>1152</v>
      </c>
    </row>
    <row r="24" spans="1:11" ht="78.75" x14ac:dyDescent="0.2">
      <c r="A24" s="893" t="s">
        <v>1156</v>
      </c>
      <c r="B24" s="890" t="s">
        <v>1117</v>
      </c>
      <c r="C24" s="890" t="s">
        <v>1157</v>
      </c>
      <c r="D24" s="806" t="s">
        <v>1096</v>
      </c>
      <c r="E24" s="713">
        <v>1</v>
      </c>
      <c r="F24" s="934">
        <v>36200</v>
      </c>
      <c r="G24" s="862" t="s">
        <v>1158</v>
      </c>
      <c r="H24" s="713" t="s">
        <v>1098</v>
      </c>
      <c r="I24" s="897"/>
      <c r="J24" s="906"/>
      <c r="K24" s="862" t="s">
        <v>1104</v>
      </c>
    </row>
    <row r="25" spans="1:11" ht="56.25" x14ac:dyDescent="0.2">
      <c r="A25" s="891" t="s">
        <v>1159</v>
      </c>
      <c r="B25" s="890" t="s">
        <v>1117</v>
      </c>
      <c r="C25" s="890" t="s">
        <v>1160</v>
      </c>
      <c r="D25" s="806" t="s">
        <v>1096</v>
      </c>
      <c r="E25" s="713">
        <v>1</v>
      </c>
      <c r="F25" s="934">
        <v>104580</v>
      </c>
      <c r="G25" s="862" t="s">
        <v>1161</v>
      </c>
      <c r="H25" s="713" t="s">
        <v>1098</v>
      </c>
      <c r="I25" s="897"/>
      <c r="J25" s="906"/>
      <c r="K25" s="862" t="s">
        <v>1104</v>
      </c>
    </row>
    <row r="26" spans="1:11" ht="67.5" x14ac:dyDescent="0.2">
      <c r="A26" s="891" t="s">
        <v>1162</v>
      </c>
      <c r="B26" s="890" t="s">
        <v>1117</v>
      </c>
      <c r="C26" s="890" t="s">
        <v>1163</v>
      </c>
      <c r="D26" s="806" t="s">
        <v>1096</v>
      </c>
      <c r="E26" s="713">
        <v>1</v>
      </c>
      <c r="F26" s="934">
        <v>73000</v>
      </c>
      <c r="G26" s="862" t="s">
        <v>1164</v>
      </c>
      <c r="H26" s="713" t="s">
        <v>1098</v>
      </c>
      <c r="I26" s="897"/>
      <c r="J26" s="906"/>
      <c r="K26" s="862" t="s">
        <v>1104</v>
      </c>
    </row>
    <row r="27" spans="1:11" ht="56.25" x14ac:dyDescent="0.2">
      <c r="A27" s="892" t="s">
        <v>1165</v>
      </c>
      <c r="B27" s="890" t="s">
        <v>1117</v>
      </c>
      <c r="C27" s="890" t="s">
        <v>1166</v>
      </c>
      <c r="D27" s="806" t="s">
        <v>1096</v>
      </c>
      <c r="E27" s="713">
        <v>1</v>
      </c>
      <c r="F27" s="934">
        <v>218929.2</v>
      </c>
      <c r="G27" s="862" t="s">
        <v>1167</v>
      </c>
      <c r="H27" s="713" t="s">
        <v>1098</v>
      </c>
      <c r="I27" s="897"/>
      <c r="J27" s="906"/>
      <c r="K27" s="862" t="s">
        <v>1104</v>
      </c>
    </row>
    <row r="28" spans="1:11" ht="67.5" x14ac:dyDescent="0.2">
      <c r="A28" s="893" t="s">
        <v>1168</v>
      </c>
      <c r="B28" s="890" t="s">
        <v>1117</v>
      </c>
      <c r="C28" s="890" t="s">
        <v>1169</v>
      </c>
      <c r="D28" s="806" t="s">
        <v>1096</v>
      </c>
      <c r="E28" s="713">
        <v>1</v>
      </c>
      <c r="F28" s="934">
        <v>69187.8</v>
      </c>
      <c r="G28" s="862" t="s">
        <v>1170</v>
      </c>
      <c r="H28" s="713" t="s">
        <v>1098</v>
      </c>
      <c r="I28" s="897"/>
      <c r="J28" s="906"/>
      <c r="K28" s="862" t="s">
        <v>1104</v>
      </c>
    </row>
    <row r="29" spans="1:11" ht="67.5" x14ac:dyDescent="0.2">
      <c r="A29" s="891" t="s">
        <v>1171</v>
      </c>
      <c r="B29" s="890" t="s">
        <v>1117</v>
      </c>
      <c r="C29" s="890" t="s">
        <v>1172</v>
      </c>
      <c r="D29" s="806" t="s">
        <v>1096</v>
      </c>
      <c r="E29" s="713">
        <v>1</v>
      </c>
      <c r="F29" s="934">
        <v>97915.5</v>
      </c>
      <c r="G29" s="862" t="s">
        <v>1173</v>
      </c>
      <c r="H29" s="713" t="s">
        <v>1098</v>
      </c>
      <c r="I29" s="897"/>
      <c r="J29" s="906"/>
      <c r="K29" s="862" t="s">
        <v>1104</v>
      </c>
    </row>
    <row r="30" spans="1:11" ht="56.25" x14ac:dyDescent="0.2">
      <c r="A30" s="891" t="s">
        <v>1174</v>
      </c>
      <c r="B30" s="890" t="s">
        <v>1117</v>
      </c>
      <c r="C30" s="890" t="s">
        <v>1175</v>
      </c>
      <c r="D30" s="806" t="s">
        <v>1096</v>
      </c>
      <c r="E30" s="713">
        <v>1</v>
      </c>
      <c r="F30" s="934">
        <v>93744.3</v>
      </c>
      <c r="G30" s="862" t="s">
        <v>1176</v>
      </c>
      <c r="H30" s="713" t="s">
        <v>1098</v>
      </c>
      <c r="I30" s="897"/>
      <c r="J30" s="906"/>
      <c r="K30" s="862" t="s">
        <v>1104</v>
      </c>
    </row>
    <row r="31" spans="1:11" ht="45" x14ac:dyDescent="0.2">
      <c r="A31" s="891" t="s">
        <v>1177</v>
      </c>
      <c r="B31" s="890" t="s">
        <v>1101</v>
      </c>
      <c r="C31" s="890" t="s">
        <v>1178</v>
      </c>
      <c r="D31" s="806" t="s">
        <v>1096</v>
      </c>
      <c r="E31" s="713">
        <v>1</v>
      </c>
      <c r="F31" s="934">
        <v>40870</v>
      </c>
      <c r="G31" s="862" t="s">
        <v>1179</v>
      </c>
      <c r="H31" s="713" t="s">
        <v>1098</v>
      </c>
      <c r="I31" s="897"/>
      <c r="J31" s="906"/>
      <c r="K31" s="862" t="s">
        <v>1104</v>
      </c>
    </row>
    <row r="32" spans="1:11" ht="67.5" x14ac:dyDescent="0.2">
      <c r="A32" s="892" t="s">
        <v>1180</v>
      </c>
      <c r="B32" s="890" t="s">
        <v>1117</v>
      </c>
      <c r="C32" s="890" t="s">
        <v>1181</v>
      </c>
      <c r="D32" s="806" t="s">
        <v>1107</v>
      </c>
      <c r="E32" s="713">
        <v>1</v>
      </c>
      <c r="F32" s="894">
        <v>93270</v>
      </c>
      <c r="G32" s="862" t="s">
        <v>1182</v>
      </c>
      <c r="H32" s="713" t="s">
        <v>1098</v>
      </c>
      <c r="I32" s="897">
        <v>44112</v>
      </c>
      <c r="J32" s="906"/>
      <c r="K32" s="862" t="s">
        <v>1183</v>
      </c>
    </row>
    <row r="33" spans="1:11" ht="67.5" x14ac:dyDescent="0.2">
      <c r="A33" s="891" t="s">
        <v>1184</v>
      </c>
      <c r="B33" s="895" t="s">
        <v>1117</v>
      </c>
      <c r="C33" s="895" t="s">
        <v>1185</v>
      </c>
      <c r="D33" s="806" t="s">
        <v>1096</v>
      </c>
      <c r="E33" s="713">
        <v>1</v>
      </c>
      <c r="F33" s="934">
        <v>68000</v>
      </c>
      <c r="G33" s="862" t="s">
        <v>1186</v>
      </c>
      <c r="H33" s="713" t="s">
        <v>1098</v>
      </c>
      <c r="I33" s="897">
        <v>44151</v>
      </c>
      <c r="J33" s="906"/>
      <c r="K33" s="862" t="s">
        <v>1187</v>
      </c>
    </row>
    <row r="34" spans="1:11" ht="78.75" x14ac:dyDescent="0.2">
      <c r="A34" s="891" t="s">
        <v>1188</v>
      </c>
      <c r="B34" s="890" t="s">
        <v>1117</v>
      </c>
      <c r="C34" s="890" t="s">
        <v>1189</v>
      </c>
      <c r="D34" s="806" t="s">
        <v>1096</v>
      </c>
      <c r="E34" s="713">
        <v>1</v>
      </c>
      <c r="F34" s="934">
        <v>90000</v>
      </c>
      <c r="G34" s="862" t="s">
        <v>1182</v>
      </c>
      <c r="H34" s="713" t="s">
        <v>1098</v>
      </c>
      <c r="I34" s="897">
        <v>44189</v>
      </c>
      <c r="J34" s="906"/>
      <c r="K34" s="862" t="s">
        <v>1190</v>
      </c>
    </row>
    <row r="35" spans="1:11" ht="36" x14ac:dyDescent="0.2">
      <c r="A35" s="862" t="s">
        <v>1191</v>
      </c>
      <c r="B35" s="806" t="s">
        <v>1042</v>
      </c>
      <c r="C35" s="806" t="s">
        <v>1192</v>
      </c>
      <c r="D35" s="806" t="s">
        <v>1107</v>
      </c>
      <c r="E35" s="713">
        <v>1</v>
      </c>
      <c r="F35" s="935">
        <v>55783</v>
      </c>
      <c r="G35" s="862" t="s">
        <v>1193</v>
      </c>
      <c r="H35" s="713" t="s">
        <v>1098</v>
      </c>
      <c r="I35" s="897">
        <v>44270</v>
      </c>
      <c r="J35" s="906"/>
      <c r="K35" s="862" t="s">
        <v>1194</v>
      </c>
    </row>
    <row r="36" spans="1:11" ht="24" x14ac:dyDescent="0.2">
      <c r="A36" s="862" t="s">
        <v>1195</v>
      </c>
      <c r="B36" s="806" t="s">
        <v>1042</v>
      </c>
      <c r="C36" s="806" t="s">
        <v>1196</v>
      </c>
      <c r="D36" s="806" t="s">
        <v>1107</v>
      </c>
      <c r="E36" s="713">
        <v>1</v>
      </c>
      <c r="F36" s="935">
        <v>44057</v>
      </c>
      <c r="G36" s="862" t="s">
        <v>1197</v>
      </c>
      <c r="H36" s="713" t="s">
        <v>1098</v>
      </c>
      <c r="I36" s="897"/>
      <c r="J36" s="906"/>
      <c r="K36" s="862"/>
    </row>
    <row r="37" spans="1:11" ht="36" x14ac:dyDescent="0.2">
      <c r="A37" s="862" t="s">
        <v>1198</v>
      </c>
      <c r="B37" s="806" t="s">
        <v>1101</v>
      </c>
      <c r="C37" s="806" t="s">
        <v>1199</v>
      </c>
      <c r="D37" s="806" t="s">
        <v>1096</v>
      </c>
      <c r="E37" s="713">
        <v>1</v>
      </c>
      <c r="F37" s="935">
        <v>60863.05</v>
      </c>
      <c r="G37" s="862" t="s">
        <v>1200</v>
      </c>
      <c r="H37" s="713" t="s">
        <v>1098</v>
      </c>
      <c r="I37" s="897"/>
      <c r="J37" s="906"/>
      <c r="K37" s="862"/>
    </row>
    <row r="38" spans="1:11" ht="24" x14ac:dyDescent="0.2">
      <c r="A38" s="862" t="s">
        <v>1201</v>
      </c>
      <c r="B38" s="806" t="s">
        <v>1042</v>
      </c>
      <c r="C38" s="806"/>
      <c r="D38" s="806" t="s">
        <v>1096</v>
      </c>
      <c r="E38" s="713">
        <v>1</v>
      </c>
      <c r="F38" s="936"/>
      <c r="G38" s="862"/>
      <c r="H38" s="713" t="s">
        <v>1202</v>
      </c>
      <c r="I38" s="897"/>
      <c r="J38" s="906"/>
      <c r="K38" s="862" t="s">
        <v>1203</v>
      </c>
    </row>
    <row r="39" spans="1:11" ht="48" x14ac:dyDescent="0.2">
      <c r="A39" s="862" t="s">
        <v>1204</v>
      </c>
      <c r="B39" s="806" t="s">
        <v>1117</v>
      </c>
      <c r="C39" s="806" t="s">
        <v>1205</v>
      </c>
      <c r="D39" s="806" t="s">
        <v>1096</v>
      </c>
      <c r="E39" s="713">
        <v>1</v>
      </c>
      <c r="F39" s="935">
        <v>224750.53</v>
      </c>
      <c r="G39" s="862" t="s">
        <v>1206</v>
      </c>
      <c r="H39" s="713" t="s">
        <v>1098</v>
      </c>
      <c r="I39" s="897"/>
      <c r="J39" s="906"/>
      <c r="K39" s="862"/>
    </row>
    <row r="40" spans="1:11" ht="36" x14ac:dyDescent="0.2">
      <c r="A40" s="416" t="s">
        <v>1207</v>
      </c>
      <c r="B40" s="806" t="s">
        <v>1042</v>
      </c>
      <c r="C40" s="806"/>
      <c r="D40" s="806" t="s">
        <v>1096</v>
      </c>
      <c r="E40" s="713">
        <v>1</v>
      </c>
      <c r="F40" s="936"/>
      <c r="G40" s="862"/>
      <c r="H40" s="713" t="s">
        <v>1202</v>
      </c>
      <c r="I40" s="897"/>
      <c r="J40" s="906"/>
      <c r="K40" s="862" t="s">
        <v>1203</v>
      </c>
    </row>
    <row r="41" spans="1:11" ht="36" x14ac:dyDescent="0.2">
      <c r="A41" s="862" t="s">
        <v>1208</v>
      </c>
      <c r="B41" s="806" t="s">
        <v>1209</v>
      </c>
      <c r="C41" s="806"/>
      <c r="D41" s="806" t="s">
        <v>1096</v>
      </c>
      <c r="E41" s="713">
        <v>1</v>
      </c>
      <c r="F41" s="936"/>
      <c r="G41" s="862"/>
      <c r="H41" s="713" t="s">
        <v>1098</v>
      </c>
      <c r="I41" s="897"/>
      <c r="J41" s="906"/>
      <c r="K41" s="862" t="s">
        <v>1210</v>
      </c>
    </row>
    <row r="42" spans="1:11" ht="24" x14ac:dyDescent="0.2">
      <c r="A42" s="862" t="s">
        <v>1211</v>
      </c>
      <c r="B42" s="806" t="s">
        <v>1209</v>
      </c>
      <c r="C42" s="806"/>
      <c r="D42" s="806" t="s">
        <v>1096</v>
      </c>
      <c r="E42" s="713">
        <v>1</v>
      </c>
      <c r="F42" s="936"/>
      <c r="G42" s="862"/>
      <c r="H42" s="713" t="s">
        <v>1098</v>
      </c>
      <c r="I42" s="897"/>
      <c r="J42" s="906"/>
      <c r="K42" s="862" t="s">
        <v>1210</v>
      </c>
    </row>
    <row r="43" spans="1:11" ht="36" x14ac:dyDescent="0.2">
      <c r="A43" s="862" t="s">
        <v>1212</v>
      </c>
      <c r="B43" s="806" t="s">
        <v>1209</v>
      </c>
      <c r="C43" s="806"/>
      <c r="D43" s="806" t="s">
        <v>1107</v>
      </c>
      <c r="E43" s="713">
        <v>1</v>
      </c>
      <c r="F43" s="936"/>
      <c r="G43" s="862"/>
      <c r="H43" s="713" t="s">
        <v>1098</v>
      </c>
      <c r="I43" s="897"/>
      <c r="J43" s="906"/>
      <c r="K43" s="862" t="s">
        <v>1210</v>
      </c>
    </row>
    <row r="44" spans="1:11" ht="60" x14ac:dyDescent="0.2">
      <c r="A44" s="416" t="s">
        <v>1213</v>
      </c>
      <c r="B44" s="806" t="s">
        <v>1117</v>
      </c>
      <c r="C44" s="806" t="s">
        <v>1214</v>
      </c>
      <c r="D44" s="806" t="s">
        <v>1107</v>
      </c>
      <c r="E44" s="713">
        <v>1</v>
      </c>
      <c r="F44" s="935">
        <v>264134</v>
      </c>
      <c r="G44" s="862" t="s">
        <v>1182</v>
      </c>
      <c r="H44" s="713" t="s">
        <v>1098</v>
      </c>
      <c r="I44" s="897">
        <v>44267</v>
      </c>
      <c r="J44" s="906"/>
      <c r="K44" s="862" t="s">
        <v>1215</v>
      </c>
    </row>
    <row r="45" spans="1:11" ht="48" x14ac:dyDescent="0.2">
      <c r="A45" s="862" t="s">
        <v>1216</v>
      </c>
      <c r="B45" s="806" t="s">
        <v>1042</v>
      </c>
      <c r="C45" s="806" t="s">
        <v>1217</v>
      </c>
      <c r="D45" s="806" t="s">
        <v>1107</v>
      </c>
      <c r="E45" s="713">
        <v>3</v>
      </c>
      <c r="F45" s="936"/>
      <c r="G45" s="862"/>
      <c r="H45" s="713" t="s">
        <v>1218</v>
      </c>
      <c r="I45" s="897"/>
      <c r="J45" s="906"/>
      <c r="K45" s="862" t="s">
        <v>1219</v>
      </c>
    </row>
    <row r="46" spans="1:11" ht="60" x14ac:dyDescent="0.2">
      <c r="A46" s="862" t="s">
        <v>1220</v>
      </c>
      <c r="B46" s="806" t="s">
        <v>1117</v>
      </c>
      <c r="C46" s="806" t="s">
        <v>1221</v>
      </c>
      <c r="D46" s="806" t="s">
        <v>1107</v>
      </c>
      <c r="E46" s="713">
        <v>1</v>
      </c>
      <c r="F46" s="935">
        <v>140000</v>
      </c>
      <c r="G46" s="862" t="s">
        <v>1182</v>
      </c>
      <c r="H46" s="713" t="s">
        <v>1098</v>
      </c>
      <c r="I46" s="897"/>
      <c r="J46" s="906"/>
      <c r="K46" s="862" t="s">
        <v>1222</v>
      </c>
    </row>
    <row r="47" spans="1:11" ht="36" x14ac:dyDescent="0.2">
      <c r="A47" s="862" t="s">
        <v>1223</v>
      </c>
      <c r="B47" s="806" t="s">
        <v>1101</v>
      </c>
      <c r="C47" s="806" t="s">
        <v>1224</v>
      </c>
      <c r="D47" s="806" t="s">
        <v>1096</v>
      </c>
      <c r="E47" s="713">
        <v>1</v>
      </c>
      <c r="F47" s="935">
        <v>65406</v>
      </c>
      <c r="G47" s="862" t="s">
        <v>1225</v>
      </c>
      <c r="H47" s="713" t="s">
        <v>1098</v>
      </c>
      <c r="I47" s="897"/>
      <c r="J47" s="906"/>
      <c r="K47" s="862"/>
    </row>
    <row r="48" spans="1:11" ht="48" x14ac:dyDescent="0.2">
      <c r="A48" s="862" t="s">
        <v>1226</v>
      </c>
      <c r="B48" s="806" t="s">
        <v>1101</v>
      </c>
      <c r="C48" s="806" t="s">
        <v>1227</v>
      </c>
      <c r="D48" s="806" t="s">
        <v>1096</v>
      </c>
      <c r="E48" s="713">
        <v>1</v>
      </c>
      <c r="F48" s="935">
        <v>59884</v>
      </c>
      <c r="G48" s="862" t="s">
        <v>1228</v>
      </c>
      <c r="H48" s="713" t="s">
        <v>1098</v>
      </c>
      <c r="I48" s="897"/>
      <c r="J48" s="906"/>
      <c r="K48" s="862"/>
    </row>
    <row r="49" spans="1:11" ht="36" x14ac:dyDescent="0.2">
      <c r="A49" s="862" t="s">
        <v>1229</v>
      </c>
      <c r="B49" s="806" t="s">
        <v>1101</v>
      </c>
      <c r="C49" s="806" t="s">
        <v>1230</v>
      </c>
      <c r="D49" s="806" t="s">
        <v>1107</v>
      </c>
      <c r="E49" s="713">
        <v>1</v>
      </c>
      <c r="F49" s="935">
        <v>61600</v>
      </c>
      <c r="G49" s="862" t="s">
        <v>1231</v>
      </c>
      <c r="H49" s="713" t="s">
        <v>1098</v>
      </c>
      <c r="I49" s="897"/>
      <c r="J49" s="906"/>
      <c r="K49" s="862"/>
    </row>
    <row r="50" spans="1:11" ht="48" x14ac:dyDescent="0.2">
      <c r="A50" s="862" t="s">
        <v>1232</v>
      </c>
      <c r="B50" s="806" t="s">
        <v>1101</v>
      </c>
      <c r="C50" s="806" t="s">
        <v>1233</v>
      </c>
      <c r="D50" s="806" t="s">
        <v>1107</v>
      </c>
      <c r="E50" s="713">
        <v>1</v>
      </c>
      <c r="F50" s="935">
        <v>64988.19</v>
      </c>
      <c r="G50" s="862" t="s">
        <v>1234</v>
      </c>
      <c r="H50" s="713" t="s">
        <v>1098</v>
      </c>
      <c r="I50" s="897"/>
      <c r="J50" s="906"/>
      <c r="K50" s="862"/>
    </row>
    <row r="51" spans="1:11" x14ac:dyDescent="0.2">
      <c r="A51" s="862"/>
      <c r="B51" s="806"/>
      <c r="C51" s="806"/>
      <c r="D51" s="806"/>
      <c r="E51" s="713"/>
      <c r="F51" s="936"/>
      <c r="G51" s="862"/>
      <c r="H51" s="713"/>
      <c r="I51" s="906"/>
      <c r="J51" s="906"/>
      <c r="K51" s="60"/>
    </row>
    <row r="52" spans="1:11" x14ac:dyDescent="0.2">
      <c r="A52" s="862"/>
      <c r="B52" s="806"/>
      <c r="C52" s="806"/>
      <c r="D52" s="806"/>
      <c r="E52" s="713"/>
      <c r="F52" s="936"/>
      <c r="G52" s="862"/>
      <c r="H52" s="713"/>
      <c r="I52" s="906"/>
      <c r="J52" s="906"/>
      <c r="K52" s="60"/>
    </row>
    <row r="53" spans="1:11" x14ac:dyDescent="0.2">
      <c r="A53" s="862" t="s">
        <v>1235</v>
      </c>
      <c r="B53" s="806"/>
      <c r="C53" s="806"/>
      <c r="D53" s="806"/>
      <c r="E53" s="713"/>
      <c r="F53" s="936"/>
      <c r="G53" s="862"/>
      <c r="H53" s="713"/>
      <c r="I53" s="906"/>
      <c r="J53" s="906"/>
      <c r="K53" s="60"/>
    </row>
    <row r="54" spans="1:11" x14ac:dyDescent="0.2">
      <c r="A54" s="862"/>
      <c r="B54" s="806"/>
      <c r="C54" s="806"/>
      <c r="D54" s="806"/>
      <c r="E54" s="713"/>
      <c r="F54" s="936"/>
      <c r="G54" s="862"/>
      <c r="H54" s="713"/>
      <c r="I54" s="906"/>
      <c r="J54" s="906"/>
      <c r="K54" s="60"/>
    </row>
    <row r="55" spans="1:11" ht="24" x14ac:dyDescent="0.2">
      <c r="A55" s="862" t="s">
        <v>1236</v>
      </c>
      <c r="B55" s="806" t="s">
        <v>1237</v>
      </c>
      <c r="C55" s="806" t="s">
        <v>1238</v>
      </c>
      <c r="D55" s="806"/>
      <c r="E55" s="713"/>
      <c r="F55" s="937">
        <v>6210</v>
      </c>
      <c r="G55" s="862" t="s">
        <v>1239</v>
      </c>
      <c r="H55" s="713" t="s">
        <v>1240</v>
      </c>
      <c r="I55" s="897" t="s">
        <v>1241</v>
      </c>
      <c r="J55" s="897" t="s">
        <v>1241</v>
      </c>
      <c r="K55" s="862"/>
    </row>
    <row r="56" spans="1:11" ht="24" x14ac:dyDescent="0.2">
      <c r="A56" s="862" t="s">
        <v>1236</v>
      </c>
      <c r="B56" s="806" t="s">
        <v>1237</v>
      </c>
      <c r="C56" s="806" t="s">
        <v>1238</v>
      </c>
      <c r="D56" s="806"/>
      <c r="E56" s="713"/>
      <c r="F56" s="937">
        <v>26046.9</v>
      </c>
      <c r="G56" s="862" t="s">
        <v>1242</v>
      </c>
      <c r="H56" s="713" t="s">
        <v>1240</v>
      </c>
      <c r="I56" s="897" t="s">
        <v>1241</v>
      </c>
      <c r="J56" s="897" t="s">
        <v>1241</v>
      </c>
      <c r="K56" s="862"/>
    </row>
    <row r="57" spans="1:11" ht="24" x14ac:dyDescent="0.2">
      <c r="A57" s="862" t="s">
        <v>1236</v>
      </c>
      <c r="B57" s="806" t="s">
        <v>1243</v>
      </c>
      <c r="C57" s="806" t="s">
        <v>1238</v>
      </c>
      <c r="D57" s="806"/>
      <c r="E57" s="713"/>
      <c r="F57" s="937">
        <v>42493.5</v>
      </c>
      <c r="G57" s="862" t="s">
        <v>1244</v>
      </c>
      <c r="H57" s="713" t="s">
        <v>1240</v>
      </c>
      <c r="I57" s="897" t="s">
        <v>1245</v>
      </c>
      <c r="J57" s="897" t="s">
        <v>1245</v>
      </c>
      <c r="K57" s="862"/>
    </row>
    <row r="58" spans="1:11" ht="24" x14ac:dyDescent="0.2">
      <c r="A58" s="862" t="s">
        <v>1246</v>
      </c>
      <c r="B58" s="806" t="s">
        <v>1237</v>
      </c>
      <c r="C58" s="806" t="s">
        <v>1238</v>
      </c>
      <c r="D58" s="806"/>
      <c r="E58" s="713"/>
      <c r="F58" s="937">
        <v>34391.74</v>
      </c>
      <c r="G58" s="862" t="s">
        <v>1247</v>
      </c>
      <c r="H58" s="713" t="s">
        <v>1240</v>
      </c>
      <c r="I58" s="897" t="s">
        <v>1248</v>
      </c>
      <c r="J58" s="897" t="s">
        <v>1248</v>
      </c>
      <c r="K58" s="862"/>
    </row>
    <row r="59" spans="1:11" x14ac:dyDescent="0.2">
      <c r="A59" s="862" t="s">
        <v>1246</v>
      </c>
      <c r="B59" s="806" t="s">
        <v>1249</v>
      </c>
      <c r="C59" s="806" t="s">
        <v>1250</v>
      </c>
      <c r="D59" s="806"/>
      <c r="E59" s="713"/>
      <c r="F59" s="937">
        <v>195328.44</v>
      </c>
      <c r="G59" s="862" t="s">
        <v>1251</v>
      </c>
      <c r="H59" s="713" t="s">
        <v>1240</v>
      </c>
      <c r="I59" s="897" t="s">
        <v>1252</v>
      </c>
      <c r="J59" s="897" t="s">
        <v>1252</v>
      </c>
      <c r="K59" s="862"/>
    </row>
    <row r="60" spans="1:11" ht="24" x14ac:dyDescent="0.2">
      <c r="A60" s="862" t="s">
        <v>1246</v>
      </c>
      <c r="B60" s="806" t="s">
        <v>1249</v>
      </c>
      <c r="C60" s="806" t="s">
        <v>1250</v>
      </c>
      <c r="D60" s="806"/>
      <c r="E60" s="713"/>
      <c r="F60" s="937">
        <v>55205.36</v>
      </c>
      <c r="G60" s="862" t="s">
        <v>1253</v>
      </c>
      <c r="H60" s="713" t="s">
        <v>1240</v>
      </c>
      <c r="I60" s="897" t="s">
        <v>1252</v>
      </c>
      <c r="J60" s="897" t="s">
        <v>1252</v>
      </c>
      <c r="K60" s="862"/>
    </row>
    <row r="61" spans="1:11" ht="24" x14ac:dyDescent="0.2">
      <c r="A61" s="862" t="s">
        <v>1236</v>
      </c>
      <c r="B61" s="806" t="s">
        <v>1237</v>
      </c>
      <c r="C61" s="806" t="s">
        <v>1238</v>
      </c>
      <c r="D61" s="806"/>
      <c r="E61" s="713"/>
      <c r="F61" s="937">
        <v>7045.5</v>
      </c>
      <c r="G61" s="862" t="s">
        <v>1239</v>
      </c>
      <c r="H61" s="713" t="s">
        <v>1240</v>
      </c>
      <c r="I61" s="897" t="s">
        <v>1254</v>
      </c>
      <c r="J61" s="897" t="s">
        <v>1254</v>
      </c>
      <c r="K61" s="862"/>
    </row>
    <row r="62" spans="1:11" ht="24" x14ac:dyDescent="0.2">
      <c r="A62" s="862" t="s">
        <v>1236</v>
      </c>
      <c r="B62" s="806" t="s">
        <v>1243</v>
      </c>
      <c r="C62" s="806" t="s">
        <v>1238</v>
      </c>
      <c r="D62" s="806"/>
      <c r="E62" s="713"/>
      <c r="F62" s="937">
        <v>63586.8</v>
      </c>
      <c r="G62" s="862" t="s">
        <v>1255</v>
      </c>
      <c r="H62" s="713" t="s">
        <v>1240</v>
      </c>
      <c r="I62" s="897" t="s">
        <v>1256</v>
      </c>
      <c r="J62" s="897" t="s">
        <v>1256</v>
      </c>
      <c r="K62" s="862"/>
    </row>
    <row r="63" spans="1:11" ht="24" x14ac:dyDescent="0.2">
      <c r="A63" s="862" t="s">
        <v>1236</v>
      </c>
      <c r="B63" s="806" t="s">
        <v>1243</v>
      </c>
      <c r="C63" s="806" t="s">
        <v>1238</v>
      </c>
      <c r="D63" s="806"/>
      <c r="E63" s="713"/>
      <c r="F63" s="937">
        <v>5830.38</v>
      </c>
      <c r="G63" s="862" t="s">
        <v>1257</v>
      </c>
      <c r="H63" s="713" t="s">
        <v>1240</v>
      </c>
      <c r="I63" s="897" t="s">
        <v>1254</v>
      </c>
      <c r="J63" s="897" t="s">
        <v>1254</v>
      </c>
      <c r="K63" s="862"/>
    </row>
    <row r="64" spans="1:11" ht="24" x14ac:dyDescent="0.2">
      <c r="A64" s="862" t="s">
        <v>1236</v>
      </c>
      <c r="B64" s="806" t="s">
        <v>1243</v>
      </c>
      <c r="C64" s="806" t="s">
        <v>1238</v>
      </c>
      <c r="D64" s="806"/>
      <c r="E64" s="713"/>
      <c r="F64" s="937">
        <v>29138.97</v>
      </c>
      <c r="G64" s="862" t="s">
        <v>1258</v>
      </c>
      <c r="H64" s="713" t="s">
        <v>1240</v>
      </c>
      <c r="I64" s="897" t="s">
        <v>1254</v>
      </c>
      <c r="J64" s="897" t="s">
        <v>1254</v>
      </c>
      <c r="K64" s="862"/>
    </row>
    <row r="65" spans="1:11" ht="24" x14ac:dyDescent="0.2">
      <c r="A65" s="862" t="s">
        <v>1236</v>
      </c>
      <c r="B65" s="806" t="s">
        <v>1243</v>
      </c>
      <c r="C65" s="806" t="s">
        <v>1238</v>
      </c>
      <c r="D65" s="806"/>
      <c r="E65" s="713"/>
      <c r="F65" s="937">
        <v>27910.05</v>
      </c>
      <c r="G65" s="862" t="s">
        <v>1258</v>
      </c>
      <c r="H65" s="713" t="s">
        <v>1240</v>
      </c>
      <c r="I65" s="897" t="s">
        <v>1254</v>
      </c>
      <c r="J65" s="897" t="s">
        <v>1254</v>
      </c>
      <c r="K65" s="862"/>
    </row>
    <row r="66" spans="1:11" ht="24" x14ac:dyDescent="0.2">
      <c r="A66" s="862" t="s">
        <v>1236</v>
      </c>
      <c r="B66" s="806" t="s">
        <v>1243</v>
      </c>
      <c r="C66" s="806" t="s">
        <v>1238</v>
      </c>
      <c r="D66" s="806"/>
      <c r="E66" s="713"/>
      <c r="F66" s="937">
        <v>8663.09</v>
      </c>
      <c r="G66" s="862" t="s">
        <v>1259</v>
      </c>
      <c r="H66" s="713" t="s">
        <v>1240</v>
      </c>
      <c r="I66" s="897" t="s">
        <v>1260</v>
      </c>
      <c r="J66" s="897" t="s">
        <v>1260</v>
      </c>
      <c r="K66" s="862"/>
    </row>
    <row r="67" spans="1:11" ht="24" x14ac:dyDescent="0.2">
      <c r="A67" s="862" t="s">
        <v>1236</v>
      </c>
      <c r="B67" s="806" t="s">
        <v>1243</v>
      </c>
      <c r="C67" s="806" t="s">
        <v>1238</v>
      </c>
      <c r="D67" s="806"/>
      <c r="E67" s="713"/>
      <c r="F67" s="937">
        <v>26330.01</v>
      </c>
      <c r="G67" s="862" t="s">
        <v>1261</v>
      </c>
      <c r="H67" s="713" t="s">
        <v>1240</v>
      </c>
      <c r="I67" s="897" t="s">
        <v>1262</v>
      </c>
      <c r="J67" s="897" t="s">
        <v>1262</v>
      </c>
      <c r="K67" s="862"/>
    </row>
    <row r="68" spans="1:11" ht="24" x14ac:dyDescent="0.2">
      <c r="A68" s="862" t="s">
        <v>1246</v>
      </c>
      <c r="B68" s="806" t="s">
        <v>1237</v>
      </c>
      <c r="C68" s="806" t="s">
        <v>1238</v>
      </c>
      <c r="D68" s="806"/>
      <c r="E68" s="713"/>
      <c r="F68" s="937">
        <v>13170</v>
      </c>
      <c r="G68" s="862" t="s">
        <v>1263</v>
      </c>
      <c r="H68" s="713" t="s">
        <v>1240</v>
      </c>
      <c r="I68" s="897" t="s">
        <v>1264</v>
      </c>
      <c r="J68" s="897" t="s">
        <v>1264</v>
      </c>
      <c r="K68" s="862"/>
    </row>
    <row r="69" spans="1:11" ht="24" x14ac:dyDescent="0.2">
      <c r="A69" s="862" t="s">
        <v>1246</v>
      </c>
      <c r="B69" s="806" t="s">
        <v>1237</v>
      </c>
      <c r="C69" s="806" t="s">
        <v>1238</v>
      </c>
      <c r="D69" s="806"/>
      <c r="E69" s="713"/>
      <c r="F69" s="937">
        <v>18273.599999999999</v>
      </c>
      <c r="G69" s="862" t="s">
        <v>1265</v>
      </c>
      <c r="H69" s="713" t="s">
        <v>1240</v>
      </c>
      <c r="I69" s="897" t="s">
        <v>1264</v>
      </c>
      <c r="J69" s="897" t="s">
        <v>1264</v>
      </c>
      <c r="K69" s="862"/>
    </row>
    <row r="70" spans="1:11" ht="24" x14ac:dyDescent="0.2">
      <c r="A70" s="862" t="s">
        <v>1246</v>
      </c>
      <c r="B70" s="806" t="s">
        <v>1237</v>
      </c>
      <c r="C70" s="806" t="s">
        <v>1238</v>
      </c>
      <c r="D70" s="806"/>
      <c r="E70" s="713"/>
      <c r="F70" s="937">
        <v>21287.200000000001</v>
      </c>
      <c r="G70" s="862" t="s">
        <v>1266</v>
      </c>
      <c r="H70" s="713" t="s">
        <v>1240</v>
      </c>
      <c r="I70" s="897" t="s">
        <v>1267</v>
      </c>
      <c r="J70" s="897" t="s">
        <v>1267</v>
      </c>
      <c r="K70" s="862"/>
    </row>
    <row r="71" spans="1:11" ht="24" x14ac:dyDescent="0.2">
      <c r="A71" s="862" t="s">
        <v>1246</v>
      </c>
      <c r="B71" s="806" t="s">
        <v>1237</v>
      </c>
      <c r="C71" s="806" t="s">
        <v>1238</v>
      </c>
      <c r="D71" s="806"/>
      <c r="E71" s="713"/>
      <c r="F71" s="937">
        <v>28328.85</v>
      </c>
      <c r="G71" s="862" t="s">
        <v>1265</v>
      </c>
      <c r="H71" s="713" t="s">
        <v>1240</v>
      </c>
      <c r="I71" s="897" t="s">
        <v>1267</v>
      </c>
      <c r="J71" s="897" t="s">
        <v>1267</v>
      </c>
      <c r="K71" s="862"/>
    </row>
    <row r="72" spans="1:11" ht="24" x14ac:dyDescent="0.2">
      <c r="A72" s="862" t="s">
        <v>1246</v>
      </c>
      <c r="B72" s="806" t="s">
        <v>1237</v>
      </c>
      <c r="C72" s="806" t="s">
        <v>1238</v>
      </c>
      <c r="D72" s="806"/>
      <c r="E72" s="713"/>
      <c r="F72" s="937">
        <v>30278.400000000001</v>
      </c>
      <c r="G72" s="862" t="s">
        <v>1268</v>
      </c>
      <c r="H72" s="713" t="s">
        <v>1240</v>
      </c>
      <c r="I72" s="897" t="s">
        <v>1267</v>
      </c>
      <c r="J72" s="897" t="s">
        <v>1267</v>
      </c>
      <c r="K72" s="862"/>
    </row>
    <row r="73" spans="1:11" x14ac:dyDescent="0.2">
      <c r="A73" s="862" t="s">
        <v>1236</v>
      </c>
      <c r="B73" s="806" t="s">
        <v>1237</v>
      </c>
      <c r="C73" s="806" t="s">
        <v>1238</v>
      </c>
      <c r="D73" s="806"/>
      <c r="E73" s="713"/>
      <c r="F73" s="937">
        <v>17556</v>
      </c>
      <c r="G73" s="862" t="s">
        <v>1269</v>
      </c>
      <c r="H73" s="713" t="s">
        <v>1240</v>
      </c>
      <c r="I73" s="897" t="s">
        <v>1267</v>
      </c>
      <c r="J73" s="897" t="s">
        <v>1267</v>
      </c>
      <c r="K73" s="862"/>
    </row>
    <row r="74" spans="1:11" ht="24" x14ac:dyDescent="0.2">
      <c r="A74" s="862" t="s">
        <v>1236</v>
      </c>
      <c r="B74" s="806" t="s">
        <v>1237</v>
      </c>
      <c r="C74" s="806" t="s">
        <v>1238</v>
      </c>
      <c r="D74" s="806"/>
      <c r="E74" s="713"/>
      <c r="F74" s="937">
        <v>16097.71</v>
      </c>
      <c r="G74" s="862" t="s">
        <v>1270</v>
      </c>
      <c r="H74" s="713" t="s">
        <v>1240</v>
      </c>
      <c r="I74" s="897" t="s">
        <v>1271</v>
      </c>
      <c r="J74" s="897" t="s">
        <v>1271</v>
      </c>
      <c r="K74" s="862"/>
    </row>
    <row r="75" spans="1:11" x14ac:dyDescent="0.2">
      <c r="A75" s="862" t="s">
        <v>1272</v>
      </c>
      <c r="B75" s="806" t="s">
        <v>1237</v>
      </c>
      <c r="C75" s="806" t="s">
        <v>1238</v>
      </c>
      <c r="D75" s="806"/>
      <c r="E75" s="713"/>
      <c r="F75" s="937">
        <v>6500</v>
      </c>
      <c r="G75" s="862" t="s">
        <v>1273</v>
      </c>
      <c r="H75" s="713" t="s">
        <v>1240</v>
      </c>
      <c r="I75" s="897" t="s">
        <v>1274</v>
      </c>
      <c r="J75" s="897" t="s">
        <v>1274</v>
      </c>
      <c r="K75" s="862"/>
    </row>
    <row r="76" spans="1:11" ht="24" x14ac:dyDescent="0.2">
      <c r="A76" s="862" t="s">
        <v>1275</v>
      </c>
      <c r="B76" s="806" t="s">
        <v>1237</v>
      </c>
      <c r="C76" s="806" t="s">
        <v>1238</v>
      </c>
      <c r="D76" s="806"/>
      <c r="E76" s="713"/>
      <c r="F76" s="937">
        <v>6250</v>
      </c>
      <c r="G76" s="862" t="s">
        <v>1276</v>
      </c>
      <c r="H76" s="713" t="s">
        <v>1240</v>
      </c>
      <c r="I76" s="897" t="s">
        <v>1277</v>
      </c>
      <c r="J76" s="897" t="s">
        <v>1277</v>
      </c>
      <c r="K76" s="862"/>
    </row>
    <row r="77" spans="1:11" ht="24" x14ac:dyDescent="0.2">
      <c r="A77" s="862" t="s">
        <v>1275</v>
      </c>
      <c r="B77" s="806" t="s">
        <v>1237</v>
      </c>
      <c r="C77" s="806" t="s">
        <v>1238</v>
      </c>
      <c r="D77" s="806"/>
      <c r="E77" s="713"/>
      <c r="F77" s="937">
        <v>6250</v>
      </c>
      <c r="G77" s="862" t="s">
        <v>1276</v>
      </c>
      <c r="H77" s="713" t="s">
        <v>1240</v>
      </c>
      <c r="I77" s="897" t="s">
        <v>1278</v>
      </c>
      <c r="J77" s="897" t="s">
        <v>1278</v>
      </c>
      <c r="K77" s="862"/>
    </row>
    <row r="78" spans="1:11" ht="24" x14ac:dyDescent="0.2">
      <c r="A78" s="862" t="s">
        <v>1279</v>
      </c>
      <c r="B78" s="806" t="s">
        <v>1237</v>
      </c>
      <c r="C78" s="806" t="s">
        <v>1238</v>
      </c>
      <c r="D78" s="806"/>
      <c r="E78" s="713"/>
      <c r="F78" s="937">
        <v>8000</v>
      </c>
      <c r="G78" s="862" t="s">
        <v>1280</v>
      </c>
      <c r="H78" s="713" t="s">
        <v>1240</v>
      </c>
      <c r="I78" s="897" t="s">
        <v>1281</v>
      </c>
      <c r="J78" s="897" t="s">
        <v>1281</v>
      </c>
      <c r="K78" s="862"/>
    </row>
    <row r="79" spans="1:11" ht="24" x14ac:dyDescent="0.2">
      <c r="A79" s="862" t="s">
        <v>1282</v>
      </c>
      <c r="B79" s="806" t="s">
        <v>1237</v>
      </c>
      <c r="C79" s="806" t="s">
        <v>1238</v>
      </c>
      <c r="D79" s="806"/>
      <c r="E79" s="713"/>
      <c r="F79" s="937">
        <v>12880</v>
      </c>
      <c r="G79" s="862" t="s">
        <v>1283</v>
      </c>
      <c r="H79" s="713" t="s">
        <v>1240</v>
      </c>
      <c r="I79" s="897" t="s">
        <v>1284</v>
      </c>
      <c r="J79" s="897" t="s">
        <v>1284</v>
      </c>
      <c r="K79" s="862"/>
    </row>
    <row r="80" spans="1:11" ht="24" x14ac:dyDescent="0.2">
      <c r="A80" s="862" t="s">
        <v>1285</v>
      </c>
      <c r="B80" s="806" t="s">
        <v>1237</v>
      </c>
      <c r="C80" s="806" t="s">
        <v>1238</v>
      </c>
      <c r="D80" s="806"/>
      <c r="E80" s="713"/>
      <c r="F80" s="937">
        <v>7400</v>
      </c>
      <c r="G80" s="862" t="s">
        <v>1286</v>
      </c>
      <c r="H80" s="713" t="s">
        <v>1240</v>
      </c>
      <c r="I80" s="897" t="s">
        <v>1287</v>
      </c>
      <c r="J80" s="897" t="s">
        <v>1287</v>
      </c>
      <c r="K80" s="862"/>
    </row>
    <row r="81" spans="1:11" ht="24" x14ac:dyDescent="0.2">
      <c r="A81" s="862" t="s">
        <v>1246</v>
      </c>
      <c r="B81" s="806" t="s">
        <v>1237</v>
      </c>
      <c r="C81" s="806" t="s">
        <v>1238</v>
      </c>
      <c r="D81" s="806"/>
      <c r="E81" s="713"/>
      <c r="F81" s="937">
        <v>28452.11</v>
      </c>
      <c r="G81" s="862" t="s">
        <v>1263</v>
      </c>
      <c r="H81" s="713" t="s">
        <v>1240</v>
      </c>
      <c r="I81" s="897" t="s">
        <v>1288</v>
      </c>
      <c r="J81" s="897" t="s">
        <v>1288</v>
      </c>
      <c r="K81" s="862"/>
    </row>
    <row r="82" spans="1:11" ht="24" x14ac:dyDescent="0.2">
      <c r="A82" s="862" t="s">
        <v>1246</v>
      </c>
      <c r="B82" s="806" t="s">
        <v>1237</v>
      </c>
      <c r="C82" s="806" t="s">
        <v>1238</v>
      </c>
      <c r="D82" s="806"/>
      <c r="E82" s="713"/>
      <c r="F82" s="937">
        <v>25061.45</v>
      </c>
      <c r="G82" s="862" t="s">
        <v>1289</v>
      </c>
      <c r="H82" s="713" t="s">
        <v>1240</v>
      </c>
      <c r="I82" s="897" t="s">
        <v>1288</v>
      </c>
      <c r="J82" s="897" t="s">
        <v>1288</v>
      </c>
      <c r="K82" s="862"/>
    </row>
    <row r="83" spans="1:11" ht="24" x14ac:dyDescent="0.2">
      <c r="A83" s="862" t="s">
        <v>1290</v>
      </c>
      <c r="B83" s="806" t="s">
        <v>1237</v>
      </c>
      <c r="C83" s="806" t="s">
        <v>1238</v>
      </c>
      <c r="D83" s="806"/>
      <c r="E83" s="713"/>
      <c r="F83" s="937">
        <v>8000</v>
      </c>
      <c r="G83" s="862" t="s">
        <v>1280</v>
      </c>
      <c r="H83" s="713" t="s">
        <v>1240</v>
      </c>
      <c r="I83" s="897" t="s">
        <v>1291</v>
      </c>
      <c r="J83" s="897" t="s">
        <v>1291</v>
      </c>
      <c r="K83" s="862"/>
    </row>
    <row r="84" spans="1:11" ht="24" x14ac:dyDescent="0.2">
      <c r="A84" s="862" t="s">
        <v>1246</v>
      </c>
      <c r="B84" s="806" t="s">
        <v>1237</v>
      </c>
      <c r="C84" s="806" t="s">
        <v>1238</v>
      </c>
      <c r="D84" s="806"/>
      <c r="E84" s="713"/>
      <c r="F84" s="937">
        <v>20147.72</v>
      </c>
      <c r="G84" s="862" t="s">
        <v>1265</v>
      </c>
      <c r="H84" s="713" t="s">
        <v>1240</v>
      </c>
      <c r="I84" s="897" t="s">
        <v>1292</v>
      </c>
      <c r="J84" s="897" t="s">
        <v>1292</v>
      </c>
      <c r="K84" s="862"/>
    </row>
    <row r="85" spans="1:11" ht="24" x14ac:dyDescent="0.2">
      <c r="A85" s="862" t="s">
        <v>1246</v>
      </c>
      <c r="B85" s="806" t="s">
        <v>1237</v>
      </c>
      <c r="C85" s="806" t="s">
        <v>1238</v>
      </c>
      <c r="D85" s="806"/>
      <c r="E85" s="713"/>
      <c r="F85" s="937">
        <v>6520.5</v>
      </c>
      <c r="G85" s="862" t="s">
        <v>1265</v>
      </c>
      <c r="H85" s="713" t="s">
        <v>1240</v>
      </c>
      <c r="I85" s="897" t="s">
        <v>1293</v>
      </c>
      <c r="J85" s="897" t="s">
        <v>1293</v>
      </c>
      <c r="K85" s="862"/>
    </row>
    <row r="86" spans="1:11" ht="24" x14ac:dyDescent="0.2">
      <c r="A86" s="862" t="s">
        <v>1246</v>
      </c>
      <c r="B86" s="806" t="s">
        <v>1237</v>
      </c>
      <c r="C86" s="806" t="s">
        <v>1238</v>
      </c>
      <c r="D86" s="806"/>
      <c r="E86" s="713"/>
      <c r="F86" s="937">
        <v>9000</v>
      </c>
      <c r="G86" s="862" t="s">
        <v>1294</v>
      </c>
      <c r="H86" s="713" t="s">
        <v>1240</v>
      </c>
      <c r="I86" s="897" t="s">
        <v>1295</v>
      </c>
      <c r="J86" s="897" t="s">
        <v>1295</v>
      </c>
      <c r="K86" s="862"/>
    </row>
    <row r="87" spans="1:11" ht="24" x14ac:dyDescent="0.2">
      <c r="A87" s="862" t="s">
        <v>1246</v>
      </c>
      <c r="B87" s="806" t="s">
        <v>1237</v>
      </c>
      <c r="C87" s="806" t="s">
        <v>1238</v>
      </c>
      <c r="D87" s="806"/>
      <c r="E87" s="713"/>
      <c r="F87" s="937">
        <v>10000</v>
      </c>
      <c r="G87" s="862" t="s">
        <v>1263</v>
      </c>
      <c r="H87" s="713" t="s">
        <v>1240</v>
      </c>
      <c r="I87" s="897" t="s">
        <v>1295</v>
      </c>
      <c r="J87" s="897" t="s">
        <v>1295</v>
      </c>
      <c r="K87" s="862"/>
    </row>
    <row r="88" spans="1:11" ht="24" x14ac:dyDescent="0.2">
      <c r="A88" s="862" t="s">
        <v>1246</v>
      </c>
      <c r="B88" s="806" t="s">
        <v>1237</v>
      </c>
      <c r="C88" s="806" t="s">
        <v>1238</v>
      </c>
      <c r="D88" s="806"/>
      <c r="E88" s="713"/>
      <c r="F88" s="937">
        <v>8000</v>
      </c>
      <c r="G88" s="862" t="s">
        <v>1296</v>
      </c>
      <c r="H88" s="713" t="s">
        <v>1240</v>
      </c>
      <c r="I88" s="897" t="s">
        <v>1295</v>
      </c>
      <c r="J88" s="897" t="s">
        <v>1295</v>
      </c>
      <c r="K88" s="862"/>
    </row>
    <row r="89" spans="1:11" ht="24" x14ac:dyDescent="0.2">
      <c r="A89" s="862" t="s">
        <v>1279</v>
      </c>
      <c r="B89" s="806" t="s">
        <v>1237</v>
      </c>
      <c r="C89" s="806" t="s">
        <v>1238</v>
      </c>
      <c r="D89" s="806"/>
      <c r="E89" s="713"/>
      <c r="F89" s="937">
        <v>12000</v>
      </c>
      <c r="G89" s="862" t="s">
        <v>1280</v>
      </c>
      <c r="H89" s="713" t="s">
        <v>1240</v>
      </c>
      <c r="I89" s="897" t="s">
        <v>1297</v>
      </c>
      <c r="J89" s="897" t="s">
        <v>1297</v>
      </c>
      <c r="K89" s="862" t="s">
        <v>1298</v>
      </c>
    </row>
    <row r="90" spans="1:11" ht="24" x14ac:dyDescent="0.2">
      <c r="A90" s="862" t="s">
        <v>1279</v>
      </c>
      <c r="B90" s="806" t="s">
        <v>1237</v>
      </c>
      <c r="C90" s="806" t="s">
        <v>1238</v>
      </c>
      <c r="D90" s="806"/>
      <c r="E90" s="713"/>
      <c r="F90" s="937">
        <v>4000</v>
      </c>
      <c r="G90" s="862" t="s">
        <v>1280</v>
      </c>
      <c r="H90" s="713" t="s">
        <v>1240</v>
      </c>
      <c r="I90" s="897" t="s">
        <v>1299</v>
      </c>
      <c r="J90" s="897" t="s">
        <v>1299</v>
      </c>
      <c r="K90" s="862"/>
    </row>
    <row r="91" spans="1:11" x14ac:dyDescent="0.2">
      <c r="A91" s="862" t="s">
        <v>1300</v>
      </c>
      <c r="B91" s="806" t="s">
        <v>1237</v>
      </c>
      <c r="C91" s="806" t="s">
        <v>1238</v>
      </c>
      <c r="D91" s="806"/>
      <c r="E91" s="713"/>
      <c r="F91" s="937">
        <v>8000</v>
      </c>
      <c r="G91" s="862" t="s">
        <v>1301</v>
      </c>
      <c r="H91" s="713" t="s">
        <v>1240</v>
      </c>
      <c r="I91" s="897" t="s">
        <v>1297</v>
      </c>
      <c r="J91" s="897" t="s">
        <v>1297</v>
      </c>
      <c r="K91" s="862" t="s">
        <v>1302</v>
      </c>
    </row>
    <row r="92" spans="1:11" ht="24" x14ac:dyDescent="0.2">
      <c r="A92" s="862" t="s">
        <v>1279</v>
      </c>
      <c r="B92" s="806" t="s">
        <v>1237</v>
      </c>
      <c r="C92" s="806" t="s">
        <v>1238</v>
      </c>
      <c r="D92" s="806"/>
      <c r="E92" s="713"/>
      <c r="F92" s="937">
        <v>6000</v>
      </c>
      <c r="G92" s="862" t="s">
        <v>1303</v>
      </c>
      <c r="H92" s="713" t="s">
        <v>1240</v>
      </c>
      <c r="I92" s="897" t="s">
        <v>1297</v>
      </c>
      <c r="J92" s="897" t="s">
        <v>1297</v>
      </c>
      <c r="K92" s="862" t="s">
        <v>1304</v>
      </c>
    </row>
    <row r="93" spans="1:11" ht="24" x14ac:dyDescent="0.2">
      <c r="A93" s="862" t="s">
        <v>1275</v>
      </c>
      <c r="B93" s="806" t="s">
        <v>1237</v>
      </c>
      <c r="C93" s="806" t="s">
        <v>1238</v>
      </c>
      <c r="D93" s="806"/>
      <c r="E93" s="713"/>
      <c r="F93" s="937">
        <v>8067.5</v>
      </c>
      <c r="G93" s="862" t="s">
        <v>1255</v>
      </c>
      <c r="H93" s="713" t="s">
        <v>1240</v>
      </c>
      <c r="I93" s="897" t="s">
        <v>1305</v>
      </c>
      <c r="J93" s="897" t="s">
        <v>1305</v>
      </c>
      <c r="K93" s="862"/>
    </row>
    <row r="94" spans="1:11" x14ac:dyDescent="0.2">
      <c r="A94" s="862" t="s">
        <v>1306</v>
      </c>
      <c r="B94" s="806" t="s">
        <v>1237</v>
      </c>
      <c r="C94" s="806" t="s">
        <v>1238</v>
      </c>
      <c r="D94" s="806"/>
      <c r="E94" s="713"/>
      <c r="F94" s="937">
        <v>16065</v>
      </c>
      <c r="G94" s="862" t="s">
        <v>1307</v>
      </c>
      <c r="H94" s="713" t="s">
        <v>1240</v>
      </c>
      <c r="I94" s="897" t="s">
        <v>1305</v>
      </c>
      <c r="J94" s="897" t="s">
        <v>1305</v>
      </c>
      <c r="K94" s="862"/>
    </row>
    <row r="95" spans="1:11" ht="24" x14ac:dyDescent="0.2">
      <c r="A95" s="862" t="s">
        <v>1275</v>
      </c>
      <c r="B95" s="806" t="s">
        <v>1237</v>
      </c>
      <c r="C95" s="806" t="s">
        <v>1238</v>
      </c>
      <c r="D95" s="806"/>
      <c r="E95" s="713"/>
      <c r="F95" s="937">
        <v>4148</v>
      </c>
      <c r="G95" s="862" t="s">
        <v>1257</v>
      </c>
      <c r="H95" s="713" t="s">
        <v>1240</v>
      </c>
      <c r="I95" s="897" t="s">
        <v>1305</v>
      </c>
      <c r="J95" s="897" t="s">
        <v>1305</v>
      </c>
      <c r="K95" s="862"/>
    </row>
    <row r="96" spans="1:11" ht="24" x14ac:dyDescent="0.2">
      <c r="A96" s="862" t="s">
        <v>1275</v>
      </c>
      <c r="B96" s="806" t="s">
        <v>1237</v>
      </c>
      <c r="C96" s="806" t="s">
        <v>1238</v>
      </c>
      <c r="D96" s="806"/>
      <c r="E96" s="713"/>
      <c r="F96" s="937">
        <v>5180</v>
      </c>
      <c r="G96" s="862" t="s">
        <v>1308</v>
      </c>
      <c r="H96" s="713" t="s">
        <v>1240</v>
      </c>
      <c r="I96" s="897" t="s">
        <v>1309</v>
      </c>
      <c r="J96" s="897" t="s">
        <v>1309</v>
      </c>
      <c r="K96" s="862"/>
    </row>
    <row r="97" spans="1:11" x14ac:dyDescent="0.2">
      <c r="A97" s="862" t="s">
        <v>1275</v>
      </c>
      <c r="B97" s="806" t="s">
        <v>1237</v>
      </c>
      <c r="C97" s="806" t="s">
        <v>1238</v>
      </c>
      <c r="D97" s="806"/>
      <c r="E97" s="713"/>
      <c r="F97" s="937">
        <v>8774</v>
      </c>
      <c r="G97" s="862" t="s">
        <v>1310</v>
      </c>
      <c r="H97" s="713" t="s">
        <v>1240</v>
      </c>
      <c r="I97" s="897" t="s">
        <v>1309</v>
      </c>
      <c r="J97" s="897" t="s">
        <v>1309</v>
      </c>
      <c r="K97" s="862"/>
    </row>
    <row r="98" spans="1:11" ht="24" x14ac:dyDescent="0.2">
      <c r="A98" s="862" t="s">
        <v>1275</v>
      </c>
      <c r="B98" s="806" t="s">
        <v>1237</v>
      </c>
      <c r="C98" s="806" t="s">
        <v>1238</v>
      </c>
      <c r="D98" s="806"/>
      <c r="E98" s="713"/>
      <c r="F98" s="937">
        <v>5180</v>
      </c>
      <c r="G98" s="862" t="s">
        <v>1308</v>
      </c>
      <c r="H98" s="713" t="s">
        <v>1240</v>
      </c>
      <c r="I98" s="897" t="s">
        <v>1309</v>
      </c>
      <c r="J98" s="897" t="s">
        <v>1309</v>
      </c>
      <c r="K98" s="862"/>
    </row>
    <row r="99" spans="1:11" x14ac:dyDescent="0.2">
      <c r="A99" s="862" t="s">
        <v>1311</v>
      </c>
      <c r="B99" s="806" t="s">
        <v>1237</v>
      </c>
      <c r="C99" s="806" t="s">
        <v>1238</v>
      </c>
      <c r="D99" s="806"/>
      <c r="E99" s="713"/>
      <c r="F99" s="937">
        <v>5587</v>
      </c>
      <c r="G99" s="862" t="s">
        <v>1312</v>
      </c>
      <c r="H99" s="713" t="s">
        <v>1240</v>
      </c>
      <c r="I99" s="897" t="s">
        <v>1313</v>
      </c>
      <c r="J99" s="897" t="s">
        <v>1313</v>
      </c>
      <c r="K99" s="862"/>
    </row>
    <row r="100" spans="1:11" ht="24" x14ac:dyDescent="0.2">
      <c r="A100" s="862" t="s">
        <v>1246</v>
      </c>
      <c r="B100" s="806" t="s">
        <v>1237</v>
      </c>
      <c r="C100" s="806" t="s">
        <v>1238</v>
      </c>
      <c r="D100" s="806"/>
      <c r="E100" s="713"/>
      <c r="F100" s="937">
        <v>26834.83</v>
      </c>
      <c r="G100" s="862" t="s">
        <v>1289</v>
      </c>
      <c r="H100" s="713" t="s">
        <v>1240</v>
      </c>
      <c r="I100" s="897" t="s">
        <v>1314</v>
      </c>
      <c r="J100" s="897" t="s">
        <v>1314</v>
      </c>
      <c r="K100" s="862"/>
    </row>
    <row r="101" spans="1:11" ht="24" x14ac:dyDescent="0.2">
      <c r="A101" s="862" t="s">
        <v>1282</v>
      </c>
      <c r="B101" s="806" t="s">
        <v>1237</v>
      </c>
      <c r="C101" s="806" t="s">
        <v>1238</v>
      </c>
      <c r="D101" s="806"/>
      <c r="E101" s="713"/>
      <c r="F101" s="937">
        <v>10800</v>
      </c>
      <c r="G101" s="862" t="s">
        <v>1283</v>
      </c>
      <c r="H101" s="713" t="s">
        <v>1240</v>
      </c>
      <c r="I101" s="897" t="s">
        <v>1315</v>
      </c>
      <c r="J101" s="897" t="s">
        <v>1315</v>
      </c>
      <c r="K101" s="862"/>
    </row>
    <row r="102" spans="1:11" ht="24" x14ac:dyDescent="0.2">
      <c r="A102" s="862" t="s">
        <v>1316</v>
      </c>
      <c r="B102" s="806" t="s">
        <v>1237</v>
      </c>
      <c r="C102" s="806" t="s">
        <v>1238</v>
      </c>
      <c r="D102" s="806"/>
      <c r="E102" s="713"/>
      <c r="F102" s="937">
        <v>6735.96</v>
      </c>
      <c r="G102" s="862" t="s">
        <v>1257</v>
      </c>
      <c r="H102" s="713" t="s">
        <v>1240</v>
      </c>
      <c r="I102" s="897" t="s">
        <v>1317</v>
      </c>
      <c r="J102" s="897" t="s">
        <v>1317</v>
      </c>
      <c r="K102" s="862"/>
    </row>
    <row r="103" spans="1:11" ht="24" x14ac:dyDescent="0.2">
      <c r="A103" s="862" t="s">
        <v>1318</v>
      </c>
      <c r="B103" s="806" t="s">
        <v>1237</v>
      </c>
      <c r="C103" s="806" t="s">
        <v>1238</v>
      </c>
      <c r="D103" s="806"/>
      <c r="E103" s="713"/>
      <c r="F103" s="937">
        <v>19000</v>
      </c>
      <c r="G103" s="862" t="s">
        <v>1319</v>
      </c>
      <c r="H103" s="713" t="s">
        <v>1240</v>
      </c>
      <c r="I103" s="897" t="s">
        <v>1317</v>
      </c>
      <c r="J103" s="897" t="s">
        <v>1317</v>
      </c>
      <c r="K103" s="862"/>
    </row>
    <row r="104" spans="1:11" x14ac:dyDescent="0.2">
      <c r="A104" s="862" t="s">
        <v>1320</v>
      </c>
      <c r="B104" s="806" t="s">
        <v>1237</v>
      </c>
      <c r="C104" s="806" t="s">
        <v>1238</v>
      </c>
      <c r="D104" s="806"/>
      <c r="E104" s="713"/>
      <c r="F104" s="937">
        <v>4350</v>
      </c>
      <c r="G104" s="862" t="s">
        <v>1321</v>
      </c>
      <c r="H104" s="713" t="s">
        <v>1240</v>
      </c>
      <c r="I104" s="897" t="s">
        <v>1317</v>
      </c>
      <c r="J104" s="897" t="s">
        <v>1317</v>
      </c>
      <c r="K104" s="862"/>
    </row>
    <row r="105" spans="1:11" ht="24" x14ac:dyDescent="0.2">
      <c r="A105" s="862" t="s">
        <v>1236</v>
      </c>
      <c r="B105" s="806" t="s">
        <v>1243</v>
      </c>
      <c r="C105" s="806" t="s">
        <v>1322</v>
      </c>
      <c r="D105" s="806"/>
      <c r="E105" s="713"/>
      <c r="F105" s="937">
        <v>14987.5</v>
      </c>
      <c r="G105" s="862" t="s">
        <v>1323</v>
      </c>
      <c r="H105" s="713" t="s">
        <v>1240</v>
      </c>
      <c r="I105" s="897" t="s">
        <v>1324</v>
      </c>
      <c r="J105" s="897" t="s">
        <v>1324</v>
      </c>
      <c r="K105" s="862"/>
    </row>
    <row r="106" spans="1:11" ht="24" x14ac:dyDescent="0.2">
      <c r="A106" s="862" t="s">
        <v>1325</v>
      </c>
      <c r="B106" s="806" t="s">
        <v>1237</v>
      </c>
      <c r="C106" s="806" t="s">
        <v>1238</v>
      </c>
      <c r="D106" s="806"/>
      <c r="E106" s="713"/>
      <c r="F106" s="937">
        <v>31000</v>
      </c>
      <c r="G106" s="862" t="s">
        <v>1263</v>
      </c>
      <c r="H106" s="713" t="s">
        <v>1240</v>
      </c>
      <c r="I106" s="897" t="s">
        <v>1326</v>
      </c>
      <c r="J106" s="897" t="s">
        <v>1326</v>
      </c>
      <c r="K106" s="862"/>
    </row>
    <row r="107" spans="1:11" x14ac:dyDescent="0.2">
      <c r="A107" s="862" t="s">
        <v>1327</v>
      </c>
      <c r="B107" s="806" t="s">
        <v>1237</v>
      </c>
      <c r="C107" s="806" t="s">
        <v>1238</v>
      </c>
      <c r="D107" s="806"/>
      <c r="E107" s="713"/>
      <c r="F107" s="937">
        <v>9800</v>
      </c>
      <c r="G107" s="862" t="s">
        <v>1328</v>
      </c>
      <c r="H107" s="713" t="s">
        <v>1240</v>
      </c>
      <c r="I107" s="897" t="s">
        <v>1329</v>
      </c>
      <c r="J107" s="897" t="s">
        <v>1329</v>
      </c>
      <c r="K107" s="862"/>
    </row>
    <row r="108" spans="1:11" x14ac:dyDescent="0.2">
      <c r="A108" s="862" t="s">
        <v>1236</v>
      </c>
      <c r="B108" s="806" t="s">
        <v>1237</v>
      </c>
      <c r="C108" s="806" t="s">
        <v>1238</v>
      </c>
      <c r="D108" s="806"/>
      <c r="E108" s="713"/>
      <c r="F108" s="937">
        <v>24961</v>
      </c>
      <c r="G108" s="862" t="s">
        <v>1259</v>
      </c>
      <c r="H108" s="713" t="s">
        <v>1240</v>
      </c>
      <c r="I108" s="897" t="s">
        <v>1330</v>
      </c>
      <c r="J108" s="897" t="s">
        <v>1330</v>
      </c>
      <c r="K108" s="862"/>
    </row>
    <row r="109" spans="1:11" ht="24" x14ac:dyDescent="0.2">
      <c r="A109" s="862" t="s">
        <v>1331</v>
      </c>
      <c r="B109" s="806" t="s">
        <v>1237</v>
      </c>
      <c r="C109" s="806" t="s">
        <v>1238</v>
      </c>
      <c r="D109" s="806"/>
      <c r="E109" s="713"/>
      <c r="F109" s="937">
        <v>5500</v>
      </c>
      <c r="G109" s="862" t="s">
        <v>1319</v>
      </c>
      <c r="H109" s="713" t="s">
        <v>1240</v>
      </c>
      <c r="I109" s="897" t="s">
        <v>1332</v>
      </c>
      <c r="J109" s="897" t="s">
        <v>1332</v>
      </c>
      <c r="K109" s="862"/>
    </row>
    <row r="110" spans="1:11" ht="24" x14ac:dyDescent="0.2">
      <c r="A110" s="862" t="s">
        <v>1333</v>
      </c>
      <c r="B110" s="806" t="s">
        <v>1237</v>
      </c>
      <c r="C110" s="806" t="s">
        <v>1238</v>
      </c>
      <c r="D110" s="806"/>
      <c r="E110" s="713"/>
      <c r="F110" s="937">
        <v>7464</v>
      </c>
      <c r="G110" s="862" t="s">
        <v>1334</v>
      </c>
      <c r="H110" s="713" t="s">
        <v>1240</v>
      </c>
      <c r="I110" s="897" t="s">
        <v>1332</v>
      </c>
      <c r="J110" s="897" t="s">
        <v>1332</v>
      </c>
      <c r="K110" s="862"/>
    </row>
    <row r="111" spans="1:11" x14ac:dyDescent="0.2">
      <c r="A111" s="862" t="s">
        <v>1320</v>
      </c>
      <c r="B111" s="806" t="s">
        <v>1237</v>
      </c>
      <c r="C111" s="806" t="s">
        <v>1238</v>
      </c>
      <c r="D111" s="806"/>
      <c r="E111" s="713"/>
      <c r="F111" s="937">
        <v>4650</v>
      </c>
      <c r="G111" s="862" t="s">
        <v>1321</v>
      </c>
      <c r="H111" s="713" t="s">
        <v>1240</v>
      </c>
      <c r="I111" s="897" t="s">
        <v>1332</v>
      </c>
      <c r="J111" s="897" t="s">
        <v>1332</v>
      </c>
      <c r="K111" s="862"/>
    </row>
    <row r="112" spans="1:11" ht="24" x14ac:dyDescent="0.2">
      <c r="A112" s="862" t="s">
        <v>1236</v>
      </c>
      <c r="B112" s="806" t="s">
        <v>1237</v>
      </c>
      <c r="C112" s="806" t="s">
        <v>1238</v>
      </c>
      <c r="D112" s="806"/>
      <c r="E112" s="713"/>
      <c r="F112" s="937">
        <v>7179.6</v>
      </c>
      <c r="G112" s="862" t="s">
        <v>1255</v>
      </c>
      <c r="H112" s="713" t="s">
        <v>1240</v>
      </c>
      <c r="I112" s="897" t="s">
        <v>1332</v>
      </c>
      <c r="J112" s="897" t="s">
        <v>1332</v>
      </c>
      <c r="K112" s="862"/>
    </row>
    <row r="113" spans="1:11" ht="24" x14ac:dyDescent="0.2">
      <c r="A113" s="862" t="s">
        <v>1236</v>
      </c>
      <c r="B113" s="806" t="s">
        <v>1243</v>
      </c>
      <c r="C113" s="806" t="s">
        <v>1335</v>
      </c>
      <c r="D113" s="806"/>
      <c r="E113" s="713"/>
      <c r="F113" s="937">
        <v>43295.45</v>
      </c>
      <c r="G113" s="862" t="s">
        <v>1255</v>
      </c>
      <c r="H113" s="713" t="s">
        <v>1240</v>
      </c>
      <c r="I113" s="897" t="s">
        <v>1332</v>
      </c>
      <c r="J113" s="897" t="s">
        <v>1332</v>
      </c>
      <c r="K113" s="862"/>
    </row>
    <row r="114" spans="1:11" ht="24" x14ac:dyDescent="0.2">
      <c r="A114" s="862" t="s">
        <v>1236</v>
      </c>
      <c r="B114" s="806" t="s">
        <v>1243</v>
      </c>
      <c r="C114" s="806" t="s">
        <v>1238</v>
      </c>
      <c r="D114" s="806"/>
      <c r="E114" s="713"/>
      <c r="F114" s="937">
        <v>122308.9</v>
      </c>
      <c r="G114" s="862" t="s">
        <v>1255</v>
      </c>
      <c r="H114" s="713" t="s">
        <v>1240</v>
      </c>
      <c r="I114" s="897" t="s">
        <v>1332</v>
      </c>
      <c r="J114" s="897" t="s">
        <v>1332</v>
      </c>
      <c r="K114" s="862"/>
    </row>
    <row r="115" spans="1:11" ht="24" x14ac:dyDescent="0.2">
      <c r="A115" s="862" t="s">
        <v>1236</v>
      </c>
      <c r="B115" s="806" t="s">
        <v>1243</v>
      </c>
      <c r="C115" s="806" t="s">
        <v>1336</v>
      </c>
      <c r="D115" s="806"/>
      <c r="E115" s="713"/>
      <c r="F115" s="937">
        <v>55971.5</v>
      </c>
      <c r="G115" s="862" t="s">
        <v>1255</v>
      </c>
      <c r="H115" s="713" t="s">
        <v>1240</v>
      </c>
      <c r="I115" s="897" t="s">
        <v>1332</v>
      </c>
      <c r="J115" s="897" t="s">
        <v>1332</v>
      </c>
      <c r="K115" s="862"/>
    </row>
    <row r="116" spans="1:11" ht="24" x14ac:dyDescent="0.2">
      <c r="A116" s="862" t="s">
        <v>1236</v>
      </c>
      <c r="B116" s="806" t="s">
        <v>1243</v>
      </c>
      <c r="C116" s="806" t="s">
        <v>1337</v>
      </c>
      <c r="D116" s="806"/>
      <c r="E116" s="713"/>
      <c r="F116" s="937">
        <v>11506.8</v>
      </c>
      <c r="G116" s="862" t="s">
        <v>1255</v>
      </c>
      <c r="H116" s="713" t="s">
        <v>1240</v>
      </c>
      <c r="I116" s="897" t="s">
        <v>1332</v>
      </c>
      <c r="J116" s="897" t="s">
        <v>1332</v>
      </c>
      <c r="K116" s="862"/>
    </row>
    <row r="117" spans="1:11" x14ac:dyDescent="0.2">
      <c r="A117" s="862" t="s">
        <v>1246</v>
      </c>
      <c r="B117" s="806" t="s">
        <v>1237</v>
      </c>
      <c r="C117" s="806" t="s">
        <v>1238</v>
      </c>
      <c r="D117" s="806"/>
      <c r="E117" s="713"/>
      <c r="F117" s="937">
        <v>10000</v>
      </c>
      <c r="G117" s="862" t="s">
        <v>1338</v>
      </c>
      <c r="H117" s="713" t="s">
        <v>1240</v>
      </c>
      <c r="I117" s="897" t="s">
        <v>1332</v>
      </c>
      <c r="J117" s="897" t="s">
        <v>1332</v>
      </c>
      <c r="K117" s="862"/>
    </row>
    <row r="118" spans="1:11" ht="24" x14ac:dyDescent="0.2">
      <c r="A118" s="862" t="s">
        <v>1339</v>
      </c>
      <c r="B118" s="806" t="s">
        <v>1237</v>
      </c>
      <c r="C118" s="806" t="s">
        <v>1238</v>
      </c>
      <c r="D118" s="806"/>
      <c r="E118" s="713"/>
      <c r="F118" s="937">
        <v>8148</v>
      </c>
      <c r="G118" s="862" t="s">
        <v>1340</v>
      </c>
      <c r="H118" s="713" t="s">
        <v>1240</v>
      </c>
      <c r="I118" s="897" t="s">
        <v>1332</v>
      </c>
      <c r="J118" s="897" t="s">
        <v>1332</v>
      </c>
      <c r="K118" s="862"/>
    </row>
    <row r="119" spans="1:11" x14ac:dyDescent="0.2">
      <c r="A119" s="862" t="s">
        <v>1341</v>
      </c>
      <c r="B119" s="806" t="s">
        <v>1237</v>
      </c>
      <c r="C119" s="806" t="s">
        <v>1238</v>
      </c>
      <c r="D119" s="806"/>
      <c r="E119" s="713"/>
      <c r="F119" s="937">
        <v>9937</v>
      </c>
      <c r="G119" s="862" t="s">
        <v>1342</v>
      </c>
      <c r="H119" s="713" t="s">
        <v>1240</v>
      </c>
      <c r="I119" s="897" t="s">
        <v>1343</v>
      </c>
      <c r="J119" s="897" t="s">
        <v>1343</v>
      </c>
      <c r="K119" s="862"/>
    </row>
    <row r="120" spans="1:11" ht="24" x14ac:dyDescent="0.2">
      <c r="A120" s="862" t="s">
        <v>1344</v>
      </c>
      <c r="B120" s="806" t="s">
        <v>1237</v>
      </c>
      <c r="C120" s="806" t="s">
        <v>1238</v>
      </c>
      <c r="D120" s="806"/>
      <c r="E120" s="713"/>
      <c r="F120" s="937">
        <v>6990</v>
      </c>
      <c r="G120" s="862" t="s">
        <v>1345</v>
      </c>
      <c r="H120" s="713" t="s">
        <v>1240</v>
      </c>
      <c r="I120" s="897" t="s">
        <v>1343</v>
      </c>
      <c r="J120" s="897" t="s">
        <v>1343</v>
      </c>
      <c r="K120" s="862"/>
    </row>
    <row r="121" spans="1:11" ht="24" x14ac:dyDescent="0.2">
      <c r="A121" s="862" t="s">
        <v>1346</v>
      </c>
      <c r="B121" s="806" t="s">
        <v>1237</v>
      </c>
      <c r="C121" s="806" t="s">
        <v>1238</v>
      </c>
      <c r="D121" s="806"/>
      <c r="E121" s="713"/>
      <c r="F121" s="937">
        <v>19961.32</v>
      </c>
      <c r="G121" s="862" t="s">
        <v>1276</v>
      </c>
      <c r="H121" s="713" t="s">
        <v>1240</v>
      </c>
      <c r="I121" s="897" t="s">
        <v>1343</v>
      </c>
      <c r="J121" s="897" t="s">
        <v>1343</v>
      </c>
      <c r="K121" s="862"/>
    </row>
    <row r="122" spans="1:11" x14ac:dyDescent="0.2">
      <c r="A122" s="862" t="s">
        <v>1275</v>
      </c>
      <c r="B122" s="806" t="s">
        <v>1237</v>
      </c>
      <c r="C122" s="806" t="s">
        <v>1238</v>
      </c>
      <c r="D122" s="806"/>
      <c r="E122" s="713"/>
      <c r="F122" s="937">
        <v>5089</v>
      </c>
      <c r="G122" s="862" t="s">
        <v>1310</v>
      </c>
      <c r="H122" s="713" t="s">
        <v>1240</v>
      </c>
      <c r="I122" s="897" t="s">
        <v>1343</v>
      </c>
      <c r="J122" s="897" t="s">
        <v>1343</v>
      </c>
      <c r="K122" s="862"/>
    </row>
    <row r="123" spans="1:11" ht="24" x14ac:dyDescent="0.2">
      <c r="A123" s="862" t="s">
        <v>1236</v>
      </c>
      <c r="B123" s="806" t="s">
        <v>1237</v>
      </c>
      <c r="C123" s="806" t="s">
        <v>1238</v>
      </c>
      <c r="D123" s="806"/>
      <c r="E123" s="713"/>
      <c r="F123" s="937">
        <v>17171</v>
      </c>
      <c r="G123" s="862" t="s">
        <v>1323</v>
      </c>
      <c r="H123" s="713" t="s">
        <v>1240</v>
      </c>
      <c r="I123" s="897" t="s">
        <v>1347</v>
      </c>
      <c r="J123" s="897" t="s">
        <v>1347</v>
      </c>
      <c r="K123" s="862"/>
    </row>
    <row r="124" spans="1:11" ht="24" x14ac:dyDescent="0.2">
      <c r="A124" s="862" t="s">
        <v>1236</v>
      </c>
      <c r="B124" s="806" t="s">
        <v>1237</v>
      </c>
      <c r="C124" s="806" t="s">
        <v>1238</v>
      </c>
      <c r="D124" s="806"/>
      <c r="E124" s="713"/>
      <c r="F124" s="937">
        <v>4237</v>
      </c>
      <c r="G124" s="862" t="s">
        <v>1323</v>
      </c>
      <c r="H124" s="713" t="s">
        <v>1240</v>
      </c>
      <c r="I124" s="897" t="s">
        <v>1347</v>
      </c>
      <c r="J124" s="897" t="s">
        <v>1347</v>
      </c>
      <c r="K124" s="862"/>
    </row>
    <row r="125" spans="1:11" x14ac:dyDescent="0.2">
      <c r="A125" s="862" t="s">
        <v>1320</v>
      </c>
      <c r="B125" s="806" t="s">
        <v>1237</v>
      </c>
      <c r="C125" s="806" t="s">
        <v>1238</v>
      </c>
      <c r="D125" s="806"/>
      <c r="E125" s="713"/>
      <c r="F125" s="937">
        <v>4500</v>
      </c>
      <c r="G125" s="862" t="s">
        <v>1321</v>
      </c>
      <c r="H125" s="713" t="s">
        <v>1240</v>
      </c>
      <c r="I125" s="897" t="s">
        <v>1347</v>
      </c>
      <c r="J125" s="897" t="s">
        <v>1347</v>
      </c>
      <c r="K125" s="862"/>
    </row>
    <row r="126" spans="1:11" ht="24" x14ac:dyDescent="0.2">
      <c r="A126" s="862" t="s">
        <v>1348</v>
      </c>
      <c r="B126" s="806" t="s">
        <v>1237</v>
      </c>
      <c r="C126" s="806" t="s">
        <v>1238</v>
      </c>
      <c r="D126" s="806"/>
      <c r="E126" s="713"/>
      <c r="F126" s="937">
        <v>6000</v>
      </c>
      <c r="G126" s="862" t="s">
        <v>1319</v>
      </c>
      <c r="H126" s="713" t="s">
        <v>1240</v>
      </c>
      <c r="I126" s="897" t="s">
        <v>1347</v>
      </c>
      <c r="J126" s="897" t="s">
        <v>1347</v>
      </c>
      <c r="K126" s="862"/>
    </row>
    <row r="127" spans="1:11" ht="24" x14ac:dyDescent="0.2">
      <c r="A127" s="862" t="s">
        <v>1349</v>
      </c>
      <c r="B127" s="806" t="s">
        <v>1237</v>
      </c>
      <c r="C127" s="806" t="s">
        <v>1238</v>
      </c>
      <c r="D127" s="806"/>
      <c r="E127" s="713"/>
      <c r="F127" s="937">
        <v>5595</v>
      </c>
      <c r="G127" s="862" t="s">
        <v>1334</v>
      </c>
      <c r="H127" s="713" t="s">
        <v>1240</v>
      </c>
      <c r="I127" s="897" t="s">
        <v>1347</v>
      </c>
      <c r="J127" s="897" t="s">
        <v>1347</v>
      </c>
      <c r="K127" s="862"/>
    </row>
    <row r="128" spans="1:11" x14ac:dyDescent="0.2">
      <c r="A128" s="862" t="s">
        <v>1236</v>
      </c>
      <c r="B128" s="806" t="s">
        <v>1237</v>
      </c>
      <c r="C128" s="806" t="s">
        <v>1238</v>
      </c>
      <c r="D128" s="806"/>
      <c r="E128" s="713"/>
      <c r="F128" s="937">
        <v>10101.040000000001</v>
      </c>
      <c r="G128" s="862" t="s">
        <v>1261</v>
      </c>
      <c r="H128" s="713" t="s">
        <v>1240</v>
      </c>
      <c r="I128" s="897" t="s">
        <v>1350</v>
      </c>
      <c r="J128" s="897" t="s">
        <v>1350</v>
      </c>
      <c r="K128" s="862"/>
    </row>
    <row r="129" spans="1:11" ht="24" x14ac:dyDescent="0.2">
      <c r="A129" s="862" t="s">
        <v>1236</v>
      </c>
      <c r="B129" s="806" t="s">
        <v>1237</v>
      </c>
      <c r="C129" s="806" t="s">
        <v>1238</v>
      </c>
      <c r="D129" s="938"/>
      <c r="E129" s="939"/>
      <c r="F129" s="937">
        <v>21557.16</v>
      </c>
      <c r="G129" s="862" t="s">
        <v>1258</v>
      </c>
      <c r="H129" s="713" t="s">
        <v>1240</v>
      </c>
      <c r="I129" s="897" t="s">
        <v>1350</v>
      </c>
      <c r="J129" s="897" t="s">
        <v>1350</v>
      </c>
      <c r="K129" s="862"/>
    </row>
    <row r="130" spans="1:11" x14ac:dyDescent="0.2">
      <c r="A130" s="862"/>
      <c r="B130" s="806"/>
      <c r="C130" s="940" t="s">
        <v>1351</v>
      </c>
      <c r="D130" s="416"/>
      <c r="E130" s="415"/>
      <c r="F130" s="941">
        <f>SUM(F55:F129)</f>
        <v>1454267.8399999999</v>
      </c>
      <c r="G130" s="862"/>
      <c r="H130" s="713"/>
      <c r="I130" s="897"/>
      <c r="J130" s="897"/>
      <c r="K130" s="862"/>
    </row>
    <row r="131" spans="1:11" ht="24" x14ac:dyDescent="0.2">
      <c r="A131" s="862" t="s">
        <v>1352</v>
      </c>
      <c r="B131" s="806" t="s">
        <v>1237</v>
      </c>
      <c r="C131" s="806" t="s">
        <v>1238</v>
      </c>
      <c r="D131" s="416"/>
      <c r="E131" s="415"/>
      <c r="F131" s="937">
        <v>35062.160000000003</v>
      </c>
      <c r="G131" s="862" t="s">
        <v>1289</v>
      </c>
      <c r="H131" s="713" t="s">
        <v>1240</v>
      </c>
      <c r="I131" s="897" t="s">
        <v>1353</v>
      </c>
      <c r="J131" s="897" t="s">
        <v>1353</v>
      </c>
      <c r="K131" s="862"/>
    </row>
    <row r="132" spans="1:11" ht="24" x14ac:dyDescent="0.2">
      <c r="A132" s="862" t="s">
        <v>1352</v>
      </c>
      <c r="B132" s="806" t="s">
        <v>1249</v>
      </c>
      <c r="C132" s="806" t="s">
        <v>1354</v>
      </c>
      <c r="D132" s="416"/>
      <c r="E132" s="415"/>
      <c r="F132" s="937">
        <v>79717.600000000006</v>
      </c>
      <c r="G132" s="862" t="s">
        <v>1355</v>
      </c>
      <c r="H132" s="713" t="s">
        <v>1240</v>
      </c>
      <c r="I132" s="897" t="s">
        <v>1356</v>
      </c>
      <c r="J132" s="897" t="s">
        <v>1356</v>
      </c>
      <c r="K132" s="862"/>
    </row>
    <row r="133" spans="1:11" ht="24" x14ac:dyDescent="0.2">
      <c r="A133" s="862" t="s">
        <v>1352</v>
      </c>
      <c r="B133" s="806" t="s">
        <v>1249</v>
      </c>
      <c r="C133" s="806" t="s">
        <v>1354</v>
      </c>
      <c r="D133" s="416"/>
      <c r="E133" s="415"/>
      <c r="F133" s="937">
        <v>92250.81</v>
      </c>
      <c r="G133" s="862" t="s">
        <v>1268</v>
      </c>
      <c r="H133" s="713" t="s">
        <v>1240</v>
      </c>
      <c r="I133" s="897" t="s">
        <v>1356</v>
      </c>
      <c r="J133" s="897" t="s">
        <v>1356</v>
      </c>
      <c r="K133" s="862"/>
    </row>
    <row r="134" spans="1:11" ht="24" x14ac:dyDescent="0.2">
      <c r="A134" s="862" t="s">
        <v>1352</v>
      </c>
      <c r="B134" s="806" t="s">
        <v>1249</v>
      </c>
      <c r="C134" s="806" t="s">
        <v>1354</v>
      </c>
      <c r="D134" s="416"/>
      <c r="E134" s="415"/>
      <c r="F134" s="937">
        <v>167274.39000000001</v>
      </c>
      <c r="G134" s="862" t="s">
        <v>1251</v>
      </c>
      <c r="H134" s="713" t="s">
        <v>1240</v>
      </c>
      <c r="I134" s="897" t="s">
        <v>1356</v>
      </c>
      <c r="J134" s="897" t="s">
        <v>1356</v>
      </c>
      <c r="K134" s="862"/>
    </row>
    <row r="135" spans="1:11" ht="24" x14ac:dyDescent="0.2">
      <c r="A135" s="862" t="s">
        <v>1357</v>
      </c>
      <c r="B135" s="806" t="s">
        <v>1237</v>
      </c>
      <c r="C135" s="806" t="s">
        <v>1238</v>
      </c>
      <c r="D135" s="416"/>
      <c r="E135" s="415"/>
      <c r="F135" s="937">
        <v>19836</v>
      </c>
      <c r="G135" s="862" t="s">
        <v>1308</v>
      </c>
      <c r="H135" s="713" t="s">
        <v>1240</v>
      </c>
      <c r="I135" s="897" t="s">
        <v>1358</v>
      </c>
      <c r="J135" s="897" t="s">
        <v>1358</v>
      </c>
      <c r="K135" s="862"/>
    </row>
    <row r="136" spans="1:11" x14ac:dyDescent="0.2">
      <c r="A136" s="862" t="s">
        <v>1359</v>
      </c>
      <c r="B136" s="806" t="s">
        <v>1237</v>
      </c>
      <c r="C136" s="806" t="s">
        <v>1238</v>
      </c>
      <c r="D136" s="416"/>
      <c r="E136" s="415"/>
      <c r="F136" s="937">
        <v>4760</v>
      </c>
      <c r="G136" s="862" t="s">
        <v>1360</v>
      </c>
      <c r="H136" s="713" t="s">
        <v>1240</v>
      </c>
      <c r="I136" s="897" t="s">
        <v>1361</v>
      </c>
      <c r="J136" s="897" t="s">
        <v>1361</v>
      </c>
      <c r="K136" s="862"/>
    </row>
    <row r="137" spans="1:11" x14ac:dyDescent="0.2">
      <c r="A137" s="862" t="s">
        <v>1282</v>
      </c>
      <c r="B137" s="806" t="s">
        <v>1237</v>
      </c>
      <c r="C137" s="806" t="s">
        <v>1238</v>
      </c>
      <c r="D137" s="416"/>
      <c r="E137" s="415"/>
      <c r="F137" s="937">
        <v>5300</v>
      </c>
      <c r="G137" s="862" t="s">
        <v>1301</v>
      </c>
      <c r="H137" s="713" t="s">
        <v>1240</v>
      </c>
      <c r="I137" s="897" t="s">
        <v>1362</v>
      </c>
      <c r="J137" s="897" t="s">
        <v>1362</v>
      </c>
      <c r="K137" s="862"/>
    </row>
    <row r="138" spans="1:11" x14ac:dyDescent="0.2">
      <c r="A138" s="862" t="s">
        <v>1363</v>
      </c>
      <c r="B138" s="806" t="s">
        <v>1237</v>
      </c>
      <c r="C138" s="806" t="s">
        <v>1238</v>
      </c>
      <c r="D138" s="416"/>
      <c r="E138" s="415"/>
      <c r="F138" s="937">
        <v>5598</v>
      </c>
      <c r="G138" s="862" t="s">
        <v>1321</v>
      </c>
      <c r="H138" s="713" t="s">
        <v>1240</v>
      </c>
      <c r="I138" s="897" t="s">
        <v>1364</v>
      </c>
      <c r="J138" s="897" t="s">
        <v>1364</v>
      </c>
      <c r="K138" s="862"/>
    </row>
    <row r="139" spans="1:11" x14ac:dyDescent="0.2">
      <c r="A139" s="862" t="s">
        <v>1282</v>
      </c>
      <c r="B139" s="806" t="s">
        <v>1237</v>
      </c>
      <c r="C139" s="806" t="s">
        <v>1238</v>
      </c>
      <c r="D139" s="416"/>
      <c r="E139" s="415"/>
      <c r="F139" s="937">
        <v>5300</v>
      </c>
      <c r="G139" s="862" t="s">
        <v>1301</v>
      </c>
      <c r="H139" s="713" t="s">
        <v>1240</v>
      </c>
      <c r="I139" s="897" t="s">
        <v>1365</v>
      </c>
      <c r="J139" s="897" t="s">
        <v>1365</v>
      </c>
      <c r="K139" s="862"/>
    </row>
    <row r="140" spans="1:11" x14ac:dyDescent="0.2">
      <c r="A140" s="862" t="s">
        <v>1282</v>
      </c>
      <c r="B140" s="806" t="s">
        <v>1237</v>
      </c>
      <c r="C140" s="806" t="s">
        <v>1238</v>
      </c>
      <c r="D140" s="416"/>
      <c r="E140" s="415"/>
      <c r="F140" s="937">
        <v>5300</v>
      </c>
      <c r="G140" s="862" t="s">
        <v>1301</v>
      </c>
      <c r="H140" s="713" t="s">
        <v>1240</v>
      </c>
      <c r="I140" s="897" t="s">
        <v>1366</v>
      </c>
      <c r="J140" s="897" t="s">
        <v>1366</v>
      </c>
      <c r="K140" s="862"/>
    </row>
    <row r="141" spans="1:11" x14ac:dyDescent="0.2">
      <c r="A141" s="862" t="s">
        <v>1367</v>
      </c>
      <c r="B141" s="806" t="s">
        <v>1368</v>
      </c>
      <c r="C141" s="806" t="s">
        <v>1238</v>
      </c>
      <c r="D141" s="416"/>
      <c r="E141" s="415"/>
      <c r="F141" s="937">
        <v>298936</v>
      </c>
      <c r="G141" s="862" t="s">
        <v>1321</v>
      </c>
      <c r="H141" s="713" t="s">
        <v>1240</v>
      </c>
      <c r="I141" s="897" t="s">
        <v>1369</v>
      </c>
      <c r="J141" s="897" t="s">
        <v>1369</v>
      </c>
      <c r="K141" s="862"/>
    </row>
    <row r="142" spans="1:11" ht="24" x14ac:dyDescent="0.2">
      <c r="A142" s="862" t="s">
        <v>1282</v>
      </c>
      <c r="B142" s="806" t="s">
        <v>1249</v>
      </c>
      <c r="C142" s="806" t="s">
        <v>1370</v>
      </c>
      <c r="D142" s="416"/>
      <c r="E142" s="415"/>
      <c r="F142" s="937">
        <v>36000</v>
      </c>
      <c r="G142" s="862" t="s">
        <v>1283</v>
      </c>
      <c r="H142" s="713" t="s">
        <v>1240</v>
      </c>
      <c r="I142" s="897" t="s">
        <v>1371</v>
      </c>
      <c r="J142" s="897" t="s">
        <v>1371</v>
      </c>
      <c r="K142" s="862"/>
    </row>
    <row r="143" spans="1:11" ht="24" x14ac:dyDescent="0.2">
      <c r="A143" s="862" t="s">
        <v>1352</v>
      </c>
      <c r="B143" s="806" t="s">
        <v>1237</v>
      </c>
      <c r="C143" s="806" t="s">
        <v>1238</v>
      </c>
      <c r="D143" s="416"/>
      <c r="E143" s="415"/>
      <c r="F143" s="937">
        <v>24105.599999999999</v>
      </c>
      <c r="G143" s="862" t="s">
        <v>1289</v>
      </c>
      <c r="H143" s="713" t="s">
        <v>1240</v>
      </c>
      <c r="I143" s="897" t="s">
        <v>1372</v>
      </c>
      <c r="J143" s="897" t="s">
        <v>1372</v>
      </c>
      <c r="K143" s="862"/>
    </row>
    <row r="144" spans="1:11" ht="24" x14ac:dyDescent="0.2">
      <c r="A144" s="862" t="s">
        <v>1352</v>
      </c>
      <c r="B144" s="806" t="s">
        <v>1237</v>
      </c>
      <c r="C144" s="806" t="s">
        <v>1238</v>
      </c>
      <c r="D144" s="416"/>
      <c r="E144" s="415"/>
      <c r="F144" s="937">
        <v>16312.08</v>
      </c>
      <c r="G144" s="862" t="s">
        <v>1342</v>
      </c>
      <c r="H144" s="713" t="s">
        <v>1240</v>
      </c>
      <c r="I144" s="897" t="s">
        <v>1372</v>
      </c>
      <c r="J144" s="897" t="s">
        <v>1372</v>
      </c>
      <c r="K144" s="862"/>
    </row>
    <row r="145" spans="1:11" ht="24" x14ac:dyDescent="0.2">
      <c r="A145" s="862" t="s">
        <v>1352</v>
      </c>
      <c r="B145" s="806" t="s">
        <v>1237</v>
      </c>
      <c r="C145" s="806" t="s">
        <v>1238</v>
      </c>
      <c r="D145" s="416"/>
      <c r="E145" s="415"/>
      <c r="F145" s="937">
        <v>15949</v>
      </c>
      <c r="G145" s="862" t="s">
        <v>1296</v>
      </c>
      <c r="H145" s="713" t="s">
        <v>1240</v>
      </c>
      <c r="I145" s="897" t="s">
        <v>1372</v>
      </c>
      <c r="J145" s="897" t="s">
        <v>1372</v>
      </c>
      <c r="K145" s="862"/>
    </row>
    <row r="146" spans="1:11" ht="24" x14ac:dyDescent="0.2">
      <c r="A146" s="862" t="s">
        <v>1352</v>
      </c>
      <c r="B146" s="806" t="s">
        <v>1237</v>
      </c>
      <c r="C146" s="806" t="s">
        <v>1238</v>
      </c>
      <c r="D146" s="416"/>
      <c r="E146" s="415"/>
      <c r="F146" s="937">
        <v>20167.43</v>
      </c>
      <c r="G146" s="862" t="s">
        <v>1373</v>
      </c>
      <c r="H146" s="713" t="s">
        <v>1240</v>
      </c>
      <c r="I146" s="897" t="s">
        <v>1372</v>
      </c>
      <c r="J146" s="897" t="s">
        <v>1372</v>
      </c>
      <c r="K146" s="862"/>
    </row>
    <row r="147" spans="1:11" x14ac:dyDescent="0.2">
      <c r="A147" s="862" t="s">
        <v>1357</v>
      </c>
      <c r="B147" s="806" t="s">
        <v>1237</v>
      </c>
      <c r="C147" s="806" t="s">
        <v>1238</v>
      </c>
      <c r="D147" s="416"/>
      <c r="E147" s="415"/>
      <c r="F147" s="937">
        <v>5491</v>
      </c>
      <c r="G147" s="862" t="s">
        <v>1307</v>
      </c>
      <c r="H147" s="713" t="s">
        <v>1240</v>
      </c>
      <c r="I147" s="897" t="s">
        <v>1374</v>
      </c>
      <c r="J147" s="897" t="s">
        <v>1374</v>
      </c>
      <c r="K147" s="862"/>
    </row>
    <row r="148" spans="1:11" ht="24" x14ac:dyDescent="0.2">
      <c r="A148" s="862" t="s">
        <v>1375</v>
      </c>
      <c r="B148" s="806" t="s">
        <v>1237</v>
      </c>
      <c r="C148" s="806" t="s">
        <v>1238</v>
      </c>
      <c r="D148" s="416"/>
      <c r="E148" s="415"/>
      <c r="F148" s="937">
        <v>10420</v>
      </c>
      <c r="G148" s="862" t="s">
        <v>1334</v>
      </c>
      <c r="H148" s="713" t="s">
        <v>1240</v>
      </c>
      <c r="I148" s="897" t="s">
        <v>1376</v>
      </c>
      <c r="J148" s="897" t="s">
        <v>1376</v>
      </c>
      <c r="K148" s="862"/>
    </row>
    <row r="149" spans="1:11" ht="24" x14ac:dyDescent="0.2">
      <c r="A149" s="862" t="s">
        <v>1352</v>
      </c>
      <c r="B149" s="806" t="s">
        <v>1237</v>
      </c>
      <c r="C149" s="806" t="s">
        <v>1238</v>
      </c>
      <c r="D149" s="416"/>
      <c r="E149" s="415"/>
      <c r="F149" s="937">
        <v>9137.26</v>
      </c>
      <c r="G149" s="862" t="s">
        <v>1289</v>
      </c>
      <c r="H149" s="713" t="s">
        <v>1240</v>
      </c>
      <c r="I149" s="897" t="s">
        <v>1377</v>
      </c>
      <c r="J149" s="897" t="s">
        <v>1377</v>
      </c>
      <c r="K149" s="862"/>
    </row>
    <row r="150" spans="1:11" ht="24" x14ac:dyDescent="0.2">
      <c r="A150" s="862" t="s">
        <v>1352</v>
      </c>
      <c r="B150" s="806" t="s">
        <v>1237</v>
      </c>
      <c r="C150" s="806" t="s">
        <v>1238</v>
      </c>
      <c r="D150" s="416"/>
      <c r="E150" s="415"/>
      <c r="F150" s="937">
        <v>5699.8</v>
      </c>
      <c r="G150" s="862" t="s">
        <v>1342</v>
      </c>
      <c r="H150" s="713" t="s">
        <v>1240</v>
      </c>
      <c r="I150" s="897" t="s">
        <v>1377</v>
      </c>
      <c r="J150" s="897" t="s">
        <v>1377</v>
      </c>
      <c r="K150" s="862"/>
    </row>
    <row r="151" spans="1:11" ht="24" x14ac:dyDescent="0.2">
      <c r="A151" s="862" t="s">
        <v>1352</v>
      </c>
      <c r="B151" s="806" t="s">
        <v>1237</v>
      </c>
      <c r="C151" s="806" t="s">
        <v>1238</v>
      </c>
      <c r="D151" s="416"/>
      <c r="E151" s="415"/>
      <c r="F151" s="937">
        <v>6937.79</v>
      </c>
      <c r="G151" s="862" t="s">
        <v>1373</v>
      </c>
      <c r="H151" s="713" t="s">
        <v>1240</v>
      </c>
      <c r="I151" s="897" t="s">
        <v>1377</v>
      </c>
      <c r="J151" s="897" t="s">
        <v>1377</v>
      </c>
      <c r="K151" s="862"/>
    </row>
    <row r="152" spans="1:11" ht="24" x14ac:dyDescent="0.2">
      <c r="A152" s="862" t="s">
        <v>1352</v>
      </c>
      <c r="B152" s="806" t="s">
        <v>1237</v>
      </c>
      <c r="C152" s="806" t="s">
        <v>1238</v>
      </c>
      <c r="D152" s="416"/>
      <c r="E152" s="415"/>
      <c r="F152" s="937">
        <v>5741.07</v>
      </c>
      <c r="G152" s="862" t="s">
        <v>1296</v>
      </c>
      <c r="H152" s="713" t="s">
        <v>1240</v>
      </c>
      <c r="I152" s="897" t="s">
        <v>1377</v>
      </c>
      <c r="J152" s="897" t="s">
        <v>1377</v>
      </c>
      <c r="K152" s="862"/>
    </row>
    <row r="153" spans="1:11" ht="24" x14ac:dyDescent="0.2">
      <c r="A153" s="862" t="s">
        <v>1352</v>
      </c>
      <c r="B153" s="806" t="s">
        <v>1237</v>
      </c>
      <c r="C153" s="806" t="s">
        <v>1238</v>
      </c>
      <c r="D153" s="416"/>
      <c r="E153" s="415"/>
      <c r="F153" s="937">
        <v>5590.09</v>
      </c>
      <c r="G153" s="862" t="s">
        <v>1296</v>
      </c>
      <c r="H153" s="713" t="s">
        <v>1240</v>
      </c>
      <c r="I153" s="897" t="s">
        <v>1377</v>
      </c>
      <c r="J153" s="897" t="s">
        <v>1377</v>
      </c>
      <c r="K153" s="862"/>
    </row>
    <row r="154" spans="1:11" ht="24" x14ac:dyDescent="0.2">
      <c r="A154" s="862" t="s">
        <v>1378</v>
      </c>
      <c r="B154" s="806" t="s">
        <v>1237</v>
      </c>
      <c r="C154" s="806" t="s">
        <v>1238</v>
      </c>
      <c r="D154" s="416"/>
      <c r="E154" s="415"/>
      <c r="F154" s="937">
        <v>5500</v>
      </c>
      <c r="G154" s="862" t="s">
        <v>1379</v>
      </c>
      <c r="H154" s="713" t="s">
        <v>1240</v>
      </c>
      <c r="I154" s="897" t="s">
        <v>1380</v>
      </c>
      <c r="J154" s="897" t="s">
        <v>1380</v>
      </c>
      <c r="K154" s="862"/>
    </row>
    <row r="155" spans="1:11" ht="24" x14ac:dyDescent="0.2">
      <c r="A155" s="862" t="s">
        <v>1352</v>
      </c>
      <c r="B155" s="806" t="s">
        <v>1237</v>
      </c>
      <c r="C155" s="806" t="s">
        <v>1238</v>
      </c>
      <c r="D155" s="416"/>
      <c r="E155" s="415"/>
      <c r="F155" s="937">
        <v>13330.14</v>
      </c>
      <c r="G155" s="862" t="s">
        <v>1342</v>
      </c>
      <c r="H155" s="713" t="s">
        <v>1240</v>
      </c>
      <c r="I155" s="897" t="s">
        <v>1381</v>
      </c>
      <c r="J155" s="897" t="s">
        <v>1381</v>
      </c>
      <c r="K155" s="862"/>
    </row>
    <row r="156" spans="1:11" ht="24" x14ac:dyDescent="0.2">
      <c r="A156" s="862" t="s">
        <v>1382</v>
      </c>
      <c r="B156" s="806" t="s">
        <v>1237</v>
      </c>
      <c r="C156" s="806" t="s">
        <v>1238</v>
      </c>
      <c r="D156" s="416"/>
      <c r="E156" s="415"/>
      <c r="F156" s="937">
        <v>6000</v>
      </c>
      <c r="G156" s="862" t="s">
        <v>1263</v>
      </c>
      <c r="H156" s="713" t="s">
        <v>1240</v>
      </c>
      <c r="I156" s="897" t="s">
        <v>1383</v>
      </c>
      <c r="J156" s="897" t="s">
        <v>1383</v>
      </c>
      <c r="K156" s="862"/>
    </row>
    <row r="157" spans="1:11" x14ac:dyDescent="0.2">
      <c r="A157" s="862" t="s">
        <v>1357</v>
      </c>
      <c r="B157" s="806" t="s">
        <v>1237</v>
      </c>
      <c r="C157" s="806" t="s">
        <v>1238</v>
      </c>
      <c r="D157" s="416"/>
      <c r="E157" s="415"/>
      <c r="F157" s="937">
        <v>5276.92</v>
      </c>
      <c r="G157" s="862" t="s">
        <v>1310</v>
      </c>
      <c r="H157" s="713" t="s">
        <v>1240</v>
      </c>
      <c r="I157" s="897" t="s">
        <v>1383</v>
      </c>
      <c r="J157" s="897" t="s">
        <v>1383</v>
      </c>
      <c r="K157" s="862"/>
    </row>
    <row r="158" spans="1:11" x14ac:dyDescent="0.2">
      <c r="A158" s="915" t="s">
        <v>1384</v>
      </c>
      <c r="B158" s="915"/>
      <c r="C158" s="915"/>
      <c r="D158" s="915"/>
      <c r="E158" s="930"/>
      <c r="F158" s="931"/>
      <c r="G158" s="932"/>
      <c r="H158" s="930"/>
      <c r="I158" s="933"/>
      <c r="J158" s="933"/>
      <c r="K158" s="932"/>
    </row>
    <row r="159" spans="1:11" ht="84" x14ac:dyDescent="0.2">
      <c r="A159" s="862" t="s">
        <v>1385</v>
      </c>
      <c r="B159" s="806" t="s">
        <v>1249</v>
      </c>
      <c r="C159" s="806" t="s">
        <v>1386</v>
      </c>
      <c r="D159" s="416"/>
      <c r="E159" s="896" t="s">
        <v>1387</v>
      </c>
      <c r="F159" s="942">
        <v>399360</v>
      </c>
      <c r="G159" s="862" t="s">
        <v>1388</v>
      </c>
      <c r="H159" s="713" t="s">
        <v>1389</v>
      </c>
      <c r="I159" s="897">
        <v>43894</v>
      </c>
      <c r="J159" s="897" t="s">
        <v>1390</v>
      </c>
      <c r="K159" s="862" t="s">
        <v>1391</v>
      </c>
    </row>
    <row r="160" spans="1:11" ht="48" x14ac:dyDescent="0.2">
      <c r="A160" s="862" t="s">
        <v>1392</v>
      </c>
      <c r="B160" s="806" t="s">
        <v>1249</v>
      </c>
      <c r="C160" s="806" t="s">
        <v>1386</v>
      </c>
      <c r="D160" s="416"/>
      <c r="E160" s="896" t="s">
        <v>1393</v>
      </c>
      <c r="F160" s="942">
        <v>56000</v>
      </c>
      <c r="G160" s="862" t="s">
        <v>1394</v>
      </c>
      <c r="H160" s="713" t="s">
        <v>1389</v>
      </c>
      <c r="I160" s="897">
        <v>43909</v>
      </c>
      <c r="J160" s="897" t="s">
        <v>1395</v>
      </c>
      <c r="K160" s="862" t="s">
        <v>1396</v>
      </c>
    </row>
    <row r="161" spans="1:11" ht="56.25" x14ac:dyDescent="0.2">
      <c r="A161" s="862" t="s">
        <v>1397</v>
      </c>
      <c r="B161" s="806" t="s">
        <v>1368</v>
      </c>
      <c r="C161" s="806" t="s">
        <v>1386</v>
      </c>
      <c r="D161" s="416"/>
      <c r="E161" s="896" t="s">
        <v>1398</v>
      </c>
      <c r="F161" s="942">
        <v>218050</v>
      </c>
      <c r="G161" s="862" t="s">
        <v>1399</v>
      </c>
      <c r="H161" s="713" t="s">
        <v>1389</v>
      </c>
      <c r="I161" s="897">
        <v>43928</v>
      </c>
      <c r="J161" s="897">
        <v>43932</v>
      </c>
      <c r="K161" s="862" t="s">
        <v>1400</v>
      </c>
    </row>
    <row r="162" spans="1:11" ht="56.25" x14ac:dyDescent="0.2">
      <c r="A162" s="862" t="s">
        <v>1401</v>
      </c>
      <c r="B162" s="806" t="s">
        <v>1368</v>
      </c>
      <c r="C162" s="806" t="s">
        <v>1386</v>
      </c>
      <c r="D162" s="416"/>
      <c r="E162" s="896" t="s">
        <v>1402</v>
      </c>
      <c r="F162" s="942">
        <v>56960</v>
      </c>
      <c r="G162" s="862" t="s">
        <v>1403</v>
      </c>
      <c r="H162" s="713" t="s">
        <v>1389</v>
      </c>
      <c r="I162" s="897">
        <v>43929</v>
      </c>
      <c r="J162" s="897">
        <v>43932</v>
      </c>
      <c r="K162" s="862" t="s">
        <v>1400</v>
      </c>
    </row>
    <row r="163" spans="1:11" ht="56.25" x14ac:dyDescent="0.2">
      <c r="A163" s="862" t="s">
        <v>1404</v>
      </c>
      <c r="B163" s="806" t="s">
        <v>1368</v>
      </c>
      <c r="C163" s="806" t="s">
        <v>1386</v>
      </c>
      <c r="D163" s="416"/>
      <c r="E163" s="896" t="s">
        <v>1405</v>
      </c>
      <c r="F163" s="942">
        <v>129825.88</v>
      </c>
      <c r="G163" s="862" t="s">
        <v>1406</v>
      </c>
      <c r="H163" s="713" t="s">
        <v>1389</v>
      </c>
      <c r="I163" s="897">
        <v>43929</v>
      </c>
      <c r="J163" s="897">
        <v>43937</v>
      </c>
      <c r="K163" s="862" t="s">
        <v>1407</v>
      </c>
    </row>
    <row r="164" spans="1:11" ht="56.25" x14ac:dyDescent="0.2">
      <c r="A164" s="862" t="s">
        <v>1408</v>
      </c>
      <c r="B164" s="806" t="s">
        <v>1368</v>
      </c>
      <c r="C164" s="806" t="s">
        <v>1386</v>
      </c>
      <c r="D164" s="416"/>
      <c r="E164" s="896" t="s">
        <v>1409</v>
      </c>
      <c r="F164" s="942">
        <v>132776.5</v>
      </c>
      <c r="G164" s="862" t="s">
        <v>1410</v>
      </c>
      <c r="H164" s="713" t="s">
        <v>1389</v>
      </c>
      <c r="I164" s="897">
        <v>43944</v>
      </c>
      <c r="J164" s="897">
        <v>43957</v>
      </c>
      <c r="K164" s="862" t="s">
        <v>1400</v>
      </c>
    </row>
    <row r="165" spans="1:11" ht="56.25" x14ac:dyDescent="0.2">
      <c r="A165" s="862" t="s">
        <v>1411</v>
      </c>
      <c r="B165" s="806" t="s">
        <v>1368</v>
      </c>
      <c r="C165" s="806" t="s">
        <v>1386</v>
      </c>
      <c r="D165" s="416"/>
      <c r="E165" s="896" t="s">
        <v>1412</v>
      </c>
      <c r="F165" s="935">
        <v>120000</v>
      </c>
      <c r="G165" s="862" t="s">
        <v>1413</v>
      </c>
      <c r="H165" s="713" t="s">
        <v>1389</v>
      </c>
      <c r="I165" s="897">
        <v>43944</v>
      </c>
      <c r="J165" s="897">
        <v>43949</v>
      </c>
      <c r="K165" s="862" t="s">
        <v>1407</v>
      </c>
    </row>
    <row r="166" spans="1:11" ht="48" x14ac:dyDescent="0.2">
      <c r="A166" s="862" t="s">
        <v>1414</v>
      </c>
      <c r="B166" s="806" t="s">
        <v>1094</v>
      </c>
      <c r="C166" s="806" t="s">
        <v>1386</v>
      </c>
      <c r="D166" s="416"/>
      <c r="E166" s="713" t="s">
        <v>1415</v>
      </c>
      <c r="F166" s="935">
        <v>58909.8</v>
      </c>
      <c r="G166" s="862" t="s">
        <v>1416</v>
      </c>
      <c r="H166" s="713" t="s">
        <v>1417</v>
      </c>
      <c r="I166" s="897">
        <v>44257</v>
      </c>
      <c r="J166" s="897" t="s">
        <v>1418</v>
      </c>
      <c r="K166" s="862" t="s">
        <v>1419</v>
      </c>
    </row>
    <row r="167" spans="1:11" ht="60" x14ac:dyDescent="0.2">
      <c r="A167" s="862" t="s">
        <v>1420</v>
      </c>
      <c r="B167" s="806" t="s">
        <v>1368</v>
      </c>
      <c r="C167" s="806" t="s">
        <v>1386</v>
      </c>
      <c r="D167" s="416"/>
      <c r="E167" s="713" t="s">
        <v>1421</v>
      </c>
      <c r="F167" s="935">
        <v>134700</v>
      </c>
      <c r="G167" s="862" t="s">
        <v>1422</v>
      </c>
      <c r="H167" s="713" t="s">
        <v>1389</v>
      </c>
      <c r="I167" s="897">
        <v>44253</v>
      </c>
      <c r="J167" s="897">
        <v>44444</v>
      </c>
      <c r="K167" s="862" t="s">
        <v>1423</v>
      </c>
    </row>
    <row r="168" spans="1:11" ht="48" x14ac:dyDescent="0.2">
      <c r="A168" s="862" t="s">
        <v>1424</v>
      </c>
      <c r="B168" s="806" t="s">
        <v>1249</v>
      </c>
      <c r="C168" s="806" t="s">
        <v>1386</v>
      </c>
      <c r="D168" s="416"/>
      <c r="E168" s="713" t="s">
        <v>1425</v>
      </c>
      <c r="F168" s="935">
        <v>92698.9</v>
      </c>
      <c r="G168" s="862" t="s">
        <v>1426</v>
      </c>
      <c r="H168" s="713" t="s">
        <v>1389</v>
      </c>
      <c r="I168" s="897">
        <v>44295</v>
      </c>
      <c r="J168" s="897" t="s">
        <v>1427</v>
      </c>
      <c r="K168" s="862" t="s">
        <v>1428</v>
      </c>
    </row>
    <row r="169" spans="1:11" ht="36" x14ac:dyDescent="0.2">
      <c r="A169" s="862" t="s">
        <v>1429</v>
      </c>
      <c r="B169" s="806" t="s">
        <v>1094</v>
      </c>
      <c r="C169" s="806" t="s">
        <v>1386</v>
      </c>
      <c r="D169" s="416"/>
      <c r="E169" s="713"/>
      <c r="F169" s="935">
        <v>90000</v>
      </c>
      <c r="G169" s="862"/>
      <c r="H169" s="713" t="s">
        <v>1430</v>
      </c>
      <c r="I169" s="897">
        <v>2022</v>
      </c>
      <c r="J169" s="906"/>
      <c r="K169" s="862"/>
    </row>
    <row r="170" spans="1:11" ht="36" x14ac:dyDescent="0.2">
      <c r="A170" s="862" t="s">
        <v>1431</v>
      </c>
      <c r="B170" s="806" t="s">
        <v>1094</v>
      </c>
      <c r="C170" s="806" t="s">
        <v>1386</v>
      </c>
      <c r="D170" s="416"/>
      <c r="E170" s="713"/>
      <c r="F170" s="935">
        <v>144000</v>
      </c>
      <c r="G170" s="862"/>
      <c r="H170" s="713" t="s">
        <v>1430</v>
      </c>
      <c r="I170" s="897">
        <v>2022</v>
      </c>
      <c r="J170" s="906"/>
      <c r="K170" s="862"/>
    </row>
    <row r="171" spans="1:11" ht="36" x14ac:dyDescent="0.2">
      <c r="A171" s="862" t="s">
        <v>1432</v>
      </c>
      <c r="B171" s="806" t="s">
        <v>1249</v>
      </c>
      <c r="C171" s="806" t="s">
        <v>1386</v>
      </c>
      <c r="D171" s="416"/>
      <c r="E171" s="713"/>
      <c r="F171" s="935">
        <v>135000</v>
      </c>
      <c r="G171" s="862"/>
      <c r="H171" s="713" t="s">
        <v>1430</v>
      </c>
      <c r="I171" s="897">
        <v>2022</v>
      </c>
      <c r="J171" s="906"/>
      <c r="K171" s="862"/>
    </row>
    <row r="172" spans="1:11" ht="36" x14ac:dyDescent="0.2">
      <c r="A172" s="862" t="s">
        <v>1433</v>
      </c>
      <c r="B172" s="806" t="s">
        <v>1249</v>
      </c>
      <c r="C172" s="806" t="s">
        <v>1386</v>
      </c>
      <c r="D172" s="416"/>
      <c r="E172" s="713"/>
      <c r="F172" s="935">
        <v>270000</v>
      </c>
      <c r="G172" s="862"/>
      <c r="H172" s="713" t="s">
        <v>1430</v>
      </c>
      <c r="I172" s="897">
        <v>2022</v>
      </c>
      <c r="J172" s="906"/>
      <c r="K172" s="862"/>
    </row>
    <row r="173" spans="1:11" ht="36" x14ac:dyDescent="0.2">
      <c r="A173" s="862" t="s">
        <v>1434</v>
      </c>
      <c r="B173" s="806" t="s">
        <v>1249</v>
      </c>
      <c r="C173" s="806" t="s">
        <v>1386</v>
      </c>
      <c r="D173" s="416"/>
      <c r="E173" s="713"/>
      <c r="F173" s="935">
        <v>1560000</v>
      </c>
      <c r="G173" s="862"/>
      <c r="H173" s="713" t="s">
        <v>1430</v>
      </c>
      <c r="I173" s="897">
        <v>2022</v>
      </c>
      <c r="J173" s="906"/>
      <c r="K173" s="862"/>
    </row>
    <row r="174" spans="1:11" ht="60" x14ac:dyDescent="0.2">
      <c r="A174" s="862" t="s">
        <v>1435</v>
      </c>
      <c r="B174" s="806" t="s">
        <v>1249</v>
      </c>
      <c r="C174" s="806" t="s">
        <v>1386</v>
      </c>
      <c r="D174" s="416"/>
      <c r="E174" s="713"/>
      <c r="F174" s="935">
        <v>750000</v>
      </c>
      <c r="G174" s="862"/>
      <c r="H174" s="713" t="s">
        <v>1430</v>
      </c>
      <c r="I174" s="897">
        <v>2022</v>
      </c>
      <c r="J174" s="906"/>
      <c r="K174" s="862"/>
    </row>
    <row r="175" spans="1:11" ht="36" x14ac:dyDescent="0.2">
      <c r="A175" s="862" t="s">
        <v>1436</v>
      </c>
      <c r="B175" s="806" t="s">
        <v>1437</v>
      </c>
      <c r="C175" s="806" t="s">
        <v>1438</v>
      </c>
      <c r="D175" s="416"/>
      <c r="E175" s="713"/>
      <c r="F175" s="935">
        <v>300000</v>
      </c>
      <c r="G175" s="862"/>
      <c r="H175" s="713" t="s">
        <v>1430</v>
      </c>
      <c r="I175" s="897">
        <v>2022</v>
      </c>
      <c r="J175" s="906"/>
      <c r="K175" s="862"/>
    </row>
    <row r="176" spans="1:11" ht="36" x14ac:dyDescent="0.2">
      <c r="A176" s="862" t="s">
        <v>1439</v>
      </c>
      <c r="B176" s="806" t="s">
        <v>1440</v>
      </c>
      <c r="C176" s="806" t="s">
        <v>1386</v>
      </c>
      <c r="D176" s="416"/>
      <c r="E176" s="896"/>
      <c r="F176" s="942">
        <v>5616000</v>
      </c>
      <c r="G176" s="862"/>
      <c r="H176" s="713" t="s">
        <v>1430</v>
      </c>
      <c r="I176" s="897">
        <v>2022</v>
      </c>
      <c r="J176" s="906"/>
      <c r="K176" s="862"/>
    </row>
    <row r="177" spans="1:11" ht="36" x14ac:dyDescent="0.2">
      <c r="A177" s="862" t="s">
        <v>1441</v>
      </c>
      <c r="B177" s="806" t="s">
        <v>1442</v>
      </c>
      <c r="C177" s="806" t="s">
        <v>1386</v>
      </c>
      <c r="D177" s="416"/>
      <c r="E177" s="713"/>
      <c r="F177" s="935">
        <v>65000</v>
      </c>
      <c r="G177" s="862"/>
      <c r="H177" s="713" t="s">
        <v>1430</v>
      </c>
      <c r="I177" s="897">
        <v>2022</v>
      </c>
      <c r="J177" s="906"/>
      <c r="K177" s="862"/>
    </row>
    <row r="178" spans="1:11" x14ac:dyDescent="0.2">
      <c r="A178" s="915" t="s">
        <v>1443</v>
      </c>
      <c r="B178" s="915"/>
      <c r="C178" s="915"/>
      <c r="D178" s="915"/>
      <c r="E178" s="930"/>
      <c r="F178" s="931"/>
      <c r="G178" s="932"/>
      <c r="H178" s="930"/>
      <c r="I178" s="933"/>
      <c r="J178" s="933"/>
      <c r="K178" s="932"/>
    </row>
    <row r="179" spans="1:11" ht="48" x14ac:dyDescent="0.2">
      <c r="A179" s="916" t="s">
        <v>1444</v>
      </c>
      <c r="B179" s="898" t="s">
        <v>1445</v>
      </c>
      <c r="C179" s="898" t="s">
        <v>1446</v>
      </c>
      <c r="D179" s="416"/>
      <c r="E179" s="943">
        <v>1</v>
      </c>
      <c r="F179" s="899" t="s">
        <v>1447</v>
      </c>
      <c r="G179" s="908" t="s">
        <v>1448</v>
      </c>
      <c r="H179" s="943" t="s">
        <v>1449</v>
      </c>
      <c r="I179" s="944">
        <v>44077</v>
      </c>
      <c r="J179" s="945"/>
      <c r="K179" s="60"/>
    </row>
    <row r="180" spans="1:11" ht="72" x14ac:dyDescent="0.2">
      <c r="A180" s="916" t="s">
        <v>1450</v>
      </c>
      <c r="B180" s="898" t="s">
        <v>1451</v>
      </c>
      <c r="C180" s="898" t="s">
        <v>1446</v>
      </c>
      <c r="D180" s="416"/>
      <c r="E180" s="943">
        <v>1</v>
      </c>
      <c r="F180" s="900">
        <v>1390759.2</v>
      </c>
      <c r="G180" s="908" t="s">
        <v>1452</v>
      </c>
      <c r="H180" s="943" t="s">
        <v>1449</v>
      </c>
      <c r="I180" s="944">
        <v>44071</v>
      </c>
      <c r="J180" s="945"/>
      <c r="K180" s="60"/>
    </row>
    <row r="181" spans="1:11" ht="48" x14ac:dyDescent="0.2">
      <c r="A181" s="916" t="s">
        <v>1453</v>
      </c>
      <c r="B181" s="898" t="s">
        <v>1454</v>
      </c>
      <c r="C181" s="898" t="s">
        <v>1446</v>
      </c>
      <c r="D181" s="416"/>
      <c r="E181" s="943">
        <v>2</v>
      </c>
      <c r="F181" s="899">
        <v>198358</v>
      </c>
      <c r="G181" s="902" t="s">
        <v>1455</v>
      </c>
      <c r="H181" s="943" t="s">
        <v>1449</v>
      </c>
      <c r="I181" s="944">
        <v>44071</v>
      </c>
      <c r="J181" s="945"/>
      <c r="K181" s="60"/>
    </row>
    <row r="182" spans="1:11" ht="60" x14ac:dyDescent="0.2">
      <c r="A182" s="916" t="s">
        <v>1456</v>
      </c>
      <c r="B182" s="898" t="s">
        <v>1457</v>
      </c>
      <c r="C182" s="898" t="s">
        <v>1446</v>
      </c>
      <c r="D182" s="416"/>
      <c r="E182" s="943">
        <v>3</v>
      </c>
      <c r="F182" s="899">
        <v>1001360</v>
      </c>
      <c r="G182" s="902" t="s">
        <v>1458</v>
      </c>
      <c r="H182" s="943" t="s">
        <v>1449</v>
      </c>
      <c r="I182" s="944">
        <v>44071</v>
      </c>
      <c r="J182" s="945"/>
      <c r="K182" s="60"/>
    </row>
    <row r="183" spans="1:11" ht="72" x14ac:dyDescent="0.2">
      <c r="A183" s="916" t="s">
        <v>1459</v>
      </c>
      <c r="B183" s="898" t="s">
        <v>1460</v>
      </c>
      <c r="C183" s="898" t="s">
        <v>1446</v>
      </c>
      <c r="D183" s="416"/>
      <c r="E183" s="943">
        <v>4</v>
      </c>
      <c r="F183" s="899">
        <v>91798.1</v>
      </c>
      <c r="G183" s="908" t="s">
        <v>1461</v>
      </c>
      <c r="H183" s="943" t="s">
        <v>1449</v>
      </c>
      <c r="I183" s="944">
        <v>44071</v>
      </c>
      <c r="J183" s="945"/>
      <c r="K183" s="60"/>
    </row>
    <row r="184" spans="1:11" ht="72" x14ac:dyDescent="0.2">
      <c r="A184" s="916" t="s">
        <v>1462</v>
      </c>
      <c r="B184" s="898" t="s">
        <v>1463</v>
      </c>
      <c r="C184" s="898" t="s">
        <v>1446</v>
      </c>
      <c r="D184" s="416"/>
      <c r="E184" s="943">
        <v>6</v>
      </c>
      <c r="F184" s="899">
        <v>61826.1</v>
      </c>
      <c r="G184" s="902" t="s">
        <v>1464</v>
      </c>
      <c r="H184" s="943" t="s">
        <v>1449</v>
      </c>
      <c r="I184" s="944">
        <v>44077</v>
      </c>
      <c r="J184" s="944"/>
      <c r="K184" s="60"/>
    </row>
    <row r="185" spans="1:11" ht="72" x14ac:dyDescent="0.2">
      <c r="A185" s="916" t="s">
        <v>1465</v>
      </c>
      <c r="B185" s="898" t="s">
        <v>1466</v>
      </c>
      <c r="C185" s="898" t="s">
        <v>1446</v>
      </c>
      <c r="D185" s="416"/>
      <c r="E185" s="943">
        <v>7</v>
      </c>
      <c r="F185" s="900">
        <v>89001.5</v>
      </c>
      <c r="G185" s="902" t="s">
        <v>1467</v>
      </c>
      <c r="H185" s="943" t="s">
        <v>1449</v>
      </c>
      <c r="I185" s="944">
        <v>44081</v>
      </c>
      <c r="J185" s="944"/>
      <c r="K185" s="60"/>
    </row>
    <row r="186" spans="1:11" ht="36" x14ac:dyDescent="0.2">
      <c r="A186" s="916" t="s">
        <v>1468</v>
      </c>
      <c r="B186" s="898" t="s">
        <v>1469</v>
      </c>
      <c r="C186" s="898" t="s">
        <v>1446</v>
      </c>
      <c r="D186" s="416"/>
      <c r="E186" s="943">
        <v>9</v>
      </c>
      <c r="F186" s="899">
        <v>224314</v>
      </c>
      <c r="G186" s="902" t="s">
        <v>1470</v>
      </c>
      <c r="H186" s="943" t="s">
        <v>1449</v>
      </c>
      <c r="I186" s="944">
        <v>44102</v>
      </c>
      <c r="J186" s="944"/>
      <c r="K186" s="60"/>
    </row>
    <row r="187" spans="1:11" ht="48" x14ac:dyDescent="0.2">
      <c r="A187" s="916" t="s">
        <v>1471</v>
      </c>
      <c r="B187" s="898" t="s">
        <v>1472</v>
      </c>
      <c r="C187" s="898" t="s">
        <v>1446</v>
      </c>
      <c r="D187" s="416"/>
      <c r="E187" s="943">
        <v>8</v>
      </c>
      <c r="F187" s="899">
        <v>66167</v>
      </c>
      <c r="G187" s="902" t="s">
        <v>1473</v>
      </c>
      <c r="H187" s="943" t="s">
        <v>1449</v>
      </c>
      <c r="I187" s="946">
        <v>44091</v>
      </c>
      <c r="J187" s="944"/>
      <c r="K187" s="60"/>
    </row>
    <row r="188" spans="1:11" ht="36" x14ac:dyDescent="0.2">
      <c r="A188" s="916" t="s">
        <v>1474</v>
      </c>
      <c r="B188" s="898" t="s">
        <v>1475</v>
      </c>
      <c r="C188" s="898" t="s">
        <v>1446</v>
      </c>
      <c r="D188" s="416"/>
      <c r="E188" s="943">
        <v>10</v>
      </c>
      <c r="F188" s="900" t="s">
        <v>1476</v>
      </c>
      <c r="G188" s="902" t="s">
        <v>1477</v>
      </c>
      <c r="H188" s="943" t="s">
        <v>1449</v>
      </c>
      <c r="I188" s="946">
        <v>44098</v>
      </c>
      <c r="J188" s="944"/>
      <c r="K188" s="60"/>
    </row>
    <row r="189" spans="1:11" ht="48" x14ac:dyDescent="0.2">
      <c r="A189" s="916" t="s">
        <v>1478</v>
      </c>
      <c r="B189" s="898" t="s">
        <v>1479</v>
      </c>
      <c r="C189" s="898" t="s">
        <v>1446</v>
      </c>
      <c r="D189" s="416"/>
      <c r="E189" s="943">
        <v>11</v>
      </c>
      <c r="F189" s="900">
        <v>118640</v>
      </c>
      <c r="G189" s="902" t="s">
        <v>1480</v>
      </c>
      <c r="H189" s="943" t="s">
        <v>1449</v>
      </c>
      <c r="I189" s="946">
        <v>44175</v>
      </c>
      <c r="J189" s="944"/>
      <c r="K189" s="60"/>
    </row>
    <row r="190" spans="1:11" ht="48" x14ac:dyDescent="0.2">
      <c r="A190" s="916" t="s">
        <v>1481</v>
      </c>
      <c r="B190" s="898" t="s">
        <v>1482</v>
      </c>
      <c r="C190" s="898" t="s">
        <v>1446</v>
      </c>
      <c r="D190" s="416"/>
      <c r="E190" s="943">
        <v>1</v>
      </c>
      <c r="F190" s="900">
        <v>120500</v>
      </c>
      <c r="G190" s="902" t="s">
        <v>1483</v>
      </c>
      <c r="H190" s="943" t="s">
        <v>1449</v>
      </c>
      <c r="I190" s="944">
        <v>44182</v>
      </c>
      <c r="J190" s="944"/>
      <c r="K190" s="60"/>
    </row>
    <row r="191" spans="1:11" ht="36" x14ac:dyDescent="0.2">
      <c r="A191" s="1505" t="s">
        <v>1484</v>
      </c>
      <c r="B191" s="1506" t="s">
        <v>1485</v>
      </c>
      <c r="C191" s="1507" t="s">
        <v>1446</v>
      </c>
      <c r="D191" s="416"/>
      <c r="E191" s="1508">
        <v>1</v>
      </c>
      <c r="F191" s="899">
        <v>67000</v>
      </c>
      <c r="G191" s="916" t="s">
        <v>1486</v>
      </c>
      <c r="H191" s="943" t="s">
        <v>1449</v>
      </c>
      <c r="I191" s="944">
        <v>44328</v>
      </c>
      <c r="J191" s="944"/>
      <c r="K191" s="60"/>
    </row>
    <row r="192" spans="1:11" ht="36" x14ac:dyDescent="0.2">
      <c r="A192" s="1505"/>
      <c r="B192" s="1506"/>
      <c r="C192" s="1507"/>
      <c r="D192" s="416"/>
      <c r="E192" s="1508"/>
      <c r="F192" s="899"/>
      <c r="G192" s="916" t="s">
        <v>1487</v>
      </c>
      <c r="H192" s="943" t="s">
        <v>1449</v>
      </c>
      <c r="I192" s="944">
        <v>44328</v>
      </c>
      <c r="J192" s="944"/>
      <c r="K192" s="60"/>
    </row>
    <row r="193" spans="1:11" x14ac:dyDescent="0.2">
      <c r="A193" s="915" t="s">
        <v>1092</v>
      </c>
      <c r="B193" s="915"/>
      <c r="C193" s="915"/>
      <c r="D193" s="915"/>
      <c r="E193" s="930"/>
      <c r="F193" s="931"/>
      <c r="G193" s="932"/>
      <c r="H193" s="930"/>
      <c r="I193" s="933"/>
      <c r="J193" s="933"/>
      <c r="K193" s="932"/>
    </row>
    <row r="194" spans="1:11" ht="36" x14ac:dyDescent="0.2">
      <c r="A194" s="862" t="s">
        <v>1093</v>
      </c>
      <c r="B194" s="890" t="s">
        <v>1094</v>
      </c>
      <c r="C194" s="890" t="s">
        <v>1095</v>
      </c>
      <c r="D194" s="806" t="s">
        <v>1096</v>
      </c>
      <c r="E194" s="713">
        <v>2</v>
      </c>
      <c r="F194" s="934">
        <v>98637</v>
      </c>
      <c r="G194" s="60" t="s">
        <v>1097</v>
      </c>
      <c r="H194" s="713" t="s">
        <v>1098</v>
      </c>
      <c r="I194" s="897">
        <v>43917</v>
      </c>
      <c r="J194" s="906"/>
      <c r="K194" s="862" t="s">
        <v>1099</v>
      </c>
    </row>
    <row r="195" spans="1:11" ht="36" x14ac:dyDescent="0.2">
      <c r="A195" s="862" t="s">
        <v>1100</v>
      </c>
      <c r="B195" s="890" t="s">
        <v>1101</v>
      </c>
      <c r="C195" s="890" t="s">
        <v>1102</v>
      </c>
      <c r="D195" s="806" t="s">
        <v>1096</v>
      </c>
      <c r="E195" s="713">
        <v>1</v>
      </c>
      <c r="F195" s="934">
        <v>54000</v>
      </c>
      <c r="G195" s="862" t="s">
        <v>1103</v>
      </c>
      <c r="H195" s="713" t="s">
        <v>1098</v>
      </c>
      <c r="I195" s="897"/>
      <c r="J195" s="906"/>
      <c r="K195" s="862" t="s">
        <v>1104</v>
      </c>
    </row>
    <row r="196" spans="1:11" ht="36" x14ac:dyDescent="0.2">
      <c r="A196" s="862" t="s">
        <v>1105</v>
      </c>
      <c r="B196" s="890" t="s">
        <v>1042</v>
      </c>
      <c r="C196" s="890" t="s">
        <v>1106</v>
      </c>
      <c r="D196" s="806" t="s">
        <v>1107</v>
      </c>
      <c r="E196" s="713">
        <v>1</v>
      </c>
      <c r="F196" s="934">
        <v>42350</v>
      </c>
      <c r="G196" s="862" t="s">
        <v>1108</v>
      </c>
      <c r="H196" s="713" t="s">
        <v>1098</v>
      </c>
      <c r="I196" s="897">
        <v>43914</v>
      </c>
      <c r="J196" s="906"/>
      <c r="K196" s="862" t="s">
        <v>1104</v>
      </c>
    </row>
    <row r="197" spans="1:11" ht="48" x14ac:dyDescent="0.2">
      <c r="A197" s="890" t="s">
        <v>1109</v>
      </c>
      <c r="B197" s="890" t="s">
        <v>1094</v>
      </c>
      <c r="C197" s="890" t="s">
        <v>1110</v>
      </c>
      <c r="D197" s="806" t="s">
        <v>1096</v>
      </c>
      <c r="E197" s="713">
        <v>2</v>
      </c>
      <c r="F197" s="934">
        <v>35382.800000000003</v>
      </c>
      <c r="G197" s="862" t="s">
        <v>1111</v>
      </c>
      <c r="H197" s="713" t="s">
        <v>1098</v>
      </c>
      <c r="I197" s="897">
        <v>44348</v>
      </c>
      <c r="J197" s="906"/>
      <c r="K197" s="862" t="s">
        <v>1112</v>
      </c>
    </row>
    <row r="198" spans="1:11" ht="36" x14ac:dyDescent="0.2">
      <c r="A198" s="862" t="s">
        <v>1113</v>
      </c>
      <c r="B198" s="890" t="s">
        <v>1101</v>
      </c>
      <c r="C198" s="890" t="s">
        <v>1114</v>
      </c>
      <c r="D198" s="806" t="s">
        <v>1096</v>
      </c>
      <c r="E198" s="713">
        <v>1</v>
      </c>
      <c r="F198" s="934">
        <v>46907.3</v>
      </c>
      <c r="G198" s="862" t="s">
        <v>1115</v>
      </c>
      <c r="H198" s="713" t="s">
        <v>1098</v>
      </c>
      <c r="I198" s="897"/>
      <c r="J198" s="906"/>
      <c r="K198" s="862" t="s">
        <v>1104</v>
      </c>
    </row>
    <row r="199" spans="1:11" ht="36" x14ac:dyDescent="0.2">
      <c r="A199" s="862" t="s">
        <v>1116</v>
      </c>
      <c r="B199" s="890" t="s">
        <v>1117</v>
      </c>
      <c r="C199" s="890" t="s">
        <v>1118</v>
      </c>
      <c r="D199" s="806" t="s">
        <v>1096</v>
      </c>
      <c r="E199" s="713">
        <v>1</v>
      </c>
      <c r="F199" s="934">
        <v>99582.6</v>
      </c>
      <c r="G199" s="862" t="s">
        <v>1119</v>
      </c>
      <c r="H199" s="713" t="s">
        <v>1098</v>
      </c>
      <c r="I199" s="897"/>
      <c r="J199" s="906"/>
      <c r="K199" s="862" t="s">
        <v>1104</v>
      </c>
    </row>
    <row r="200" spans="1:11" ht="48" x14ac:dyDescent="0.2">
      <c r="A200" s="862" t="s">
        <v>1120</v>
      </c>
      <c r="B200" s="890" t="s">
        <v>1117</v>
      </c>
      <c r="C200" s="890" t="s">
        <v>1121</v>
      </c>
      <c r="D200" s="806" t="s">
        <v>1096</v>
      </c>
      <c r="E200" s="713">
        <v>1</v>
      </c>
      <c r="F200" s="934">
        <v>54027</v>
      </c>
      <c r="G200" s="862" t="s">
        <v>1122</v>
      </c>
      <c r="H200" s="713" t="s">
        <v>1098</v>
      </c>
      <c r="I200" s="897"/>
      <c r="J200" s="906"/>
      <c r="K200" s="862" t="s">
        <v>1104</v>
      </c>
    </row>
    <row r="201" spans="1:11" ht="56.25" x14ac:dyDescent="0.2">
      <c r="A201" s="891" t="s">
        <v>1123</v>
      </c>
      <c r="B201" s="890" t="s">
        <v>1094</v>
      </c>
      <c r="C201" s="890" t="s">
        <v>1124</v>
      </c>
      <c r="D201" s="806" t="s">
        <v>1096</v>
      </c>
      <c r="E201" s="713">
        <v>1</v>
      </c>
      <c r="F201" s="934">
        <v>38729.24</v>
      </c>
      <c r="G201" s="862" t="s">
        <v>1125</v>
      </c>
      <c r="H201" s="713" t="s">
        <v>1098</v>
      </c>
      <c r="I201" s="897">
        <v>44383</v>
      </c>
      <c r="J201" s="906"/>
      <c r="K201" s="862" t="s">
        <v>1126</v>
      </c>
    </row>
    <row r="202" spans="1:11" ht="36" x14ac:dyDescent="0.2">
      <c r="A202" s="862" t="s">
        <v>1127</v>
      </c>
      <c r="B202" s="890" t="s">
        <v>1101</v>
      </c>
      <c r="C202" s="890" t="s">
        <v>1128</v>
      </c>
      <c r="D202" s="806" t="s">
        <v>1096</v>
      </c>
      <c r="E202" s="713">
        <v>1</v>
      </c>
      <c r="F202" s="934">
        <v>63840</v>
      </c>
      <c r="G202" s="862" t="s">
        <v>1129</v>
      </c>
      <c r="H202" s="713" t="s">
        <v>1098</v>
      </c>
      <c r="I202" s="897"/>
      <c r="J202" s="906"/>
      <c r="K202" s="862" t="s">
        <v>1104</v>
      </c>
    </row>
    <row r="203" spans="1:11" ht="36" x14ac:dyDescent="0.2">
      <c r="A203" s="862" t="s">
        <v>1130</v>
      </c>
      <c r="B203" s="890" t="s">
        <v>1101</v>
      </c>
      <c r="C203" s="890" t="s">
        <v>1131</v>
      </c>
      <c r="D203" s="806" t="s">
        <v>1096</v>
      </c>
      <c r="E203" s="713">
        <v>1</v>
      </c>
      <c r="F203" s="934">
        <v>55440</v>
      </c>
      <c r="G203" s="862" t="s">
        <v>1132</v>
      </c>
      <c r="H203" s="713" t="s">
        <v>1098</v>
      </c>
      <c r="I203" s="897"/>
      <c r="J203" s="906"/>
      <c r="K203" s="862" t="s">
        <v>1104</v>
      </c>
    </row>
    <row r="204" spans="1:11" ht="36" x14ac:dyDescent="0.2">
      <c r="A204" s="862" t="s">
        <v>1133</v>
      </c>
      <c r="B204" s="890" t="s">
        <v>1101</v>
      </c>
      <c r="C204" s="890" t="s">
        <v>1134</v>
      </c>
      <c r="D204" s="806" t="s">
        <v>1096</v>
      </c>
      <c r="E204" s="713">
        <v>1</v>
      </c>
      <c r="F204" s="934">
        <v>62153.5</v>
      </c>
      <c r="G204" s="862" t="s">
        <v>1103</v>
      </c>
      <c r="H204" s="713" t="s">
        <v>1098</v>
      </c>
      <c r="I204" s="897"/>
      <c r="J204" s="906"/>
      <c r="K204" s="862" t="s">
        <v>1104</v>
      </c>
    </row>
    <row r="205" spans="1:11" ht="84" x14ac:dyDescent="0.2">
      <c r="A205" s="862" t="s">
        <v>1135</v>
      </c>
      <c r="B205" s="890" t="s">
        <v>1117</v>
      </c>
      <c r="C205" s="890" t="s">
        <v>1136</v>
      </c>
      <c r="D205" s="806" t="s">
        <v>1096</v>
      </c>
      <c r="E205" s="713">
        <v>1</v>
      </c>
      <c r="F205" s="934">
        <v>73500</v>
      </c>
      <c r="G205" s="862" t="s">
        <v>1137</v>
      </c>
      <c r="H205" s="713" t="s">
        <v>1098</v>
      </c>
      <c r="I205" s="897"/>
      <c r="J205" s="906"/>
      <c r="K205" s="862" t="s">
        <v>1104</v>
      </c>
    </row>
    <row r="206" spans="1:11" ht="48" x14ac:dyDescent="0.2">
      <c r="A206" s="862" t="s">
        <v>1138</v>
      </c>
      <c r="B206" s="890" t="s">
        <v>1117</v>
      </c>
      <c r="C206" s="890" t="s">
        <v>1139</v>
      </c>
      <c r="D206" s="806" t="s">
        <v>1107</v>
      </c>
      <c r="E206" s="713">
        <v>1</v>
      </c>
      <c r="F206" s="934">
        <v>70000</v>
      </c>
      <c r="G206" s="862" t="s">
        <v>1140</v>
      </c>
      <c r="H206" s="713" t="s">
        <v>1098</v>
      </c>
      <c r="I206" s="897">
        <v>44034</v>
      </c>
      <c r="J206" s="906"/>
      <c r="K206" s="862" t="s">
        <v>1141</v>
      </c>
    </row>
    <row r="207" spans="1:11" ht="45" x14ac:dyDescent="0.2">
      <c r="A207" s="891" t="s">
        <v>1142</v>
      </c>
      <c r="B207" s="890" t="s">
        <v>1117</v>
      </c>
      <c r="C207" s="890" t="s">
        <v>1143</v>
      </c>
      <c r="D207" s="806" t="s">
        <v>1096</v>
      </c>
      <c r="E207" s="713">
        <v>1</v>
      </c>
      <c r="F207" s="934">
        <v>115785</v>
      </c>
      <c r="G207" s="862" t="s">
        <v>1144</v>
      </c>
      <c r="H207" s="713" t="s">
        <v>1098</v>
      </c>
      <c r="I207" s="897"/>
      <c r="J207" s="906"/>
      <c r="K207" s="862" t="s">
        <v>1104</v>
      </c>
    </row>
    <row r="208" spans="1:11" ht="67.5" x14ac:dyDescent="0.2">
      <c r="A208" s="891" t="s">
        <v>1145</v>
      </c>
      <c r="B208" s="890" t="s">
        <v>1094</v>
      </c>
      <c r="C208" s="890" t="s">
        <v>1146</v>
      </c>
      <c r="D208" s="806" t="s">
        <v>1096</v>
      </c>
      <c r="E208" s="713">
        <v>1</v>
      </c>
      <c r="F208" s="934">
        <v>258300</v>
      </c>
      <c r="G208" s="862" t="s">
        <v>1147</v>
      </c>
      <c r="H208" s="713" t="s">
        <v>1098</v>
      </c>
      <c r="I208" s="897">
        <v>44062</v>
      </c>
      <c r="J208" s="906"/>
      <c r="K208" s="862" t="s">
        <v>1148</v>
      </c>
    </row>
    <row r="209" spans="1:11" ht="67.5" x14ac:dyDescent="0.2">
      <c r="A209" s="891" t="s">
        <v>1149</v>
      </c>
      <c r="B209" s="890" t="s">
        <v>1117</v>
      </c>
      <c r="C209" s="890" t="s">
        <v>1150</v>
      </c>
      <c r="D209" s="806" t="s">
        <v>1096</v>
      </c>
      <c r="E209" s="713">
        <v>1</v>
      </c>
      <c r="F209" s="934">
        <v>159500</v>
      </c>
      <c r="G209" s="862" t="s">
        <v>1151</v>
      </c>
      <c r="H209" s="713" t="s">
        <v>1098</v>
      </c>
      <c r="I209" s="897">
        <v>44055</v>
      </c>
      <c r="J209" s="906"/>
      <c r="K209" s="862" t="s">
        <v>1152</v>
      </c>
    </row>
    <row r="210" spans="1:11" ht="78.75" x14ac:dyDescent="0.2">
      <c r="A210" s="892" t="s">
        <v>1153</v>
      </c>
      <c r="B210" s="890" t="s">
        <v>1117</v>
      </c>
      <c r="C210" s="890" t="s">
        <v>1154</v>
      </c>
      <c r="D210" s="806" t="s">
        <v>1096</v>
      </c>
      <c r="E210" s="713">
        <v>1</v>
      </c>
      <c r="F210" s="934">
        <v>127920</v>
      </c>
      <c r="G210" s="862" t="s">
        <v>1155</v>
      </c>
      <c r="H210" s="713" t="s">
        <v>1098</v>
      </c>
      <c r="I210" s="897">
        <v>44055</v>
      </c>
      <c r="J210" s="906"/>
      <c r="K210" s="862" t="s">
        <v>1152</v>
      </c>
    </row>
    <row r="211" spans="1:11" ht="78.75" x14ac:dyDescent="0.2">
      <c r="A211" s="893" t="s">
        <v>1156</v>
      </c>
      <c r="B211" s="890" t="s">
        <v>1117</v>
      </c>
      <c r="C211" s="890" t="s">
        <v>1157</v>
      </c>
      <c r="D211" s="806" t="s">
        <v>1096</v>
      </c>
      <c r="E211" s="713">
        <v>1</v>
      </c>
      <c r="F211" s="934">
        <v>36200</v>
      </c>
      <c r="G211" s="862" t="s">
        <v>1158</v>
      </c>
      <c r="H211" s="713" t="s">
        <v>1098</v>
      </c>
      <c r="I211" s="897"/>
      <c r="J211" s="906"/>
      <c r="K211" s="862" t="s">
        <v>1104</v>
      </c>
    </row>
    <row r="212" spans="1:11" ht="56.25" x14ac:dyDescent="0.2">
      <c r="A212" s="891" t="s">
        <v>1159</v>
      </c>
      <c r="B212" s="890" t="s">
        <v>1117</v>
      </c>
      <c r="C212" s="890" t="s">
        <v>1160</v>
      </c>
      <c r="D212" s="806" t="s">
        <v>1096</v>
      </c>
      <c r="E212" s="713">
        <v>1</v>
      </c>
      <c r="F212" s="934">
        <v>104580</v>
      </c>
      <c r="G212" s="862" t="s">
        <v>1161</v>
      </c>
      <c r="H212" s="713" t="s">
        <v>1098</v>
      </c>
      <c r="I212" s="897"/>
      <c r="J212" s="906"/>
      <c r="K212" s="862" t="s">
        <v>1104</v>
      </c>
    </row>
    <row r="213" spans="1:11" ht="67.5" x14ac:dyDescent="0.2">
      <c r="A213" s="891" t="s">
        <v>1162</v>
      </c>
      <c r="B213" s="890" t="s">
        <v>1117</v>
      </c>
      <c r="C213" s="890" t="s">
        <v>1163</v>
      </c>
      <c r="D213" s="806" t="s">
        <v>1096</v>
      </c>
      <c r="E213" s="713">
        <v>1</v>
      </c>
      <c r="F213" s="934">
        <v>73000</v>
      </c>
      <c r="G213" s="862" t="s">
        <v>1164</v>
      </c>
      <c r="H213" s="713" t="s">
        <v>1098</v>
      </c>
      <c r="I213" s="897"/>
      <c r="J213" s="906"/>
      <c r="K213" s="862" t="s">
        <v>1104</v>
      </c>
    </row>
    <row r="214" spans="1:11" ht="56.25" x14ac:dyDescent="0.2">
      <c r="A214" s="892" t="s">
        <v>1165</v>
      </c>
      <c r="B214" s="890" t="s">
        <v>1117</v>
      </c>
      <c r="C214" s="890" t="s">
        <v>1166</v>
      </c>
      <c r="D214" s="806" t="s">
        <v>1096</v>
      </c>
      <c r="E214" s="713">
        <v>1</v>
      </c>
      <c r="F214" s="934">
        <v>218929.2</v>
      </c>
      <c r="G214" s="862" t="s">
        <v>1167</v>
      </c>
      <c r="H214" s="713" t="s">
        <v>1098</v>
      </c>
      <c r="I214" s="897"/>
      <c r="J214" s="906"/>
      <c r="K214" s="862" t="s">
        <v>1104</v>
      </c>
    </row>
    <row r="215" spans="1:11" ht="67.5" x14ac:dyDescent="0.2">
      <c r="A215" s="893" t="s">
        <v>1168</v>
      </c>
      <c r="B215" s="890" t="s">
        <v>1117</v>
      </c>
      <c r="C215" s="890" t="s">
        <v>1169</v>
      </c>
      <c r="D215" s="806" t="s">
        <v>1096</v>
      </c>
      <c r="E215" s="713">
        <v>1</v>
      </c>
      <c r="F215" s="934">
        <v>69187.8</v>
      </c>
      <c r="G215" s="862" t="s">
        <v>1170</v>
      </c>
      <c r="H215" s="713" t="s">
        <v>1098</v>
      </c>
      <c r="I215" s="897"/>
      <c r="J215" s="906"/>
      <c r="K215" s="862" t="s">
        <v>1104</v>
      </c>
    </row>
    <row r="216" spans="1:11" ht="67.5" x14ac:dyDescent="0.2">
      <c r="A216" s="891" t="s">
        <v>1171</v>
      </c>
      <c r="B216" s="890" t="s">
        <v>1117</v>
      </c>
      <c r="C216" s="890" t="s">
        <v>1172</v>
      </c>
      <c r="D216" s="806" t="s">
        <v>1096</v>
      </c>
      <c r="E216" s="713">
        <v>1</v>
      </c>
      <c r="F216" s="934">
        <v>97915.5</v>
      </c>
      <c r="G216" s="862" t="s">
        <v>1173</v>
      </c>
      <c r="H216" s="713" t="s">
        <v>1098</v>
      </c>
      <c r="I216" s="897"/>
      <c r="J216" s="906"/>
      <c r="K216" s="862" t="s">
        <v>1104</v>
      </c>
    </row>
    <row r="217" spans="1:11" ht="56.25" x14ac:dyDescent="0.2">
      <c r="A217" s="891" t="s">
        <v>1174</v>
      </c>
      <c r="B217" s="890" t="s">
        <v>1117</v>
      </c>
      <c r="C217" s="890" t="s">
        <v>1175</v>
      </c>
      <c r="D217" s="806" t="s">
        <v>1096</v>
      </c>
      <c r="E217" s="713">
        <v>1</v>
      </c>
      <c r="F217" s="934">
        <v>93744.3</v>
      </c>
      <c r="G217" s="862" t="s">
        <v>1176</v>
      </c>
      <c r="H217" s="713" t="s">
        <v>1098</v>
      </c>
      <c r="I217" s="897"/>
      <c r="J217" s="906"/>
      <c r="K217" s="862" t="s">
        <v>1104</v>
      </c>
    </row>
    <row r="218" spans="1:11" ht="45" x14ac:dyDescent="0.2">
      <c r="A218" s="891" t="s">
        <v>1177</v>
      </c>
      <c r="B218" s="890" t="s">
        <v>1101</v>
      </c>
      <c r="C218" s="890" t="s">
        <v>1178</v>
      </c>
      <c r="D218" s="806" t="s">
        <v>1096</v>
      </c>
      <c r="E218" s="713">
        <v>1</v>
      </c>
      <c r="F218" s="934">
        <v>40870</v>
      </c>
      <c r="G218" s="862" t="s">
        <v>1179</v>
      </c>
      <c r="H218" s="713" t="s">
        <v>1098</v>
      </c>
      <c r="I218" s="897"/>
      <c r="J218" s="906"/>
      <c r="K218" s="862" t="s">
        <v>1104</v>
      </c>
    </row>
    <row r="219" spans="1:11" ht="67.5" x14ac:dyDescent="0.2">
      <c r="A219" s="892" t="s">
        <v>1180</v>
      </c>
      <c r="B219" s="890" t="s">
        <v>1117</v>
      </c>
      <c r="C219" s="890" t="s">
        <v>1181</v>
      </c>
      <c r="D219" s="806" t="s">
        <v>1107</v>
      </c>
      <c r="E219" s="713">
        <v>1</v>
      </c>
      <c r="F219" s="894">
        <v>93270</v>
      </c>
      <c r="G219" s="862" t="s">
        <v>1182</v>
      </c>
      <c r="H219" s="713" t="s">
        <v>1098</v>
      </c>
      <c r="I219" s="897">
        <v>44112</v>
      </c>
      <c r="J219" s="906"/>
      <c r="K219" s="862" t="s">
        <v>1183</v>
      </c>
    </row>
    <row r="220" spans="1:11" ht="67.5" x14ac:dyDescent="0.2">
      <c r="A220" s="891" t="s">
        <v>1184</v>
      </c>
      <c r="B220" s="895" t="s">
        <v>1117</v>
      </c>
      <c r="C220" s="895" t="s">
        <v>1185</v>
      </c>
      <c r="D220" s="806" t="s">
        <v>1096</v>
      </c>
      <c r="E220" s="713">
        <v>1</v>
      </c>
      <c r="F220" s="934">
        <v>68000</v>
      </c>
      <c r="G220" s="862" t="s">
        <v>1186</v>
      </c>
      <c r="H220" s="713" t="s">
        <v>1098</v>
      </c>
      <c r="I220" s="897">
        <v>44151</v>
      </c>
      <c r="J220" s="906"/>
      <c r="K220" s="862" t="s">
        <v>1187</v>
      </c>
    </row>
    <row r="221" spans="1:11" ht="78.75" x14ac:dyDescent="0.2">
      <c r="A221" s="891" t="s">
        <v>1188</v>
      </c>
      <c r="B221" s="890" t="s">
        <v>1117</v>
      </c>
      <c r="C221" s="890" t="s">
        <v>1189</v>
      </c>
      <c r="D221" s="806" t="s">
        <v>1096</v>
      </c>
      <c r="E221" s="713">
        <v>1</v>
      </c>
      <c r="F221" s="934">
        <v>90000</v>
      </c>
      <c r="G221" s="862" t="s">
        <v>1182</v>
      </c>
      <c r="H221" s="713" t="s">
        <v>1098</v>
      </c>
      <c r="I221" s="897">
        <v>44189</v>
      </c>
      <c r="J221" s="906"/>
      <c r="K221" s="862" t="s">
        <v>1190</v>
      </c>
    </row>
    <row r="222" spans="1:11" ht="36" x14ac:dyDescent="0.2">
      <c r="A222" s="862" t="s">
        <v>1191</v>
      </c>
      <c r="B222" s="806" t="s">
        <v>1042</v>
      </c>
      <c r="C222" s="806" t="s">
        <v>1192</v>
      </c>
      <c r="D222" s="806" t="s">
        <v>1107</v>
      </c>
      <c r="E222" s="713">
        <v>1</v>
      </c>
      <c r="F222" s="935">
        <v>55783</v>
      </c>
      <c r="G222" s="862" t="s">
        <v>1193</v>
      </c>
      <c r="H222" s="713" t="s">
        <v>1098</v>
      </c>
      <c r="I222" s="897">
        <v>44270</v>
      </c>
      <c r="J222" s="906"/>
      <c r="K222" s="862" t="s">
        <v>1194</v>
      </c>
    </row>
    <row r="223" spans="1:11" ht="24" x14ac:dyDescent="0.2">
      <c r="A223" s="862" t="s">
        <v>1195</v>
      </c>
      <c r="B223" s="806" t="s">
        <v>1042</v>
      </c>
      <c r="C223" s="806" t="s">
        <v>1196</v>
      </c>
      <c r="D223" s="806" t="s">
        <v>1107</v>
      </c>
      <c r="E223" s="713">
        <v>1</v>
      </c>
      <c r="F223" s="935">
        <v>44057</v>
      </c>
      <c r="G223" s="862" t="s">
        <v>1197</v>
      </c>
      <c r="H223" s="713" t="s">
        <v>1098</v>
      </c>
      <c r="I223" s="897"/>
      <c r="J223" s="906"/>
      <c r="K223" s="862"/>
    </row>
    <row r="224" spans="1:11" ht="36" x14ac:dyDescent="0.2">
      <c r="A224" s="862" t="s">
        <v>1198</v>
      </c>
      <c r="B224" s="806" t="s">
        <v>1101</v>
      </c>
      <c r="C224" s="806" t="s">
        <v>1199</v>
      </c>
      <c r="D224" s="806" t="s">
        <v>1096</v>
      </c>
      <c r="E224" s="713">
        <v>1</v>
      </c>
      <c r="F224" s="935">
        <v>60863.05</v>
      </c>
      <c r="G224" s="862" t="s">
        <v>1200</v>
      </c>
      <c r="H224" s="713" t="s">
        <v>1098</v>
      </c>
      <c r="I224" s="897"/>
      <c r="J224" s="906"/>
      <c r="K224" s="862"/>
    </row>
    <row r="225" spans="1:11" ht="24" x14ac:dyDescent="0.2">
      <c r="A225" s="862" t="s">
        <v>1201</v>
      </c>
      <c r="B225" s="806" t="s">
        <v>1042</v>
      </c>
      <c r="C225" s="806"/>
      <c r="D225" s="806" t="s">
        <v>1096</v>
      </c>
      <c r="E225" s="713">
        <v>1</v>
      </c>
      <c r="F225" s="936"/>
      <c r="G225" s="862"/>
      <c r="H225" s="713" t="s">
        <v>1202</v>
      </c>
      <c r="I225" s="897"/>
      <c r="J225" s="906"/>
      <c r="K225" s="862" t="s">
        <v>1203</v>
      </c>
    </row>
    <row r="226" spans="1:11" ht="48" x14ac:dyDescent="0.2">
      <c r="A226" s="862" t="s">
        <v>1204</v>
      </c>
      <c r="B226" s="806" t="s">
        <v>1117</v>
      </c>
      <c r="C226" s="806" t="s">
        <v>1205</v>
      </c>
      <c r="D226" s="806" t="s">
        <v>1096</v>
      </c>
      <c r="E226" s="713">
        <v>1</v>
      </c>
      <c r="F226" s="935">
        <v>224750.53</v>
      </c>
      <c r="G226" s="862" t="s">
        <v>1206</v>
      </c>
      <c r="H226" s="713" t="s">
        <v>1098</v>
      </c>
      <c r="I226" s="897"/>
      <c r="J226" s="906"/>
      <c r="K226" s="862"/>
    </row>
    <row r="227" spans="1:11" ht="36" x14ac:dyDescent="0.2">
      <c r="A227" s="416" t="s">
        <v>1207</v>
      </c>
      <c r="B227" s="806" t="s">
        <v>1042</v>
      </c>
      <c r="C227" s="806"/>
      <c r="D227" s="806" t="s">
        <v>1096</v>
      </c>
      <c r="E227" s="713">
        <v>1</v>
      </c>
      <c r="F227" s="936"/>
      <c r="G227" s="862"/>
      <c r="H227" s="713" t="s">
        <v>1202</v>
      </c>
      <c r="I227" s="897"/>
      <c r="J227" s="906"/>
      <c r="K227" s="862" t="s">
        <v>1203</v>
      </c>
    </row>
    <row r="228" spans="1:11" ht="36" x14ac:dyDescent="0.2">
      <c r="A228" s="862" t="s">
        <v>1208</v>
      </c>
      <c r="B228" s="806" t="s">
        <v>1209</v>
      </c>
      <c r="C228" s="806"/>
      <c r="D228" s="806" t="s">
        <v>1096</v>
      </c>
      <c r="E228" s="713">
        <v>1</v>
      </c>
      <c r="F228" s="936"/>
      <c r="G228" s="862"/>
      <c r="H228" s="713" t="s">
        <v>1098</v>
      </c>
      <c r="I228" s="897"/>
      <c r="J228" s="906"/>
      <c r="K228" s="862" t="s">
        <v>1210</v>
      </c>
    </row>
    <row r="229" spans="1:11" ht="24" x14ac:dyDescent="0.2">
      <c r="A229" s="862" t="s">
        <v>1211</v>
      </c>
      <c r="B229" s="806" t="s">
        <v>1209</v>
      </c>
      <c r="C229" s="806"/>
      <c r="D229" s="806" t="s">
        <v>1096</v>
      </c>
      <c r="E229" s="713">
        <v>1</v>
      </c>
      <c r="F229" s="936"/>
      <c r="G229" s="862"/>
      <c r="H229" s="713" t="s">
        <v>1098</v>
      </c>
      <c r="I229" s="897"/>
      <c r="J229" s="906"/>
      <c r="K229" s="862" t="s">
        <v>1210</v>
      </c>
    </row>
    <row r="230" spans="1:11" ht="36" x14ac:dyDescent="0.2">
      <c r="A230" s="862" t="s">
        <v>1212</v>
      </c>
      <c r="B230" s="806" t="s">
        <v>1209</v>
      </c>
      <c r="C230" s="806"/>
      <c r="D230" s="806" t="s">
        <v>1107</v>
      </c>
      <c r="E230" s="713">
        <v>1</v>
      </c>
      <c r="F230" s="936"/>
      <c r="G230" s="862"/>
      <c r="H230" s="713" t="s">
        <v>1098</v>
      </c>
      <c r="I230" s="897"/>
      <c r="J230" s="906"/>
      <c r="K230" s="862" t="s">
        <v>1210</v>
      </c>
    </row>
    <row r="231" spans="1:11" ht="60" x14ac:dyDescent="0.2">
      <c r="A231" s="416" t="s">
        <v>1213</v>
      </c>
      <c r="B231" s="806" t="s">
        <v>1117</v>
      </c>
      <c r="C231" s="806" t="s">
        <v>1214</v>
      </c>
      <c r="D231" s="806" t="s">
        <v>1107</v>
      </c>
      <c r="E231" s="713">
        <v>1</v>
      </c>
      <c r="F231" s="935">
        <v>264134</v>
      </c>
      <c r="G231" s="862" t="s">
        <v>1182</v>
      </c>
      <c r="H231" s="713" t="s">
        <v>1098</v>
      </c>
      <c r="I231" s="897">
        <v>44267</v>
      </c>
      <c r="J231" s="906"/>
      <c r="K231" s="862" t="s">
        <v>1215</v>
      </c>
    </row>
    <row r="232" spans="1:11" ht="48" x14ac:dyDescent="0.2">
      <c r="A232" s="862" t="s">
        <v>1216</v>
      </c>
      <c r="B232" s="806" t="s">
        <v>1042</v>
      </c>
      <c r="C232" s="806" t="s">
        <v>1217</v>
      </c>
      <c r="D232" s="806" t="s">
        <v>1107</v>
      </c>
      <c r="E232" s="713">
        <v>3</v>
      </c>
      <c r="F232" s="936"/>
      <c r="G232" s="862"/>
      <c r="H232" s="713" t="s">
        <v>1218</v>
      </c>
      <c r="I232" s="897"/>
      <c r="J232" s="906"/>
      <c r="K232" s="862" t="s">
        <v>1219</v>
      </c>
    </row>
    <row r="233" spans="1:11" ht="60" x14ac:dyDescent="0.2">
      <c r="A233" s="862" t="s">
        <v>1220</v>
      </c>
      <c r="B233" s="806" t="s">
        <v>1117</v>
      </c>
      <c r="C233" s="806" t="s">
        <v>1221</v>
      </c>
      <c r="D233" s="806" t="s">
        <v>1107</v>
      </c>
      <c r="E233" s="713">
        <v>1</v>
      </c>
      <c r="F233" s="935">
        <v>140000</v>
      </c>
      <c r="G233" s="862" t="s">
        <v>1182</v>
      </c>
      <c r="H233" s="713" t="s">
        <v>1098</v>
      </c>
      <c r="I233" s="897"/>
      <c r="J233" s="906"/>
      <c r="K233" s="862" t="s">
        <v>1222</v>
      </c>
    </row>
    <row r="234" spans="1:11" ht="36" x14ac:dyDescent="0.2">
      <c r="A234" s="862" t="s">
        <v>1223</v>
      </c>
      <c r="B234" s="806" t="s">
        <v>1101</v>
      </c>
      <c r="C234" s="806" t="s">
        <v>1224</v>
      </c>
      <c r="D234" s="806" t="s">
        <v>1096</v>
      </c>
      <c r="E234" s="713">
        <v>1</v>
      </c>
      <c r="F234" s="935">
        <v>65406</v>
      </c>
      <c r="G234" s="862" t="s">
        <v>1225</v>
      </c>
      <c r="H234" s="713" t="s">
        <v>1098</v>
      </c>
      <c r="I234" s="897"/>
      <c r="J234" s="906"/>
      <c r="K234" s="862"/>
    </row>
    <row r="235" spans="1:11" ht="48" x14ac:dyDescent="0.2">
      <c r="A235" s="862" t="s">
        <v>1226</v>
      </c>
      <c r="B235" s="806" t="s">
        <v>1101</v>
      </c>
      <c r="C235" s="806" t="s">
        <v>1227</v>
      </c>
      <c r="D235" s="806" t="s">
        <v>1096</v>
      </c>
      <c r="E235" s="713">
        <v>1</v>
      </c>
      <c r="F235" s="935">
        <v>59884</v>
      </c>
      <c r="G235" s="862" t="s">
        <v>1228</v>
      </c>
      <c r="H235" s="713" t="s">
        <v>1098</v>
      </c>
      <c r="I235" s="897"/>
      <c r="J235" s="906"/>
      <c r="K235" s="862"/>
    </row>
    <row r="236" spans="1:11" ht="36" x14ac:dyDescent="0.2">
      <c r="A236" s="862" t="s">
        <v>1229</v>
      </c>
      <c r="B236" s="806" t="s">
        <v>1101</v>
      </c>
      <c r="C236" s="806" t="s">
        <v>1230</v>
      </c>
      <c r="D236" s="806" t="s">
        <v>1107</v>
      </c>
      <c r="E236" s="713">
        <v>1</v>
      </c>
      <c r="F236" s="935">
        <v>61600</v>
      </c>
      <c r="G236" s="862" t="s">
        <v>1231</v>
      </c>
      <c r="H236" s="713" t="s">
        <v>1098</v>
      </c>
      <c r="I236" s="897"/>
      <c r="J236" s="906"/>
      <c r="K236" s="862"/>
    </row>
    <row r="237" spans="1:11" ht="48" x14ac:dyDescent="0.2">
      <c r="A237" s="862" t="s">
        <v>1232</v>
      </c>
      <c r="B237" s="806" t="s">
        <v>1101</v>
      </c>
      <c r="C237" s="806" t="s">
        <v>1233</v>
      </c>
      <c r="D237" s="806" t="s">
        <v>1107</v>
      </c>
      <c r="E237" s="713">
        <v>1</v>
      </c>
      <c r="F237" s="935">
        <v>64988.19</v>
      </c>
      <c r="G237" s="862" t="s">
        <v>1234</v>
      </c>
      <c r="H237" s="713" t="s">
        <v>1098</v>
      </c>
      <c r="I237" s="897"/>
      <c r="J237" s="906"/>
      <c r="K237" s="862"/>
    </row>
    <row r="238" spans="1:11" x14ac:dyDescent="0.2">
      <c r="A238" s="915" t="s">
        <v>1488</v>
      </c>
      <c r="B238" s="915"/>
      <c r="C238" s="915"/>
      <c r="D238" s="915"/>
      <c r="E238" s="930"/>
      <c r="F238" s="931"/>
      <c r="G238" s="932"/>
      <c r="H238" s="930"/>
      <c r="I238" s="933"/>
      <c r="J238" s="933"/>
      <c r="K238" s="932"/>
    </row>
    <row r="239" spans="1:11" x14ac:dyDescent="0.2">
      <c r="A239" s="862" t="s">
        <v>1489</v>
      </c>
      <c r="B239" s="806" t="s">
        <v>1490</v>
      </c>
      <c r="C239" s="806" t="s">
        <v>1491</v>
      </c>
      <c r="D239" s="416"/>
      <c r="E239" s="713">
        <v>1</v>
      </c>
      <c r="F239" s="947">
        <v>111257.9</v>
      </c>
      <c r="G239" s="862"/>
      <c r="H239" s="713" t="s">
        <v>1492</v>
      </c>
      <c r="I239" s="897"/>
      <c r="J239" s="897"/>
      <c r="K239" s="862"/>
    </row>
    <row r="240" spans="1:11" x14ac:dyDescent="0.2">
      <c r="A240" s="862" t="s">
        <v>1493</v>
      </c>
      <c r="B240" s="806" t="s">
        <v>1490</v>
      </c>
      <c r="C240" s="806" t="s">
        <v>1491</v>
      </c>
      <c r="D240" s="416"/>
      <c r="E240" s="713">
        <v>2</v>
      </c>
      <c r="F240" s="947">
        <v>54250</v>
      </c>
      <c r="G240" s="862"/>
      <c r="H240" s="713" t="s">
        <v>1492</v>
      </c>
      <c r="I240" s="897"/>
      <c r="J240" s="897"/>
      <c r="K240" s="862"/>
    </row>
    <row r="241" spans="1:11" x14ac:dyDescent="0.2">
      <c r="A241" s="862" t="s">
        <v>1494</v>
      </c>
      <c r="B241" s="806" t="s">
        <v>1490</v>
      </c>
      <c r="C241" s="806" t="s">
        <v>1491</v>
      </c>
      <c r="D241" s="416"/>
      <c r="E241" s="713">
        <v>3</v>
      </c>
      <c r="F241" s="947">
        <v>30000</v>
      </c>
      <c r="G241" s="862"/>
      <c r="H241" s="713" t="s">
        <v>1492</v>
      </c>
      <c r="I241" s="897"/>
      <c r="J241" s="897"/>
      <c r="K241" s="862"/>
    </row>
    <row r="242" spans="1:11" x14ac:dyDescent="0.2">
      <c r="A242" s="862" t="s">
        <v>1495</v>
      </c>
      <c r="B242" s="806" t="s">
        <v>1496</v>
      </c>
      <c r="C242" s="806" t="s">
        <v>1491</v>
      </c>
      <c r="D242" s="416"/>
      <c r="E242" s="713">
        <v>4</v>
      </c>
      <c r="F242" s="947">
        <v>30315</v>
      </c>
      <c r="G242" s="862">
        <v>20601701945</v>
      </c>
      <c r="H242" s="713" t="s">
        <v>1492</v>
      </c>
      <c r="I242" s="897">
        <v>44147</v>
      </c>
      <c r="J242" s="897">
        <v>44150</v>
      </c>
      <c r="K242" s="862"/>
    </row>
    <row r="243" spans="1:11" x14ac:dyDescent="0.2">
      <c r="A243" s="862" t="s">
        <v>1497</v>
      </c>
      <c r="B243" s="806" t="s">
        <v>1496</v>
      </c>
      <c r="C243" s="806" t="s">
        <v>1491</v>
      </c>
      <c r="D243" s="416"/>
      <c r="E243" s="713">
        <v>5</v>
      </c>
      <c r="F243" s="947">
        <v>102750</v>
      </c>
      <c r="G243" s="862">
        <v>10723538641</v>
      </c>
      <c r="H243" s="713" t="s">
        <v>1492</v>
      </c>
      <c r="I243" s="897">
        <v>44152</v>
      </c>
      <c r="J243" s="897">
        <v>44155</v>
      </c>
      <c r="K243" s="862"/>
    </row>
    <row r="244" spans="1:11" x14ac:dyDescent="0.2">
      <c r="A244" s="862"/>
      <c r="B244" s="806"/>
      <c r="C244" s="806"/>
      <c r="D244" s="416"/>
      <c r="E244" s="713"/>
      <c r="F244" s="936"/>
      <c r="G244" s="862"/>
      <c r="H244" s="713"/>
      <c r="I244" s="906"/>
      <c r="J244" s="906"/>
      <c r="K244" s="862"/>
    </row>
    <row r="245" spans="1:11" x14ac:dyDescent="0.2">
      <c r="A245" s="862" t="s">
        <v>1489</v>
      </c>
      <c r="B245" s="806" t="s">
        <v>1490</v>
      </c>
      <c r="C245" s="806" t="s">
        <v>1491</v>
      </c>
      <c r="D245" s="416"/>
      <c r="E245" s="713">
        <v>1</v>
      </c>
      <c r="F245" s="947">
        <v>36844</v>
      </c>
      <c r="G245" s="862"/>
      <c r="H245" s="713" t="s">
        <v>1492</v>
      </c>
      <c r="I245" s="897"/>
      <c r="J245" s="897"/>
      <c r="K245" s="862"/>
    </row>
    <row r="246" spans="1:11" x14ac:dyDescent="0.2">
      <c r="A246" s="862" t="s">
        <v>1498</v>
      </c>
      <c r="B246" s="806" t="s">
        <v>1490</v>
      </c>
      <c r="C246" s="806" t="s">
        <v>1491</v>
      </c>
      <c r="D246" s="416"/>
      <c r="E246" s="713">
        <v>2</v>
      </c>
      <c r="F246" s="947">
        <v>4400</v>
      </c>
      <c r="G246" s="862"/>
      <c r="H246" s="713" t="s">
        <v>1492</v>
      </c>
      <c r="I246" s="897"/>
      <c r="J246" s="897"/>
      <c r="K246" s="862"/>
    </row>
    <row r="247" spans="1:11" x14ac:dyDescent="0.2">
      <c r="A247" s="862" t="s">
        <v>1499</v>
      </c>
      <c r="B247" s="806" t="s">
        <v>1490</v>
      </c>
      <c r="C247" s="806" t="s">
        <v>1491</v>
      </c>
      <c r="D247" s="416"/>
      <c r="E247" s="713">
        <v>3</v>
      </c>
      <c r="F247" s="947">
        <v>65000</v>
      </c>
      <c r="G247" s="862"/>
      <c r="H247" s="713" t="s">
        <v>1500</v>
      </c>
      <c r="I247" s="897"/>
      <c r="J247" s="897"/>
      <c r="K247" s="862"/>
    </row>
    <row r="248" spans="1:11" x14ac:dyDescent="0.2">
      <c r="A248" s="862" t="s">
        <v>1501</v>
      </c>
      <c r="B248" s="806" t="s">
        <v>1496</v>
      </c>
      <c r="C248" s="806" t="s">
        <v>1491</v>
      </c>
      <c r="D248" s="416"/>
      <c r="E248" s="713">
        <v>4</v>
      </c>
      <c r="F248" s="947">
        <v>39954.9</v>
      </c>
      <c r="G248" s="862">
        <v>20603559607</v>
      </c>
      <c r="H248" s="713" t="s">
        <v>1492</v>
      </c>
      <c r="I248" s="897">
        <v>44372</v>
      </c>
      <c r="J248" s="897">
        <v>44377</v>
      </c>
      <c r="K248" s="862"/>
    </row>
    <row r="249" spans="1:11" ht="24" x14ac:dyDescent="0.2">
      <c r="A249" s="862" t="s">
        <v>1489</v>
      </c>
      <c r="B249" s="806" t="s">
        <v>1490</v>
      </c>
      <c r="C249" s="806" t="s">
        <v>1491</v>
      </c>
      <c r="D249" s="416"/>
      <c r="E249" s="713">
        <v>1</v>
      </c>
      <c r="F249" s="947">
        <v>60000</v>
      </c>
      <c r="G249" s="862"/>
      <c r="H249" s="713"/>
      <c r="I249" s="897"/>
      <c r="J249" s="897"/>
      <c r="K249" s="862" t="s">
        <v>1502</v>
      </c>
    </row>
    <row r="250" spans="1:11" x14ac:dyDescent="0.2">
      <c r="A250" s="862" t="s">
        <v>1498</v>
      </c>
      <c r="B250" s="806" t="s">
        <v>1490</v>
      </c>
      <c r="C250" s="806" t="s">
        <v>1491</v>
      </c>
      <c r="D250" s="416"/>
      <c r="E250" s="713">
        <v>2</v>
      </c>
      <c r="F250" s="947">
        <v>8000</v>
      </c>
      <c r="G250" s="862"/>
      <c r="H250" s="713"/>
      <c r="I250" s="897"/>
      <c r="J250" s="897"/>
      <c r="K250" s="862"/>
    </row>
    <row r="251" spans="1:11" x14ac:dyDescent="0.2">
      <c r="A251" s="862" t="s">
        <v>1499</v>
      </c>
      <c r="B251" s="806" t="s">
        <v>1490</v>
      </c>
      <c r="C251" s="806" t="s">
        <v>1491</v>
      </c>
      <c r="D251" s="416"/>
      <c r="E251" s="713">
        <v>3</v>
      </c>
      <c r="F251" s="947">
        <v>70000</v>
      </c>
      <c r="G251" s="862"/>
      <c r="H251" s="713"/>
      <c r="I251" s="897"/>
      <c r="J251" s="897"/>
      <c r="K251" s="862"/>
    </row>
    <row r="252" spans="1:11" x14ac:dyDescent="0.2">
      <c r="A252" s="915" t="s">
        <v>1503</v>
      </c>
      <c r="B252" s="915"/>
      <c r="C252" s="915"/>
      <c r="D252" s="915"/>
      <c r="E252" s="930"/>
      <c r="F252" s="931"/>
      <c r="G252" s="932"/>
      <c r="H252" s="930"/>
      <c r="I252" s="933"/>
      <c r="J252" s="933"/>
      <c r="K252" s="932"/>
    </row>
    <row r="253" spans="1:11" ht="24" x14ac:dyDescent="0.2">
      <c r="A253" s="862" t="s">
        <v>1504</v>
      </c>
      <c r="B253" s="901" t="s">
        <v>1442</v>
      </c>
      <c r="C253" s="806" t="s">
        <v>1505</v>
      </c>
      <c r="D253" s="806"/>
      <c r="E253" s="415"/>
      <c r="F253" s="937">
        <v>54180</v>
      </c>
      <c r="G253" s="862" t="s">
        <v>1506</v>
      </c>
      <c r="H253" s="713" t="s">
        <v>1492</v>
      </c>
      <c r="I253" s="948">
        <v>44090</v>
      </c>
      <c r="J253" s="897">
        <v>44091</v>
      </c>
      <c r="K253" s="862" t="s">
        <v>1507</v>
      </c>
    </row>
    <row r="254" spans="1:11" ht="24" x14ac:dyDescent="0.2">
      <c r="A254" s="862" t="s">
        <v>1508</v>
      </c>
      <c r="B254" s="901" t="s">
        <v>1094</v>
      </c>
      <c r="C254" s="806" t="s">
        <v>1509</v>
      </c>
      <c r="D254" s="806"/>
      <c r="E254" s="415"/>
      <c r="F254" s="937">
        <v>112000</v>
      </c>
      <c r="G254" s="862" t="s">
        <v>1510</v>
      </c>
      <c r="H254" s="713" t="s">
        <v>1492</v>
      </c>
      <c r="I254" s="948">
        <v>44141</v>
      </c>
      <c r="J254" s="897">
        <v>44141</v>
      </c>
      <c r="K254" s="862" t="s">
        <v>1507</v>
      </c>
    </row>
    <row r="255" spans="1:11" x14ac:dyDescent="0.2">
      <c r="A255" s="862" t="s">
        <v>1511</v>
      </c>
      <c r="B255" s="901" t="s">
        <v>1442</v>
      </c>
      <c r="C255" s="806" t="s">
        <v>1512</v>
      </c>
      <c r="D255" s="806"/>
      <c r="E255" s="415"/>
      <c r="F255" s="937">
        <v>55000</v>
      </c>
      <c r="G255" s="862" t="s">
        <v>1513</v>
      </c>
      <c r="H255" s="713" t="s">
        <v>1492</v>
      </c>
      <c r="I255" s="948">
        <v>44145</v>
      </c>
      <c r="J255" s="897">
        <v>44145</v>
      </c>
      <c r="K255" s="862" t="s">
        <v>1507</v>
      </c>
    </row>
    <row r="256" spans="1:11" ht="24" x14ac:dyDescent="0.2">
      <c r="A256" s="862" t="s">
        <v>1514</v>
      </c>
      <c r="B256" s="901" t="s">
        <v>1442</v>
      </c>
      <c r="C256" s="806" t="s">
        <v>1515</v>
      </c>
      <c r="D256" s="806"/>
      <c r="E256" s="415"/>
      <c r="F256" s="937">
        <v>44064</v>
      </c>
      <c r="G256" s="862" t="s">
        <v>1506</v>
      </c>
      <c r="H256" s="713" t="s">
        <v>1492</v>
      </c>
      <c r="I256" s="948">
        <v>44160</v>
      </c>
      <c r="J256" s="897">
        <v>44160</v>
      </c>
      <c r="K256" s="862" t="s">
        <v>1507</v>
      </c>
    </row>
    <row r="257" spans="1:11" ht="48" x14ac:dyDescent="0.2">
      <c r="A257" s="862" t="s">
        <v>1516</v>
      </c>
      <c r="B257" s="901" t="s">
        <v>1442</v>
      </c>
      <c r="C257" s="806" t="s">
        <v>1517</v>
      </c>
      <c r="D257" s="806"/>
      <c r="E257" s="415"/>
      <c r="F257" s="937">
        <v>51980</v>
      </c>
      <c r="G257" s="862" t="s">
        <v>1506</v>
      </c>
      <c r="H257" s="713" t="s">
        <v>1492</v>
      </c>
      <c r="I257" s="948">
        <v>44111</v>
      </c>
      <c r="J257" s="897">
        <v>44111</v>
      </c>
      <c r="K257" s="862" t="s">
        <v>1507</v>
      </c>
    </row>
    <row r="258" spans="1:11" ht="72" x14ac:dyDescent="0.2">
      <c r="A258" s="862" t="s">
        <v>1518</v>
      </c>
      <c r="B258" s="901" t="s">
        <v>1094</v>
      </c>
      <c r="C258" s="806" t="s">
        <v>1519</v>
      </c>
      <c r="D258" s="806"/>
      <c r="E258" s="415"/>
      <c r="F258" s="937">
        <v>167700</v>
      </c>
      <c r="G258" s="862" t="s">
        <v>1520</v>
      </c>
      <c r="H258" s="713" t="s">
        <v>1492</v>
      </c>
      <c r="I258" s="948">
        <v>44096</v>
      </c>
      <c r="J258" s="897">
        <v>44097</v>
      </c>
      <c r="K258" s="862" t="s">
        <v>1507</v>
      </c>
    </row>
    <row r="259" spans="1:11" ht="60" x14ac:dyDescent="0.2">
      <c r="A259" s="862" t="s">
        <v>1521</v>
      </c>
      <c r="B259" s="901" t="s">
        <v>1249</v>
      </c>
      <c r="C259" s="806" t="s">
        <v>1522</v>
      </c>
      <c r="D259" s="806"/>
      <c r="E259" s="415"/>
      <c r="F259" s="937">
        <v>100119</v>
      </c>
      <c r="G259" s="862" t="s">
        <v>1523</v>
      </c>
      <c r="H259" s="713" t="s">
        <v>1492</v>
      </c>
      <c r="I259" s="948">
        <v>44141</v>
      </c>
      <c r="J259" s="897">
        <v>44141</v>
      </c>
      <c r="K259" s="862" t="s">
        <v>1507</v>
      </c>
    </row>
    <row r="260" spans="1:11" ht="48" x14ac:dyDescent="0.2">
      <c r="A260" s="862" t="s">
        <v>1524</v>
      </c>
      <c r="B260" s="901" t="s">
        <v>1525</v>
      </c>
      <c r="C260" s="806" t="s">
        <v>1526</v>
      </c>
      <c r="D260" s="806"/>
      <c r="E260" s="415"/>
      <c r="F260" s="937">
        <v>200000</v>
      </c>
      <c r="G260" s="862" t="s">
        <v>1527</v>
      </c>
      <c r="H260" s="713" t="s">
        <v>1492</v>
      </c>
      <c r="I260" s="948">
        <v>44327</v>
      </c>
      <c r="J260" s="897">
        <v>44328</v>
      </c>
      <c r="K260" s="862" t="s">
        <v>1507</v>
      </c>
    </row>
    <row r="261" spans="1:11" ht="60" x14ac:dyDescent="0.2">
      <c r="A261" s="862" t="s">
        <v>1528</v>
      </c>
      <c r="B261" s="901" t="s">
        <v>1525</v>
      </c>
      <c r="C261" s="806" t="s">
        <v>1529</v>
      </c>
      <c r="D261" s="806"/>
      <c r="E261" s="415"/>
      <c r="F261" s="937">
        <v>101422</v>
      </c>
      <c r="G261" s="862" t="s">
        <v>1530</v>
      </c>
      <c r="H261" s="713" t="s">
        <v>1531</v>
      </c>
      <c r="I261" s="948">
        <v>44328</v>
      </c>
      <c r="J261" s="897">
        <v>44328</v>
      </c>
      <c r="K261" s="862" t="s">
        <v>1507</v>
      </c>
    </row>
    <row r="262" spans="1:11" ht="48" x14ac:dyDescent="0.2">
      <c r="A262" s="862" t="s">
        <v>1532</v>
      </c>
      <c r="B262" s="901" t="s">
        <v>1525</v>
      </c>
      <c r="C262" s="806" t="s">
        <v>1533</v>
      </c>
      <c r="D262" s="806"/>
      <c r="E262" s="415"/>
      <c r="F262" s="937">
        <v>76143.740000000005</v>
      </c>
      <c r="G262" s="862" t="s">
        <v>1534</v>
      </c>
      <c r="H262" s="713" t="s">
        <v>1492</v>
      </c>
      <c r="I262" s="897">
        <v>44330</v>
      </c>
      <c r="J262" s="897">
        <v>44330</v>
      </c>
      <c r="K262" s="862" t="s">
        <v>1507</v>
      </c>
    </row>
    <row r="263" spans="1:11" ht="48" x14ac:dyDescent="0.2">
      <c r="A263" s="862" t="s">
        <v>1535</v>
      </c>
      <c r="B263" s="901" t="s">
        <v>1525</v>
      </c>
      <c r="C263" s="806" t="s">
        <v>1536</v>
      </c>
      <c r="D263" s="806"/>
      <c r="E263" s="415"/>
      <c r="F263" s="937">
        <v>243600</v>
      </c>
      <c r="G263" s="862" t="s">
        <v>1537</v>
      </c>
      <c r="H263" s="713" t="s">
        <v>1492</v>
      </c>
      <c r="I263" s="897">
        <v>44337</v>
      </c>
      <c r="J263" s="897" t="s">
        <v>1538</v>
      </c>
      <c r="K263" s="862" t="s">
        <v>1507</v>
      </c>
    </row>
    <row r="264" spans="1:11" x14ac:dyDescent="0.2">
      <c r="A264" s="915" t="s">
        <v>1539</v>
      </c>
      <c r="B264" s="915"/>
      <c r="C264" s="915"/>
      <c r="D264" s="915"/>
      <c r="E264" s="930"/>
      <c r="F264" s="931"/>
      <c r="G264" s="932"/>
      <c r="H264" s="930"/>
      <c r="I264" s="933"/>
      <c r="J264" s="933"/>
      <c r="K264" s="932"/>
    </row>
    <row r="265" spans="1:11" ht="72" x14ac:dyDescent="0.2">
      <c r="A265" s="862" t="s">
        <v>1540</v>
      </c>
      <c r="B265" s="806" t="s">
        <v>1249</v>
      </c>
      <c r="C265" s="806" t="s">
        <v>1541</v>
      </c>
      <c r="D265" s="806" t="s">
        <v>1541</v>
      </c>
      <c r="E265" s="415"/>
      <c r="F265" s="935">
        <v>10762</v>
      </c>
      <c r="G265" s="862" t="s">
        <v>1542</v>
      </c>
      <c r="H265" s="713" t="s">
        <v>1098</v>
      </c>
      <c r="I265" s="906">
        <v>44113</v>
      </c>
      <c r="J265" s="906">
        <v>44142</v>
      </c>
      <c r="K265" s="862" t="s">
        <v>1543</v>
      </c>
    </row>
    <row r="266" spans="1:11" ht="48" x14ac:dyDescent="0.2">
      <c r="A266" s="862" t="s">
        <v>1544</v>
      </c>
      <c r="B266" s="806" t="s">
        <v>1249</v>
      </c>
      <c r="C266" s="806" t="s">
        <v>1545</v>
      </c>
      <c r="D266" s="806" t="s">
        <v>1545</v>
      </c>
      <c r="E266" s="415"/>
      <c r="F266" s="935">
        <v>47238</v>
      </c>
      <c r="G266" s="862" t="s">
        <v>1542</v>
      </c>
      <c r="H266" s="713" t="s">
        <v>1098</v>
      </c>
      <c r="I266" s="906">
        <v>44113</v>
      </c>
      <c r="J266" s="906">
        <v>44142</v>
      </c>
      <c r="K266" s="862" t="s">
        <v>1543</v>
      </c>
    </row>
    <row r="267" spans="1:11" ht="48" x14ac:dyDescent="0.2">
      <c r="A267" s="862" t="s">
        <v>1546</v>
      </c>
      <c r="B267" s="806" t="s">
        <v>1249</v>
      </c>
      <c r="C267" s="806" t="s">
        <v>1547</v>
      </c>
      <c r="D267" s="806" t="s">
        <v>1547</v>
      </c>
      <c r="E267" s="415"/>
      <c r="F267" s="936">
        <v>399955.59</v>
      </c>
      <c r="G267" s="862" t="s">
        <v>1548</v>
      </c>
      <c r="H267" s="713" t="s">
        <v>1098</v>
      </c>
      <c r="I267" s="906">
        <v>44151</v>
      </c>
      <c r="J267" s="906">
        <v>44171</v>
      </c>
      <c r="K267" s="862" t="s">
        <v>1549</v>
      </c>
    </row>
    <row r="268" spans="1:11" ht="84" x14ac:dyDescent="0.2">
      <c r="A268" s="862" t="s">
        <v>1550</v>
      </c>
      <c r="B268" s="806" t="s">
        <v>1249</v>
      </c>
      <c r="C268" s="806" t="s">
        <v>1551</v>
      </c>
      <c r="D268" s="806" t="s">
        <v>1551</v>
      </c>
      <c r="E268" s="415"/>
      <c r="F268" s="935">
        <v>164000</v>
      </c>
      <c r="G268" s="862" t="s">
        <v>1552</v>
      </c>
      <c r="H268" s="713" t="s">
        <v>1098</v>
      </c>
      <c r="I268" s="906">
        <v>44158</v>
      </c>
      <c r="J268" s="906">
        <v>44187</v>
      </c>
      <c r="K268" s="862" t="s">
        <v>1553</v>
      </c>
    </row>
    <row r="269" spans="1:11" ht="84" x14ac:dyDescent="0.2">
      <c r="A269" s="862" t="s">
        <v>1554</v>
      </c>
      <c r="B269" s="806" t="s">
        <v>1249</v>
      </c>
      <c r="C269" s="806" t="s">
        <v>1555</v>
      </c>
      <c r="D269" s="806" t="s">
        <v>1555</v>
      </c>
      <c r="E269" s="415"/>
      <c r="F269" s="935">
        <v>157900</v>
      </c>
      <c r="G269" s="862" t="s">
        <v>1556</v>
      </c>
      <c r="H269" s="713" t="s">
        <v>1098</v>
      </c>
      <c r="I269" s="906">
        <v>44167</v>
      </c>
      <c r="J269" s="906">
        <v>44171</v>
      </c>
      <c r="K269" s="862" t="s">
        <v>1553</v>
      </c>
    </row>
    <row r="270" spans="1:11" ht="84" x14ac:dyDescent="0.2">
      <c r="A270" s="862" t="s">
        <v>1557</v>
      </c>
      <c r="B270" s="806" t="s">
        <v>1249</v>
      </c>
      <c r="C270" s="806" t="s">
        <v>1558</v>
      </c>
      <c r="D270" s="806" t="s">
        <v>1558</v>
      </c>
      <c r="E270" s="415"/>
      <c r="F270" s="935">
        <v>72000</v>
      </c>
      <c r="G270" s="862" t="s">
        <v>1559</v>
      </c>
      <c r="H270" s="713" t="s">
        <v>1098</v>
      </c>
      <c r="I270" s="906">
        <v>44174</v>
      </c>
      <c r="J270" s="906">
        <v>44178</v>
      </c>
      <c r="K270" s="862" t="s">
        <v>1553</v>
      </c>
    </row>
    <row r="271" spans="1:11" ht="84" x14ac:dyDescent="0.2">
      <c r="A271" s="862" t="s">
        <v>1560</v>
      </c>
      <c r="B271" s="806" t="s">
        <v>1249</v>
      </c>
      <c r="C271" s="806" t="s">
        <v>1561</v>
      </c>
      <c r="D271" s="806" t="s">
        <v>1561</v>
      </c>
      <c r="E271" s="415"/>
      <c r="F271" s="935">
        <v>80840</v>
      </c>
      <c r="G271" s="862" t="s">
        <v>1559</v>
      </c>
      <c r="H271" s="713" t="s">
        <v>1098</v>
      </c>
      <c r="I271" s="906">
        <v>44174</v>
      </c>
      <c r="J271" s="906">
        <v>44178</v>
      </c>
      <c r="K271" s="862" t="s">
        <v>1553</v>
      </c>
    </row>
    <row r="272" spans="1:11" ht="84" x14ac:dyDescent="0.2">
      <c r="A272" s="862" t="s">
        <v>1562</v>
      </c>
      <c r="B272" s="806" t="s">
        <v>1094</v>
      </c>
      <c r="C272" s="806" t="s">
        <v>1563</v>
      </c>
      <c r="D272" s="806" t="s">
        <v>1563</v>
      </c>
      <c r="E272" s="415"/>
      <c r="F272" s="936">
        <v>43193.87</v>
      </c>
      <c r="G272" s="862" t="s">
        <v>1564</v>
      </c>
      <c r="H272" s="713" t="s">
        <v>1098</v>
      </c>
      <c r="I272" s="906">
        <v>44176</v>
      </c>
      <c r="J272" s="906">
        <v>44196</v>
      </c>
      <c r="K272" s="862" t="s">
        <v>1553</v>
      </c>
    </row>
    <row r="273" spans="1:11" ht="108" x14ac:dyDescent="0.2">
      <c r="A273" s="862" t="s">
        <v>1565</v>
      </c>
      <c r="B273" s="806" t="s">
        <v>1249</v>
      </c>
      <c r="C273" s="806" t="s">
        <v>1566</v>
      </c>
      <c r="D273" s="806" t="s">
        <v>1566</v>
      </c>
      <c r="E273" s="415"/>
      <c r="F273" s="935">
        <v>71280</v>
      </c>
      <c r="G273" s="862" t="s">
        <v>1567</v>
      </c>
      <c r="H273" s="713" t="s">
        <v>1098</v>
      </c>
      <c r="I273" s="906">
        <v>44218</v>
      </c>
      <c r="J273" s="906">
        <v>44225</v>
      </c>
      <c r="K273" s="862" t="s">
        <v>1568</v>
      </c>
    </row>
    <row r="274" spans="1:11" ht="48" x14ac:dyDescent="0.2">
      <c r="A274" s="862" t="s">
        <v>1569</v>
      </c>
      <c r="B274" s="806" t="s">
        <v>1249</v>
      </c>
      <c r="C274" s="806" t="s">
        <v>1570</v>
      </c>
      <c r="D274" s="806" t="s">
        <v>1570</v>
      </c>
      <c r="E274" s="415"/>
      <c r="F274" s="935">
        <v>116416.9</v>
      </c>
      <c r="G274" s="862" t="s">
        <v>1571</v>
      </c>
      <c r="H274" s="713" t="s">
        <v>1098</v>
      </c>
      <c r="I274" s="906">
        <v>44347</v>
      </c>
      <c r="J274" s="906">
        <v>44353</v>
      </c>
      <c r="K274" s="862" t="s">
        <v>1549</v>
      </c>
    </row>
    <row r="275" spans="1:11" ht="108" x14ac:dyDescent="0.2">
      <c r="A275" s="862" t="s">
        <v>1572</v>
      </c>
      <c r="B275" s="806" t="s">
        <v>1249</v>
      </c>
      <c r="C275" s="806" t="s">
        <v>1573</v>
      </c>
      <c r="D275" s="806" t="s">
        <v>1573</v>
      </c>
      <c r="E275" s="415"/>
      <c r="F275" s="935">
        <v>85000</v>
      </c>
      <c r="G275" s="862" t="s">
        <v>1574</v>
      </c>
      <c r="H275" s="713" t="s">
        <v>1098</v>
      </c>
      <c r="I275" s="906">
        <v>44358</v>
      </c>
      <c r="J275" s="906">
        <v>44388</v>
      </c>
      <c r="K275" s="862" t="s">
        <v>1568</v>
      </c>
    </row>
    <row r="276" spans="1:11" ht="108" x14ac:dyDescent="0.2">
      <c r="A276" s="862" t="s">
        <v>1575</v>
      </c>
      <c r="B276" s="806" t="s">
        <v>1249</v>
      </c>
      <c r="C276" s="806" t="s">
        <v>1576</v>
      </c>
      <c r="D276" s="806" t="s">
        <v>1576</v>
      </c>
      <c r="E276" s="415"/>
      <c r="F276" s="935">
        <v>136000</v>
      </c>
      <c r="G276" s="862" t="s">
        <v>1577</v>
      </c>
      <c r="H276" s="713" t="s">
        <v>1578</v>
      </c>
      <c r="I276" s="906">
        <v>44361</v>
      </c>
      <c r="J276" s="906">
        <v>44452</v>
      </c>
      <c r="K276" s="862" t="s">
        <v>1568</v>
      </c>
    </row>
    <row r="277" spans="1:11" ht="120" x14ac:dyDescent="0.2">
      <c r="A277" s="862" t="s">
        <v>1579</v>
      </c>
      <c r="B277" s="806" t="s">
        <v>1249</v>
      </c>
      <c r="C277" s="806" t="s">
        <v>1580</v>
      </c>
      <c r="D277" s="806" t="s">
        <v>1580</v>
      </c>
      <c r="E277" s="415"/>
      <c r="F277" s="935">
        <v>180000</v>
      </c>
      <c r="G277" s="862" t="s">
        <v>1581</v>
      </c>
      <c r="H277" s="713" t="s">
        <v>1582</v>
      </c>
      <c r="I277" s="906">
        <v>44391</v>
      </c>
      <c r="J277" s="906">
        <v>44420</v>
      </c>
      <c r="K277" s="862" t="s">
        <v>1553</v>
      </c>
    </row>
    <row r="278" spans="1:11" x14ac:dyDescent="0.2">
      <c r="A278" s="915" t="s">
        <v>1583</v>
      </c>
      <c r="B278" s="915"/>
      <c r="C278" s="915"/>
      <c r="D278" s="915"/>
      <c r="E278" s="930"/>
      <c r="F278" s="931"/>
      <c r="G278" s="932"/>
      <c r="H278" s="930"/>
      <c r="I278" s="933"/>
      <c r="J278" s="933"/>
      <c r="K278" s="932"/>
    </row>
    <row r="279" spans="1:11" ht="48" x14ac:dyDescent="0.2">
      <c r="A279" s="862" t="s">
        <v>1584</v>
      </c>
      <c r="B279" s="806" t="s">
        <v>1585</v>
      </c>
      <c r="C279" s="806" t="s">
        <v>1586</v>
      </c>
      <c r="D279" s="806" t="s">
        <v>1587</v>
      </c>
      <c r="E279" s="415"/>
      <c r="F279" s="947">
        <v>210684.63</v>
      </c>
      <c r="G279" s="862" t="s">
        <v>1588</v>
      </c>
      <c r="H279" s="713" t="s">
        <v>1098</v>
      </c>
      <c r="I279" s="906">
        <v>44321</v>
      </c>
      <c r="J279" s="906"/>
      <c r="K279" s="862"/>
    </row>
    <row r="280" spans="1:11" ht="48" x14ac:dyDescent="0.2">
      <c r="A280" s="862" t="s">
        <v>1589</v>
      </c>
      <c r="B280" s="806" t="s">
        <v>1585</v>
      </c>
      <c r="C280" s="806" t="s">
        <v>1586</v>
      </c>
      <c r="D280" s="806" t="s">
        <v>1590</v>
      </c>
      <c r="E280" s="415"/>
      <c r="F280" s="947">
        <v>266100.05</v>
      </c>
      <c r="G280" s="862" t="s">
        <v>1591</v>
      </c>
      <c r="H280" s="713" t="s">
        <v>1098</v>
      </c>
      <c r="I280" s="906">
        <v>44321</v>
      </c>
      <c r="J280" s="906"/>
      <c r="K280" s="862"/>
    </row>
    <row r="281" spans="1:11" ht="36" x14ac:dyDescent="0.2">
      <c r="A281" s="862" t="s">
        <v>1592</v>
      </c>
      <c r="B281" s="806" t="s">
        <v>1593</v>
      </c>
      <c r="C281" s="806" t="s">
        <v>1594</v>
      </c>
      <c r="D281" s="806" t="s">
        <v>1587</v>
      </c>
      <c r="E281" s="415"/>
      <c r="F281" s="947">
        <v>65899.95</v>
      </c>
      <c r="G281" s="862" t="s">
        <v>1595</v>
      </c>
      <c r="H281" s="713" t="s">
        <v>1098</v>
      </c>
      <c r="I281" s="906">
        <v>44272</v>
      </c>
      <c r="J281" s="906"/>
      <c r="K281" s="862"/>
    </row>
    <row r="282" spans="1:11" ht="72" x14ac:dyDescent="0.2">
      <c r="A282" s="862" t="s">
        <v>1596</v>
      </c>
      <c r="B282" s="806" t="s">
        <v>1585</v>
      </c>
      <c r="C282" s="806" t="s">
        <v>1594</v>
      </c>
      <c r="D282" s="806" t="s">
        <v>1597</v>
      </c>
      <c r="E282" s="415"/>
      <c r="F282" s="947">
        <v>356043.24</v>
      </c>
      <c r="G282" s="862" t="s">
        <v>1598</v>
      </c>
      <c r="H282" s="713" t="s">
        <v>1098</v>
      </c>
      <c r="I282" s="906">
        <v>44399</v>
      </c>
      <c r="J282" s="906"/>
      <c r="K282" s="862"/>
    </row>
    <row r="283" spans="1:11" ht="48" x14ac:dyDescent="0.2">
      <c r="A283" s="1502" t="s">
        <v>1599</v>
      </c>
      <c r="B283" s="1503" t="s">
        <v>1600</v>
      </c>
      <c r="C283" s="1503" t="s">
        <v>1586</v>
      </c>
      <c r="D283" s="1503" t="s">
        <v>1587</v>
      </c>
      <c r="E283" s="415"/>
      <c r="F283" s="947">
        <v>1725777.6</v>
      </c>
      <c r="G283" s="862" t="s">
        <v>1601</v>
      </c>
      <c r="H283" s="713" t="s">
        <v>1602</v>
      </c>
      <c r="I283" s="906">
        <v>44363</v>
      </c>
      <c r="J283" s="906"/>
      <c r="K283" s="862" t="s">
        <v>1603</v>
      </c>
    </row>
    <row r="284" spans="1:11" ht="36" x14ac:dyDescent="0.2">
      <c r="A284" s="1502"/>
      <c r="B284" s="1503"/>
      <c r="C284" s="1503"/>
      <c r="D284" s="1503"/>
      <c r="E284" s="415"/>
      <c r="F284" s="947">
        <v>62619.5</v>
      </c>
      <c r="G284" s="862" t="s">
        <v>1604</v>
      </c>
      <c r="H284" s="713" t="s">
        <v>1098</v>
      </c>
      <c r="I284" s="906">
        <v>44363</v>
      </c>
      <c r="J284" s="906"/>
      <c r="K284" s="862" t="s">
        <v>1605</v>
      </c>
    </row>
    <row r="285" spans="1:11" ht="36" x14ac:dyDescent="0.2">
      <c r="A285" s="862" t="s">
        <v>1606</v>
      </c>
      <c r="B285" s="806" t="s">
        <v>1593</v>
      </c>
      <c r="C285" s="806" t="s">
        <v>1594</v>
      </c>
      <c r="D285" s="806" t="s">
        <v>1590</v>
      </c>
      <c r="E285" s="415"/>
      <c r="F285" s="947">
        <v>52900</v>
      </c>
      <c r="G285" s="862" t="s">
        <v>1607</v>
      </c>
      <c r="H285" s="713" t="s">
        <v>1098</v>
      </c>
      <c r="I285" s="906">
        <v>44428</v>
      </c>
      <c r="J285" s="906"/>
      <c r="K285" s="862"/>
    </row>
    <row r="286" spans="1:11" ht="60" x14ac:dyDescent="0.2">
      <c r="A286" s="862" t="s">
        <v>1608</v>
      </c>
      <c r="B286" s="806" t="s">
        <v>1593</v>
      </c>
      <c r="C286" s="806" t="s">
        <v>1594</v>
      </c>
      <c r="D286" s="806" t="s">
        <v>1597</v>
      </c>
      <c r="E286" s="415"/>
      <c r="F286" s="947">
        <v>54445.1</v>
      </c>
      <c r="G286" s="862" t="s">
        <v>1607</v>
      </c>
      <c r="H286" s="713" t="s">
        <v>1098</v>
      </c>
      <c r="I286" s="906">
        <v>44441</v>
      </c>
      <c r="J286" s="906"/>
      <c r="K286" s="862"/>
    </row>
    <row r="287" spans="1:11" x14ac:dyDescent="0.2">
      <c r="A287" s="915" t="s">
        <v>1609</v>
      </c>
      <c r="B287" s="915"/>
      <c r="C287" s="915"/>
      <c r="D287" s="915"/>
      <c r="E287" s="930"/>
      <c r="F287" s="931"/>
      <c r="G287" s="932"/>
      <c r="H287" s="930"/>
      <c r="I287" s="933"/>
      <c r="J287" s="933"/>
      <c r="K287" s="932"/>
    </row>
    <row r="288" spans="1:11" ht="72" x14ac:dyDescent="0.2">
      <c r="A288" s="949" t="s">
        <v>1610</v>
      </c>
      <c r="B288" s="806" t="s">
        <v>1249</v>
      </c>
      <c r="C288" s="806" t="s">
        <v>1611</v>
      </c>
      <c r="D288" s="806" t="s">
        <v>1096</v>
      </c>
      <c r="E288" s="713">
        <v>2</v>
      </c>
      <c r="F288" s="935">
        <v>110165</v>
      </c>
      <c r="G288" s="862" t="s">
        <v>1612</v>
      </c>
      <c r="H288" s="713" t="s">
        <v>1098</v>
      </c>
      <c r="I288" s="950"/>
      <c r="J288" s="950"/>
      <c r="K288" s="60"/>
    </row>
    <row r="289" spans="1:11" ht="84" x14ac:dyDescent="0.2">
      <c r="A289" s="949" t="s">
        <v>1613</v>
      </c>
      <c r="B289" s="806" t="s">
        <v>1249</v>
      </c>
      <c r="C289" s="806" t="s">
        <v>1614</v>
      </c>
      <c r="D289" s="806" t="s">
        <v>1096</v>
      </c>
      <c r="E289" s="713">
        <v>3</v>
      </c>
      <c r="F289" s="935">
        <v>80500</v>
      </c>
      <c r="G289" s="862" t="s">
        <v>1615</v>
      </c>
      <c r="H289" s="713" t="s">
        <v>1098</v>
      </c>
      <c r="I289" s="950"/>
      <c r="J289" s="950"/>
      <c r="K289" s="60"/>
    </row>
    <row r="290" spans="1:11" ht="60" x14ac:dyDescent="0.2">
      <c r="A290" s="949" t="s">
        <v>1616</v>
      </c>
      <c r="B290" s="806" t="s">
        <v>1094</v>
      </c>
      <c r="C290" s="806" t="s">
        <v>1617</v>
      </c>
      <c r="D290" s="806" t="s">
        <v>1096</v>
      </c>
      <c r="E290" s="713">
        <v>1</v>
      </c>
      <c r="F290" s="935">
        <v>43837.2</v>
      </c>
      <c r="G290" s="862" t="s">
        <v>1618</v>
      </c>
      <c r="H290" s="713" t="s">
        <v>1098</v>
      </c>
      <c r="I290" s="950"/>
      <c r="J290" s="950"/>
      <c r="K290" s="60"/>
    </row>
    <row r="291" spans="1:11" ht="45" customHeight="1" x14ac:dyDescent="0.2">
      <c r="A291" s="1509" t="s">
        <v>1619</v>
      </c>
      <c r="B291" s="1503" t="s">
        <v>1440</v>
      </c>
      <c r="C291" s="1503" t="s">
        <v>1620</v>
      </c>
      <c r="D291" s="1503" t="s">
        <v>1096</v>
      </c>
      <c r="E291" s="1502">
        <v>2</v>
      </c>
      <c r="F291" s="935">
        <v>999588</v>
      </c>
      <c r="G291" s="909" t="s">
        <v>1621</v>
      </c>
      <c r="H291" s="713" t="s">
        <v>1098</v>
      </c>
      <c r="I291" s="951">
        <v>44202</v>
      </c>
      <c r="J291" s="950"/>
      <c r="K291" s="60"/>
    </row>
    <row r="292" spans="1:11" ht="24" x14ac:dyDescent="0.2">
      <c r="A292" s="1509"/>
      <c r="B292" s="1503"/>
      <c r="C292" s="1503"/>
      <c r="D292" s="1503"/>
      <c r="E292" s="1502"/>
      <c r="F292" s="935">
        <v>740000</v>
      </c>
      <c r="G292" s="909" t="s">
        <v>1622</v>
      </c>
      <c r="H292" s="713" t="s">
        <v>1098</v>
      </c>
      <c r="I292" s="906">
        <v>44186</v>
      </c>
      <c r="J292" s="906"/>
      <c r="K292" s="60"/>
    </row>
    <row r="293" spans="1:11" ht="24" x14ac:dyDescent="0.2">
      <c r="A293" s="1509"/>
      <c r="B293" s="1503"/>
      <c r="C293" s="1503"/>
      <c r="D293" s="1503"/>
      <c r="E293" s="1502"/>
      <c r="F293" s="935">
        <v>413000</v>
      </c>
      <c r="G293" s="909" t="s">
        <v>1622</v>
      </c>
      <c r="H293" s="713" t="s">
        <v>1098</v>
      </c>
      <c r="I293" s="906">
        <v>44186</v>
      </c>
      <c r="J293" s="906"/>
      <c r="K293" s="60"/>
    </row>
    <row r="294" spans="1:11" ht="36" x14ac:dyDescent="0.2">
      <c r="A294" s="1509"/>
      <c r="B294" s="1503"/>
      <c r="C294" s="1503"/>
      <c r="D294" s="1503"/>
      <c r="E294" s="1502"/>
      <c r="F294" s="935">
        <f>649979</f>
        <v>649979</v>
      </c>
      <c r="G294" s="909" t="s">
        <v>1623</v>
      </c>
      <c r="H294" s="713" t="s">
        <v>1098</v>
      </c>
      <c r="I294" s="906">
        <v>44196</v>
      </c>
      <c r="J294" s="906"/>
      <c r="K294" s="60"/>
    </row>
    <row r="295" spans="1:11" ht="24" x14ac:dyDescent="0.2">
      <c r="A295" s="1509"/>
      <c r="B295" s="1503"/>
      <c r="C295" s="1503"/>
      <c r="D295" s="1503"/>
      <c r="E295" s="1502"/>
      <c r="F295" s="935">
        <v>785000</v>
      </c>
      <c r="G295" s="909" t="s">
        <v>1622</v>
      </c>
      <c r="H295" s="713" t="s">
        <v>1098</v>
      </c>
      <c r="I295" s="906">
        <v>44186</v>
      </c>
      <c r="J295" s="906"/>
      <c r="K295" s="60"/>
    </row>
    <row r="296" spans="1:11" ht="24" x14ac:dyDescent="0.2">
      <c r="A296" s="1509"/>
      <c r="B296" s="1503"/>
      <c r="C296" s="1503"/>
      <c r="D296" s="1503"/>
      <c r="E296" s="1502"/>
      <c r="F296" s="935">
        <v>785000</v>
      </c>
      <c r="G296" s="909" t="s">
        <v>1622</v>
      </c>
      <c r="H296" s="713" t="s">
        <v>1098</v>
      </c>
      <c r="I296" s="906">
        <v>44186</v>
      </c>
      <c r="J296" s="906"/>
      <c r="K296" s="60"/>
    </row>
    <row r="297" spans="1:11" ht="72" x14ac:dyDescent="0.2">
      <c r="A297" s="949" t="s">
        <v>1624</v>
      </c>
      <c r="B297" s="806" t="s">
        <v>1249</v>
      </c>
      <c r="C297" s="806" t="s">
        <v>1625</v>
      </c>
      <c r="D297" s="806" t="s">
        <v>1096</v>
      </c>
      <c r="E297" s="713">
        <v>2</v>
      </c>
      <c r="F297" s="935">
        <v>88182</v>
      </c>
      <c r="G297" s="862" t="s">
        <v>1626</v>
      </c>
      <c r="H297" s="713" t="s">
        <v>1627</v>
      </c>
      <c r="I297" s="950"/>
      <c r="J297" s="950"/>
      <c r="K297" s="60"/>
    </row>
    <row r="298" spans="1:11" ht="60" x14ac:dyDescent="0.2">
      <c r="A298" s="949" t="s">
        <v>1628</v>
      </c>
      <c r="B298" s="806" t="s">
        <v>1249</v>
      </c>
      <c r="C298" s="806" t="s">
        <v>1629</v>
      </c>
      <c r="D298" s="806" t="s">
        <v>1096</v>
      </c>
      <c r="E298" s="713">
        <v>3</v>
      </c>
      <c r="F298" s="935">
        <v>184000</v>
      </c>
      <c r="G298" s="862" t="s">
        <v>1630</v>
      </c>
      <c r="H298" s="713" t="s">
        <v>1627</v>
      </c>
      <c r="I298" s="950"/>
      <c r="J298" s="950"/>
      <c r="K298" s="60"/>
    </row>
    <row r="299" spans="1:11" ht="72" x14ac:dyDescent="0.2">
      <c r="A299" s="949" t="s">
        <v>1631</v>
      </c>
      <c r="B299" s="806" t="s">
        <v>1442</v>
      </c>
      <c r="C299" s="806" t="s">
        <v>1632</v>
      </c>
      <c r="D299" s="806" t="s">
        <v>1096</v>
      </c>
      <c r="E299" s="713">
        <v>1</v>
      </c>
      <c r="F299" s="935">
        <v>43200</v>
      </c>
      <c r="G299" s="862" t="s">
        <v>1633</v>
      </c>
      <c r="H299" s="713" t="s">
        <v>1098</v>
      </c>
      <c r="I299" s="950"/>
      <c r="J299" s="950"/>
      <c r="K299" s="60"/>
    </row>
    <row r="300" spans="1:11" x14ac:dyDescent="0.2">
      <c r="A300" s="915" t="s">
        <v>1634</v>
      </c>
      <c r="B300" s="915"/>
      <c r="C300" s="915"/>
      <c r="D300" s="915"/>
      <c r="E300" s="930"/>
      <c r="F300" s="931"/>
      <c r="G300" s="932"/>
      <c r="H300" s="930"/>
      <c r="I300" s="933"/>
      <c r="J300" s="933"/>
      <c r="K300" s="932"/>
    </row>
    <row r="301" spans="1:11" ht="48" x14ac:dyDescent="0.2">
      <c r="A301" s="902" t="s">
        <v>1635</v>
      </c>
      <c r="B301" s="903" t="s">
        <v>1636</v>
      </c>
      <c r="C301" s="806" t="s">
        <v>1637</v>
      </c>
      <c r="D301" s="416"/>
      <c r="E301" s="952">
        <v>1</v>
      </c>
      <c r="F301" s="953">
        <v>8856.1</v>
      </c>
      <c r="G301" s="902" t="s">
        <v>1638</v>
      </c>
      <c r="H301" s="713" t="s">
        <v>1098</v>
      </c>
      <c r="I301" s="954">
        <v>44106</v>
      </c>
      <c r="J301" s="906"/>
      <c r="K301" s="862"/>
    </row>
    <row r="302" spans="1:11" ht="48" x14ac:dyDescent="0.2">
      <c r="A302" s="902" t="s">
        <v>1639</v>
      </c>
      <c r="B302" s="903" t="s">
        <v>1636</v>
      </c>
      <c r="C302" s="806" t="s">
        <v>1637</v>
      </c>
      <c r="D302" s="416"/>
      <c r="E302" s="952">
        <v>2</v>
      </c>
      <c r="F302" s="953">
        <v>1061.9000000000001</v>
      </c>
      <c r="G302" s="902" t="s">
        <v>1638</v>
      </c>
      <c r="H302" s="713" t="s">
        <v>1098</v>
      </c>
      <c r="I302" s="954">
        <v>44167</v>
      </c>
      <c r="J302" s="906"/>
      <c r="K302" s="862"/>
    </row>
    <row r="303" spans="1:11" ht="36" x14ac:dyDescent="0.2">
      <c r="A303" s="902" t="s">
        <v>1640</v>
      </c>
      <c r="B303" s="903" t="s">
        <v>1641</v>
      </c>
      <c r="C303" s="806" t="s">
        <v>1637</v>
      </c>
      <c r="D303" s="416"/>
      <c r="E303" s="952">
        <v>5</v>
      </c>
      <c r="F303" s="953">
        <v>24000</v>
      </c>
      <c r="G303" s="902" t="s">
        <v>1642</v>
      </c>
      <c r="H303" s="713" t="s">
        <v>1098</v>
      </c>
      <c r="I303" s="954">
        <v>44107</v>
      </c>
      <c r="J303" s="906"/>
      <c r="K303" s="862"/>
    </row>
    <row r="304" spans="1:11" ht="48" x14ac:dyDescent="0.2">
      <c r="A304" s="902" t="s">
        <v>1643</v>
      </c>
      <c r="B304" s="903" t="s">
        <v>1641</v>
      </c>
      <c r="C304" s="806" t="s">
        <v>1637</v>
      </c>
      <c r="D304" s="416"/>
      <c r="E304" s="952">
        <v>6</v>
      </c>
      <c r="F304" s="953">
        <v>26504</v>
      </c>
      <c r="G304" s="902" t="s">
        <v>1644</v>
      </c>
      <c r="H304" s="713" t="s">
        <v>1098</v>
      </c>
      <c r="I304" s="954">
        <v>44141</v>
      </c>
      <c r="J304" s="906"/>
      <c r="K304" s="862"/>
    </row>
    <row r="305" spans="1:11" ht="36" x14ac:dyDescent="0.2">
      <c r="A305" s="902" t="s">
        <v>1645</v>
      </c>
      <c r="B305" s="903" t="s">
        <v>1641</v>
      </c>
      <c r="C305" s="806" t="s">
        <v>1637</v>
      </c>
      <c r="D305" s="416"/>
      <c r="E305" s="952">
        <v>7</v>
      </c>
      <c r="F305" s="953">
        <v>26398</v>
      </c>
      <c r="G305" s="902" t="s">
        <v>1646</v>
      </c>
      <c r="H305" s="713" t="s">
        <v>1098</v>
      </c>
      <c r="I305" s="954" t="s">
        <v>1647</v>
      </c>
      <c r="J305" s="906"/>
      <c r="K305" s="862"/>
    </row>
    <row r="306" spans="1:11" ht="36" x14ac:dyDescent="0.2">
      <c r="A306" s="902" t="s">
        <v>1648</v>
      </c>
      <c r="B306" s="903" t="s">
        <v>1641</v>
      </c>
      <c r="C306" s="806" t="s">
        <v>1637</v>
      </c>
      <c r="D306" s="416"/>
      <c r="E306" s="952">
        <v>8</v>
      </c>
      <c r="F306" s="953">
        <v>99600</v>
      </c>
      <c r="G306" s="902" t="s">
        <v>1649</v>
      </c>
      <c r="H306" s="713" t="s">
        <v>1098</v>
      </c>
      <c r="I306" s="954" t="s">
        <v>1650</v>
      </c>
      <c r="J306" s="906"/>
      <c r="K306" s="862"/>
    </row>
    <row r="307" spans="1:11" ht="48" x14ac:dyDescent="0.2">
      <c r="A307" s="910" t="s">
        <v>1651</v>
      </c>
      <c r="B307" s="903" t="s">
        <v>1636</v>
      </c>
      <c r="C307" s="903" t="s">
        <v>1637</v>
      </c>
      <c r="D307" s="416"/>
      <c r="E307" s="904">
        <v>1</v>
      </c>
      <c r="F307" s="955">
        <v>16211</v>
      </c>
      <c r="G307" s="910" t="s">
        <v>1652</v>
      </c>
      <c r="H307" s="717" t="s">
        <v>1098</v>
      </c>
      <c r="I307" s="956" t="s">
        <v>1653</v>
      </c>
      <c r="J307" s="906"/>
      <c r="K307" s="862"/>
    </row>
    <row r="308" spans="1:11" ht="36" x14ac:dyDescent="0.2">
      <c r="A308" s="902" t="s">
        <v>1654</v>
      </c>
      <c r="B308" s="903" t="s">
        <v>1641</v>
      </c>
      <c r="C308" s="806" t="s">
        <v>1637</v>
      </c>
      <c r="D308" s="416"/>
      <c r="E308" s="905">
        <v>2</v>
      </c>
      <c r="F308" s="953">
        <v>34140</v>
      </c>
      <c r="G308" s="902" t="s">
        <v>1655</v>
      </c>
      <c r="H308" s="717" t="s">
        <v>1098</v>
      </c>
      <c r="I308" s="954" t="s">
        <v>1656</v>
      </c>
      <c r="J308" s="906"/>
      <c r="K308" s="862"/>
    </row>
    <row r="309" spans="1:11" ht="48" x14ac:dyDescent="0.2">
      <c r="A309" s="910" t="s">
        <v>1651</v>
      </c>
      <c r="B309" s="903" t="s">
        <v>1636</v>
      </c>
      <c r="C309" s="903" t="s">
        <v>1637</v>
      </c>
      <c r="D309" s="416"/>
      <c r="E309" s="904">
        <v>1</v>
      </c>
      <c r="F309" s="955">
        <v>16211</v>
      </c>
      <c r="G309" s="910" t="s">
        <v>1652</v>
      </c>
      <c r="H309" s="717" t="s">
        <v>1657</v>
      </c>
      <c r="I309" s="956">
        <v>44638</v>
      </c>
      <c r="J309" s="945"/>
      <c r="K309" s="60"/>
    </row>
    <row r="310" spans="1:11" x14ac:dyDescent="0.2">
      <c r="A310" s="915" t="s">
        <v>1658</v>
      </c>
      <c r="B310" s="915"/>
      <c r="C310" s="915"/>
      <c r="D310" s="915"/>
      <c r="E310" s="930"/>
      <c r="F310" s="931"/>
      <c r="G310" s="932"/>
      <c r="H310" s="930"/>
      <c r="I310" s="933"/>
      <c r="J310" s="933"/>
      <c r="K310" s="932"/>
    </row>
    <row r="311" spans="1:11" ht="24" x14ac:dyDescent="0.2">
      <c r="A311" s="862" t="s">
        <v>1659</v>
      </c>
      <c r="B311" s="806" t="s">
        <v>1660</v>
      </c>
      <c r="C311" s="806" t="s">
        <v>1096</v>
      </c>
      <c r="D311" s="806"/>
      <c r="E311" s="415"/>
      <c r="F311" s="937">
        <v>5321.9</v>
      </c>
      <c r="G311" s="862">
        <v>20352308588</v>
      </c>
      <c r="H311" s="713" t="s">
        <v>1661</v>
      </c>
      <c r="I311" s="897">
        <v>43867</v>
      </c>
      <c r="J311" s="897"/>
      <c r="K311" s="862" t="s">
        <v>1104</v>
      </c>
    </row>
    <row r="312" spans="1:11" ht="24" x14ac:dyDescent="0.2">
      <c r="A312" s="862" t="s">
        <v>1662</v>
      </c>
      <c r="B312" s="806" t="s">
        <v>1660</v>
      </c>
      <c r="C312" s="806" t="s">
        <v>1096</v>
      </c>
      <c r="D312" s="806"/>
      <c r="E312" s="415"/>
      <c r="F312" s="937">
        <v>5390.31</v>
      </c>
      <c r="G312" s="862">
        <v>20352308588</v>
      </c>
      <c r="H312" s="713" t="s">
        <v>1663</v>
      </c>
      <c r="I312" s="897">
        <v>43874</v>
      </c>
      <c r="J312" s="897"/>
      <c r="K312" s="862" t="s">
        <v>1104</v>
      </c>
    </row>
    <row r="313" spans="1:11" ht="24" x14ac:dyDescent="0.2">
      <c r="A313" s="862" t="s">
        <v>1664</v>
      </c>
      <c r="B313" s="806" t="s">
        <v>1660</v>
      </c>
      <c r="C313" s="806" t="s">
        <v>1096</v>
      </c>
      <c r="D313" s="806"/>
      <c r="E313" s="415"/>
      <c r="F313" s="937">
        <v>9074.1</v>
      </c>
      <c r="G313" s="862">
        <v>20602840345</v>
      </c>
      <c r="H313" s="713" t="s">
        <v>1663</v>
      </c>
      <c r="I313" s="897">
        <v>43888</v>
      </c>
      <c r="J313" s="897"/>
      <c r="K313" s="862" t="s">
        <v>1104</v>
      </c>
    </row>
    <row r="314" spans="1:11" ht="24" x14ac:dyDescent="0.2">
      <c r="A314" s="862" t="s">
        <v>1665</v>
      </c>
      <c r="B314" s="806" t="s">
        <v>1660</v>
      </c>
      <c r="C314" s="806" t="s">
        <v>1107</v>
      </c>
      <c r="D314" s="806"/>
      <c r="E314" s="415"/>
      <c r="F314" s="937">
        <v>28996.5</v>
      </c>
      <c r="G314" s="862">
        <v>20393985837</v>
      </c>
      <c r="H314" s="713" t="s">
        <v>1663</v>
      </c>
      <c r="I314" s="897">
        <v>43873</v>
      </c>
      <c r="J314" s="897"/>
      <c r="K314" s="862" t="s">
        <v>1104</v>
      </c>
    </row>
    <row r="315" spans="1:11" ht="24" x14ac:dyDescent="0.2">
      <c r="A315" s="60" t="s">
        <v>1666</v>
      </c>
      <c r="B315" s="806" t="s">
        <v>1660</v>
      </c>
      <c r="C315" s="416" t="s">
        <v>1107</v>
      </c>
      <c r="D315" s="416"/>
      <c r="E315" s="415"/>
      <c r="F315" s="957">
        <v>30893.46</v>
      </c>
      <c r="G315" s="60" t="s">
        <v>1667</v>
      </c>
      <c r="H315" s="713" t="s">
        <v>1663</v>
      </c>
      <c r="I315" s="948" t="s">
        <v>1668</v>
      </c>
      <c r="J315" s="948"/>
      <c r="K315" s="862" t="s">
        <v>1104</v>
      </c>
    </row>
    <row r="316" spans="1:11" ht="24" x14ac:dyDescent="0.2">
      <c r="A316" s="60" t="s">
        <v>1669</v>
      </c>
      <c r="B316" s="806" t="s">
        <v>1660</v>
      </c>
      <c r="C316" s="416" t="s">
        <v>1096</v>
      </c>
      <c r="D316" s="416"/>
      <c r="E316" s="415"/>
      <c r="F316" s="957">
        <v>4908.26</v>
      </c>
      <c r="G316" s="60">
        <v>20602840345</v>
      </c>
      <c r="H316" s="713" t="s">
        <v>1663</v>
      </c>
      <c r="I316" s="948">
        <v>44027</v>
      </c>
      <c r="J316" s="948"/>
      <c r="K316" s="862" t="s">
        <v>1104</v>
      </c>
    </row>
    <row r="317" spans="1:11" ht="24" x14ac:dyDescent="0.2">
      <c r="A317" s="60" t="s">
        <v>1669</v>
      </c>
      <c r="B317" s="806" t="s">
        <v>1660</v>
      </c>
      <c r="C317" s="416" t="s">
        <v>1096</v>
      </c>
      <c r="D317" s="416"/>
      <c r="E317" s="415"/>
      <c r="F317" s="957">
        <v>10964.8</v>
      </c>
      <c r="G317" s="60">
        <v>20602770151</v>
      </c>
      <c r="H317" s="713" t="s">
        <v>1663</v>
      </c>
      <c r="I317" s="948">
        <v>44027</v>
      </c>
      <c r="J317" s="948"/>
      <c r="K317" s="862" t="s">
        <v>1104</v>
      </c>
    </row>
    <row r="318" spans="1:11" ht="24" x14ac:dyDescent="0.2">
      <c r="A318" s="60" t="s">
        <v>1670</v>
      </c>
      <c r="B318" s="806" t="s">
        <v>1660</v>
      </c>
      <c r="C318" s="416" t="s">
        <v>1096</v>
      </c>
      <c r="D318" s="416"/>
      <c r="E318" s="415"/>
      <c r="F318" s="957">
        <v>18000</v>
      </c>
      <c r="G318" s="60">
        <v>10001912815</v>
      </c>
      <c r="H318" s="713" t="s">
        <v>1661</v>
      </c>
      <c r="I318" s="948">
        <v>44042</v>
      </c>
      <c r="J318" s="948"/>
      <c r="K318" s="862" t="s">
        <v>1104</v>
      </c>
    </row>
    <row r="319" spans="1:11" ht="24" x14ac:dyDescent="0.2">
      <c r="A319" s="60" t="s">
        <v>1671</v>
      </c>
      <c r="B319" s="806" t="s">
        <v>1660</v>
      </c>
      <c r="C319" s="416" t="s">
        <v>1107</v>
      </c>
      <c r="D319" s="416"/>
      <c r="E319" s="415"/>
      <c r="F319" s="957">
        <v>14447.94</v>
      </c>
      <c r="G319" s="60">
        <v>10001900787</v>
      </c>
      <c r="H319" s="713" t="s">
        <v>1663</v>
      </c>
      <c r="I319" s="948">
        <v>44016</v>
      </c>
      <c r="J319" s="948"/>
      <c r="K319" s="862" t="s">
        <v>1104</v>
      </c>
    </row>
    <row r="320" spans="1:11" ht="24" x14ac:dyDescent="0.2">
      <c r="A320" s="60" t="s">
        <v>1672</v>
      </c>
      <c r="B320" s="806" t="s">
        <v>1660</v>
      </c>
      <c r="C320" s="416" t="s">
        <v>1107</v>
      </c>
      <c r="D320" s="416"/>
      <c r="E320" s="415"/>
      <c r="F320" s="957">
        <v>7220</v>
      </c>
      <c r="G320" s="60">
        <v>20393915626</v>
      </c>
      <c r="H320" s="713" t="s">
        <v>1663</v>
      </c>
      <c r="I320" s="948">
        <v>44067</v>
      </c>
      <c r="J320" s="948"/>
      <c r="K320" s="862" t="s">
        <v>1104</v>
      </c>
    </row>
    <row r="321" spans="1:11" ht="24" x14ac:dyDescent="0.2">
      <c r="A321" s="60" t="s">
        <v>1673</v>
      </c>
      <c r="B321" s="806" t="s">
        <v>1660</v>
      </c>
      <c r="C321" s="416" t="s">
        <v>1107</v>
      </c>
      <c r="D321" s="416"/>
      <c r="E321" s="415"/>
      <c r="F321" s="957">
        <v>8640</v>
      </c>
      <c r="G321" s="60">
        <v>10723538641</v>
      </c>
      <c r="H321" s="713" t="s">
        <v>1663</v>
      </c>
      <c r="I321" s="948">
        <v>44069</v>
      </c>
      <c r="J321" s="948"/>
      <c r="K321" s="862" t="s">
        <v>1104</v>
      </c>
    </row>
    <row r="322" spans="1:11" ht="24" x14ac:dyDescent="0.2">
      <c r="A322" s="60" t="s">
        <v>1674</v>
      </c>
      <c r="B322" s="806" t="s">
        <v>1660</v>
      </c>
      <c r="C322" s="416" t="s">
        <v>1107</v>
      </c>
      <c r="D322" s="416"/>
      <c r="E322" s="415"/>
      <c r="F322" s="957">
        <v>4936.8</v>
      </c>
      <c r="G322" s="60">
        <v>20605518479</v>
      </c>
      <c r="H322" s="713" t="s">
        <v>1663</v>
      </c>
      <c r="I322" s="948">
        <v>44056</v>
      </c>
      <c r="J322" s="948"/>
      <c r="K322" s="862" t="s">
        <v>1104</v>
      </c>
    </row>
    <row r="323" spans="1:11" ht="24" x14ac:dyDescent="0.2">
      <c r="A323" s="60" t="s">
        <v>1675</v>
      </c>
      <c r="B323" s="806" t="s">
        <v>1660</v>
      </c>
      <c r="C323" s="416" t="s">
        <v>1107</v>
      </c>
      <c r="D323" s="416"/>
      <c r="E323" s="415"/>
      <c r="F323" s="957">
        <v>5200</v>
      </c>
      <c r="G323" s="60">
        <v>20600757661</v>
      </c>
      <c r="H323" s="713" t="s">
        <v>1663</v>
      </c>
      <c r="I323" s="948">
        <v>44090</v>
      </c>
      <c r="J323" s="948"/>
      <c r="K323" s="862" t="s">
        <v>1104</v>
      </c>
    </row>
    <row r="324" spans="1:11" ht="36" x14ac:dyDescent="0.2">
      <c r="A324" s="60" t="s">
        <v>1676</v>
      </c>
      <c r="B324" s="806" t="s">
        <v>1660</v>
      </c>
      <c r="C324" s="416" t="s">
        <v>1096</v>
      </c>
      <c r="D324" s="416"/>
      <c r="E324" s="415"/>
      <c r="F324" s="957">
        <v>8000</v>
      </c>
      <c r="G324" s="60">
        <v>10440425017</v>
      </c>
      <c r="H324" s="713" t="s">
        <v>1663</v>
      </c>
      <c r="I324" s="948">
        <v>44130</v>
      </c>
      <c r="J324" s="948"/>
      <c r="K324" s="862" t="s">
        <v>1104</v>
      </c>
    </row>
    <row r="325" spans="1:11" ht="24" x14ac:dyDescent="0.2">
      <c r="A325" s="60" t="s">
        <v>1677</v>
      </c>
      <c r="B325" s="806" t="s">
        <v>1660</v>
      </c>
      <c r="C325" s="416" t="s">
        <v>1107</v>
      </c>
      <c r="D325" s="416"/>
      <c r="E325" s="415"/>
      <c r="F325" s="957">
        <v>19409</v>
      </c>
      <c r="G325" s="60">
        <v>20393985837</v>
      </c>
      <c r="H325" s="713" t="s">
        <v>1663</v>
      </c>
      <c r="I325" s="948">
        <v>44110</v>
      </c>
      <c r="J325" s="948"/>
      <c r="K325" s="862" t="s">
        <v>1104</v>
      </c>
    </row>
    <row r="326" spans="1:11" ht="24" x14ac:dyDescent="0.2">
      <c r="A326" s="60" t="s">
        <v>1678</v>
      </c>
      <c r="B326" s="806" t="s">
        <v>1660</v>
      </c>
      <c r="C326" s="416" t="s">
        <v>1096</v>
      </c>
      <c r="D326" s="416"/>
      <c r="E326" s="415"/>
      <c r="F326" s="957">
        <v>8000</v>
      </c>
      <c r="G326" s="60">
        <v>10723538641</v>
      </c>
      <c r="H326" s="713" t="s">
        <v>1663</v>
      </c>
      <c r="I326" s="948">
        <v>44154</v>
      </c>
      <c r="J326" s="948"/>
      <c r="K326" s="862" t="s">
        <v>1104</v>
      </c>
    </row>
    <row r="327" spans="1:11" ht="24" x14ac:dyDescent="0.2">
      <c r="A327" s="60" t="s">
        <v>1679</v>
      </c>
      <c r="B327" s="806" t="s">
        <v>1660</v>
      </c>
      <c r="C327" s="416" t="s">
        <v>1107</v>
      </c>
      <c r="D327" s="416"/>
      <c r="E327" s="415"/>
      <c r="F327" s="957">
        <v>19489.009999999998</v>
      </c>
      <c r="G327" s="60">
        <v>10702457691</v>
      </c>
      <c r="H327" s="713" t="s">
        <v>1663</v>
      </c>
      <c r="I327" s="948">
        <v>44154</v>
      </c>
      <c r="J327" s="948"/>
      <c r="K327" s="862" t="s">
        <v>1104</v>
      </c>
    </row>
    <row r="328" spans="1:11" ht="24" x14ac:dyDescent="0.2">
      <c r="A328" s="60" t="s">
        <v>1680</v>
      </c>
      <c r="B328" s="806" t="s">
        <v>1660</v>
      </c>
      <c r="C328" s="416" t="s">
        <v>1107</v>
      </c>
      <c r="D328" s="416"/>
      <c r="E328" s="415"/>
      <c r="F328" s="957">
        <v>4800</v>
      </c>
      <c r="G328" s="60">
        <v>10723538641</v>
      </c>
      <c r="H328" s="713" t="s">
        <v>1663</v>
      </c>
      <c r="I328" s="948">
        <v>44161</v>
      </c>
      <c r="J328" s="948"/>
      <c r="K328" s="862" t="s">
        <v>1104</v>
      </c>
    </row>
    <row r="329" spans="1:11" ht="24" x14ac:dyDescent="0.2">
      <c r="A329" s="60" t="s">
        <v>1681</v>
      </c>
      <c r="B329" s="806" t="s">
        <v>1660</v>
      </c>
      <c r="C329" s="416" t="s">
        <v>1096</v>
      </c>
      <c r="D329" s="416"/>
      <c r="E329" s="415"/>
      <c r="F329" s="957">
        <v>5101.92</v>
      </c>
      <c r="G329" s="60">
        <v>20394058816</v>
      </c>
      <c r="H329" s="713" t="s">
        <v>1663</v>
      </c>
      <c r="I329" s="948">
        <v>44174</v>
      </c>
      <c r="J329" s="948"/>
      <c r="K329" s="862" t="s">
        <v>1104</v>
      </c>
    </row>
    <row r="330" spans="1:11" ht="24" x14ac:dyDescent="0.2">
      <c r="A330" s="60" t="s">
        <v>1681</v>
      </c>
      <c r="B330" s="806" t="s">
        <v>1660</v>
      </c>
      <c r="C330" s="416" t="s">
        <v>1096</v>
      </c>
      <c r="D330" s="416"/>
      <c r="E330" s="415"/>
      <c r="F330" s="957">
        <v>18902</v>
      </c>
      <c r="G330" s="60">
        <v>20394058816</v>
      </c>
      <c r="H330" s="713" t="s">
        <v>1663</v>
      </c>
      <c r="I330" s="948">
        <v>44174</v>
      </c>
      <c r="J330" s="948"/>
      <c r="K330" s="862" t="s">
        <v>1104</v>
      </c>
    </row>
    <row r="331" spans="1:11" ht="24" x14ac:dyDescent="0.2">
      <c r="A331" s="60" t="s">
        <v>1682</v>
      </c>
      <c r="B331" s="806" t="s">
        <v>1660</v>
      </c>
      <c r="C331" s="416" t="s">
        <v>1096</v>
      </c>
      <c r="D331" s="416"/>
      <c r="E331" s="415"/>
      <c r="F331" s="957">
        <v>17992</v>
      </c>
      <c r="G331" s="60">
        <v>10001912815</v>
      </c>
      <c r="H331" s="713" t="s">
        <v>1663</v>
      </c>
      <c r="I331" s="948">
        <v>44174</v>
      </c>
      <c r="J331" s="948"/>
      <c r="K331" s="862" t="s">
        <v>1104</v>
      </c>
    </row>
    <row r="332" spans="1:11" ht="24" x14ac:dyDescent="0.2">
      <c r="A332" s="60" t="s">
        <v>1683</v>
      </c>
      <c r="B332" s="806" t="s">
        <v>1660</v>
      </c>
      <c r="C332" s="416" t="s">
        <v>1096</v>
      </c>
      <c r="D332" s="416"/>
      <c r="E332" s="415"/>
      <c r="F332" s="957">
        <v>9099</v>
      </c>
      <c r="G332" s="60">
        <v>20393759748</v>
      </c>
      <c r="H332" s="713" t="s">
        <v>1663</v>
      </c>
      <c r="I332" s="948">
        <v>44177</v>
      </c>
      <c r="J332" s="948"/>
      <c r="K332" s="862" t="s">
        <v>1104</v>
      </c>
    </row>
    <row r="333" spans="1:11" ht="24" x14ac:dyDescent="0.2">
      <c r="A333" s="60" t="s">
        <v>1684</v>
      </c>
      <c r="B333" s="806" t="s">
        <v>1660</v>
      </c>
      <c r="C333" s="416" t="s">
        <v>1096</v>
      </c>
      <c r="D333" s="416"/>
      <c r="E333" s="415"/>
      <c r="F333" s="957">
        <v>6000</v>
      </c>
      <c r="G333" s="60">
        <v>20601003458</v>
      </c>
      <c r="H333" s="713" t="s">
        <v>1663</v>
      </c>
      <c r="I333" s="948">
        <v>44183</v>
      </c>
      <c r="J333" s="948"/>
      <c r="K333" s="862" t="s">
        <v>1104</v>
      </c>
    </row>
    <row r="334" spans="1:11" ht="24" x14ac:dyDescent="0.2">
      <c r="A334" s="60" t="s">
        <v>1685</v>
      </c>
      <c r="B334" s="806" t="s">
        <v>1660</v>
      </c>
      <c r="C334" s="416" t="s">
        <v>1096</v>
      </c>
      <c r="D334" s="416"/>
      <c r="E334" s="415"/>
      <c r="F334" s="957">
        <v>6000</v>
      </c>
      <c r="G334" s="60">
        <v>20605924370</v>
      </c>
      <c r="H334" s="713" t="s">
        <v>1663</v>
      </c>
      <c r="I334" s="948">
        <v>44183</v>
      </c>
      <c r="J334" s="948"/>
      <c r="K334" s="862" t="s">
        <v>1104</v>
      </c>
    </row>
    <row r="335" spans="1:11" ht="24" x14ac:dyDescent="0.2">
      <c r="A335" s="60" t="s">
        <v>1686</v>
      </c>
      <c r="B335" s="806" t="s">
        <v>1660</v>
      </c>
      <c r="C335" s="416" t="s">
        <v>1096</v>
      </c>
      <c r="D335" s="416"/>
      <c r="E335" s="415"/>
      <c r="F335" s="957">
        <v>11080</v>
      </c>
      <c r="G335" s="60">
        <v>20552254601</v>
      </c>
      <c r="H335" s="713" t="s">
        <v>1663</v>
      </c>
      <c r="I335" s="948">
        <v>44186</v>
      </c>
      <c r="J335" s="948"/>
      <c r="K335" s="862" t="s">
        <v>1104</v>
      </c>
    </row>
    <row r="336" spans="1:11" ht="24" x14ac:dyDescent="0.2">
      <c r="A336" s="60" t="s">
        <v>1683</v>
      </c>
      <c r="B336" s="806" t="s">
        <v>1660</v>
      </c>
      <c r="C336" s="416" t="s">
        <v>1096</v>
      </c>
      <c r="D336" s="416"/>
      <c r="E336" s="415"/>
      <c r="F336" s="957">
        <v>9099</v>
      </c>
      <c r="G336" s="60">
        <v>20393544628</v>
      </c>
      <c r="H336" s="713" t="s">
        <v>1663</v>
      </c>
      <c r="I336" s="948">
        <v>44186</v>
      </c>
      <c r="J336" s="948"/>
      <c r="K336" s="862" t="s">
        <v>1104</v>
      </c>
    </row>
    <row r="337" spans="1:11" ht="24" x14ac:dyDescent="0.2">
      <c r="A337" s="60" t="s">
        <v>1682</v>
      </c>
      <c r="B337" s="806" t="s">
        <v>1660</v>
      </c>
      <c r="C337" s="416" t="s">
        <v>1096</v>
      </c>
      <c r="D337" s="416"/>
      <c r="E337" s="415"/>
      <c r="F337" s="957">
        <v>7982</v>
      </c>
      <c r="G337" s="60">
        <v>10001912815</v>
      </c>
      <c r="H337" s="713" t="s">
        <v>1663</v>
      </c>
      <c r="I337" s="948">
        <v>44193</v>
      </c>
      <c r="J337" s="948"/>
      <c r="K337" s="862" t="s">
        <v>1104</v>
      </c>
    </row>
    <row r="338" spans="1:11" ht="24" x14ac:dyDescent="0.2">
      <c r="A338" s="60" t="s">
        <v>1687</v>
      </c>
      <c r="B338" s="806" t="s">
        <v>1660</v>
      </c>
      <c r="C338" s="416" t="s">
        <v>1096</v>
      </c>
      <c r="D338" s="416"/>
      <c r="E338" s="415"/>
      <c r="F338" s="957">
        <v>4650</v>
      </c>
      <c r="G338" s="60">
        <v>10734536011</v>
      </c>
      <c r="H338" s="713" t="s">
        <v>1663</v>
      </c>
      <c r="I338" s="948">
        <v>44193</v>
      </c>
      <c r="J338" s="948"/>
      <c r="K338" s="862" t="s">
        <v>1104</v>
      </c>
    </row>
    <row r="339" spans="1:11" ht="24" x14ac:dyDescent="0.2">
      <c r="A339" s="60" t="s">
        <v>1688</v>
      </c>
      <c r="B339" s="806" t="s">
        <v>1660</v>
      </c>
      <c r="C339" s="416" t="s">
        <v>1107</v>
      </c>
      <c r="D339" s="416"/>
      <c r="E339" s="415"/>
      <c r="F339" s="957">
        <v>8300</v>
      </c>
      <c r="G339" s="60">
        <v>20600757661</v>
      </c>
      <c r="H339" s="713" t="s">
        <v>1663</v>
      </c>
      <c r="I339" s="948">
        <v>44176</v>
      </c>
      <c r="J339" s="948"/>
      <c r="K339" s="862" t="s">
        <v>1104</v>
      </c>
    </row>
    <row r="340" spans="1:11" ht="24" x14ac:dyDescent="0.2">
      <c r="A340" s="60" t="s">
        <v>1689</v>
      </c>
      <c r="B340" s="806" t="s">
        <v>1660</v>
      </c>
      <c r="C340" s="416" t="s">
        <v>1107</v>
      </c>
      <c r="D340" s="416"/>
      <c r="E340" s="415"/>
      <c r="F340" s="957">
        <v>5427.5</v>
      </c>
      <c r="G340" s="60">
        <v>10702457691</v>
      </c>
      <c r="H340" s="713" t="s">
        <v>1663</v>
      </c>
      <c r="I340" s="948">
        <v>44176</v>
      </c>
      <c r="J340" s="948"/>
      <c r="K340" s="862" t="s">
        <v>1104</v>
      </c>
    </row>
    <row r="341" spans="1:11" ht="24" x14ac:dyDescent="0.2">
      <c r="A341" s="60" t="s">
        <v>1690</v>
      </c>
      <c r="B341" s="806" t="s">
        <v>1660</v>
      </c>
      <c r="C341" s="416" t="s">
        <v>1107</v>
      </c>
      <c r="D341" s="416"/>
      <c r="E341" s="415"/>
      <c r="F341" s="957">
        <v>6150</v>
      </c>
      <c r="G341" s="60">
        <v>10001058644</v>
      </c>
      <c r="H341" s="713" t="s">
        <v>1663</v>
      </c>
      <c r="I341" s="948">
        <v>44176</v>
      </c>
      <c r="J341" s="948"/>
      <c r="K341" s="862" t="s">
        <v>1104</v>
      </c>
    </row>
    <row r="342" spans="1:11" ht="24" x14ac:dyDescent="0.2">
      <c r="A342" s="60" t="s">
        <v>1691</v>
      </c>
      <c r="B342" s="806" t="s">
        <v>1660</v>
      </c>
      <c r="C342" s="416" t="s">
        <v>1107</v>
      </c>
      <c r="D342" s="416"/>
      <c r="E342" s="415"/>
      <c r="F342" s="957">
        <v>5200</v>
      </c>
      <c r="G342" s="60">
        <v>20417115588</v>
      </c>
      <c r="H342" s="713" t="s">
        <v>1663</v>
      </c>
      <c r="I342" s="948">
        <v>44176</v>
      </c>
      <c r="J342" s="948"/>
      <c r="K342" s="862" t="s">
        <v>1104</v>
      </c>
    </row>
    <row r="343" spans="1:11" ht="24" x14ac:dyDescent="0.2">
      <c r="A343" s="60" t="s">
        <v>1691</v>
      </c>
      <c r="B343" s="806" t="s">
        <v>1660</v>
      </c>
      <c r="C343" s="416" t="s">
        <v>1107</v>
      </c>
      <c r="D343" s="416"/>
      <c r="E343" s="415"/>
      <c r="F343" s="957">
        <v>5200</v>
      </c>
      <c r="G343" s="60">
        <v>20417115588</v>
      </c>
      <c r="H343" s="713" t="s">
        <v>1663</v>
      </c>
      <c r="I343" s="948">
        <v>44176</v>
      </c>
      <c r="J343" s="948"/>
      <c r="K343" s="862" t="s">
        <v>1104</v>
      </c>
    </row>
    <row r="344" spans="1:11" ht="24" x14ac:dyDescent="0.2">
      <c r="A344" s="60" t="s">
        <v>1691</v>
      </c>
      <c r="B344" s="806" t="s">
        <v>1660</v>
      </c>
      <c r="C344" s="416" t="s">
        <v>1107</v>
      </c>
      <c r="D344" s="416"/>
      <c r="E344" s="415"/>
      <c r="F344" s="957">
        <v>9108</v>
      </c>
      <c r="G344" s="60">
        <v>20417115588</v>
      </c>
      <c r="H344" s="713" t="s">
        <v>1663</v>
      </c>
      <c r="I344" s="948">
        <v>44176</v>
      </c>
      <c r="J344" s="948"/>
      <c r="K344" s="862" t="s">
        <v>1104</v>
      </c>
    </row>
    <row r="345" spans="1:11" ht="24" x14ac:dyDescent="0.2">
      <c r="A345" s="60" t="s">
        <v>1691</v>
      </c>
      <c r="B345" s="806" t="s">
        <v>1660</v>
      </c>
      <c r="C345" s="416" t="s">
        <v>1107</v>
      </c>
      <c r="D345" s="416"/>
      <c r="E345" s="415"/>
      <c r="F345" s="957">
        <v>8772.5</v>
      </c>
      <c r="G345" s="60">
        <v>20417115588</v>
      </c>
      <c r="H345" s="713" t="s">
        <v>1663</v>
      </c>
      <c r="I345" s="948">
        <v>44176</v>
      </c>
      <c r="J345" s="948"/>
      <c r="K345" s="862" t="s">
        <v>1104</v>
      </c>
    </row>
    <row r="346" spans="1:11" ht="24" x14ac:dyDescent="0.2">
      <c r="A346" s="60" t="s">
        <v>1692</v>
      </c>
      <c r="B346" s="806" t="s">
        <v>1660</v>
      </c>
      <c r="C346" s="416" t="s">
        <v>1107</v>
      </c>
      <c r="D346" s="416"/>
      <c r="E346" s="415"/>
      <c r="F346" s="957">
        <v>23692.5</v>
      </c>
      <c r="G346" s="60">
        <v>10407118362</v>
      </c>
      <c r="H346" s="713" t="s">
        <v>1663</v>
      </c>
      <c r="I346" s="948">
        <v>44186</v>
      </c>
      <c r="J346" s="948"/>
      <c r="K346" s="862" t="s">
        <v>1104</v>
      </c>
    </row>
    <row r="347" spans="1:11" ht="24" x14ac:dyDescent="0.2">
      <c r="A347" s="60" t="s">
        <v>1693</v>
      </c>
      <c r="B347" s="806" t="s">
        <v>1660</v>
      </c>
      <c r="C347" s="416" t="s">
        <v>1107</v>
      </c>
      <c r="D347" s="416"/>
      <c r="E347" s="415"/>
      <c r="F347" s="957">
        <v>9500</v>
      </c>
      <c r="G347" s="60">
        <v>10000948727</v>
      </c>
      <c r="H347" s="713" t="s">
        <v>1663</v>
      </c>
      <c r="I347" s="948">
        <v>44186</v>
      </c>
      <c r="J347" s="948"/>
      <c r="K347" s="862" t="s">
        <v>1104</v>
      </c>
    </row>
    <row r="348" spans="1:11" ht="24" x14ac:dyDescent="0.2">
      <c r="A348" s="60" t="s">
        <v>1694</v>
      </c>
      <c r="B348" s="806" t="s">
        <v>1660</v>
      </c>
      <c r="C348" s="416" t="s">
        <v>1107</v>
      </c>
      <c r="D348" s="416"/>
      <c r="E348" s="415"/>
      <c r="F348" s="957">
        <v>20267</v>
      </c>
      <c r="G348" s="60">
        <v>20605924370</v>
      </c>
      <c r="H348" s="713" t="s">
        <v>1663</v>
      </c>
      <c r="I348" s="948">
        <v>44186</v>
      </c>
      <c r="J348" s="948"/>
      <c r="K348" s="862" t="s">
        <v>1104</v>
      </c>
    </row>
    <row r="349" spans="1:11" ht="24" x14ac:dyDescent="0.2">
      <c r="A349" s="60" t="s">
        <v>1695</v>
      </c>
      <c r="B349" s="806" t="s">
        <v>1660</v>
      </c>
      <c r="C349" s="416" t="s">
        <v>1107</v>
      </c>
      <c r="D349" s="416"/>
      <c r="E349" s="415"/>
      <c r="F349" s="957">
        <v>6508</v>
      </c>
      <c r="G349" s="60">
        <v>20605924370</v>
      </c>
      <c r="H349" s="713" t="s">
        <v>1663</v>
      </c>
      <c r="I349" s="948">
        <v>44193</v>
      </c>
      <c r="J349" s="948"/>
      <c r="K349" s="862" t="s">
        <v>1104</v>
      </c>
    </row>
    <row r="350" spans="1:11" ht="24" x14ac:dyDescent="0.2">
      <c r="A350" s="60" t="s">
        <v>1696</v>
      </c>
      <c r="B350" s="806" t="s">
        <v>1660</v>
      </c>
      <c r="C350" s="416" t="s">
        <v>1107</v>
      </c>
      <c r="D350" s="416"/>
      <c r="E350" s="415"/>
      <c r="F350" s="957">
        <v>6500</v>
      </c>
      <c r="G350" s="60">
        <v>10454395404</v>
      </c>
      <c r="H350" s="713" t="s">
        <v>1663</v>
      </c>
      <c r="I350" s="948">
        <v>44193</v>
      </c>
      <c r="J350" s="948"/>
      <c r="K350" s="862" t="s">
        <v>1104</v>
      </c>
    </row>
    <row r="351" spans="1:11" ht="24" x14ac:dyDescent="0.2">
      <c r="A351" s="60" t="s">
        <v>1697</v>
      </c>
      <c r="B351" s="806" t="s">
        <v>1660</v>
      </c>
      <c r="C351" s="416" t="s">
        <v>1107</v>
      </c>
      <c r="D351" s="416"/>
      <c r="E351" s="415"/>
      <c r="F351" s="957">
        <v>12041.19</v>
      </c>
      <c r="G351" s="60">
        <v>10702457691</v>
      </c>
      <c r="H351" s="713" t="s">
        <v>1663</v>
      </c>
      <c r="I351" s="948">
        <v>44193</v>
      </c>
      <c r="J351" s="948"/>
      <c r="K351" s="862" t="s">
        <v>1104</v>
      </c>
    </row>
    <row r="352" spans="1:11" ht="24" x14ac:dyDescent="0.2">
      <c r="A352" s="60" t="s">
        <v>1698</v>
      </c>
      <c r="B352" s="806" t="s">
        <v>1660</v>
      </c>
      <c r="C352" s="416" t="s">
        <v>1107</v>
      </c>
      <c r="D352" s="416"/>
      <c r="E352" s="415"/>
      <c r="F352" s="957">
        <v>6495</v>
      </c>
      <c r="G352" s="60">
        <v>20393985837</v>
      </c>
      <c r="H352" s="713" t="s">
        <v>1663</v>
      </c>
      <c r="I352" s="948">
        <v>44193</v>
      </c>
      <c r="J352" s="948"/>
      <c r="K352" s="862" t="s">
        <v>1104</v>
      </c>
    </row>
    <row r="353" spans="1:11" ht="24" x14ac:dyDescent="0.2">
      <c r="A353" s="60" t="s">
        <v>1699</v>
      </c>
      <c r="B353" s="806" t="s">
        <v>1660</v>
      </c>
      <c r="C353" s="416" t="s">
        <v>1107</v>
      </c>
      <c r="D353" s="416"/>
      <c r="E353" s="415"/>
      <c r="F353" s="957">
        <v>6800</v>
      </c>
      <c r="G353" s="60">
        <v>10723538641</v>
      </c>
      <c r="H353" s="713" t="s">
        <v>1663</v>
      </c>
      <c r="I353" s="948">
        <v>44193</v>
      </c>
      <c r="J353" s="948"/>
      <c r="K353" s="862" t="s">
        <v>1104</v>
      </c>
    </row>
    <row r="354" spans="1:11" ht="24" x14ac:dyDescent="0.2">
      <c r="A354" s="60" t="s">
        <v>1700</v>
      </c>
      <c r="B354" s="806" t="s">
        <v>1660</v>
      </c>
      <c r="C354" s="416" t="s">
        <v>1107</v>
      </c>
      <c r="D354" s="416"/>
      <c r="E354" s="415"/>
      <c r="F354" s="957">
        <v>7800</v>
      </c>
      <c r="G354" s="60">
        <v>10000305150</v>
      </c>
      <c r="H354" s="713" t="s">
        <v>1663</v>
      </c>
      <c r="I354" s="948">
        <v>44195</v>
      </c>
      <c r="J354" s="948"/>
      <c r="K354" s="862" t="s">
        <v>1104</v>
      </c>
    </row>
    <row r="355" spans="1:11" ht="24" x14ac:dyDescent="0.2">
      <c r="A355" s="60" t="s">
        <v>1691</v>
      </c>
      <c r="B355" s="806" t="s">
        <v>1660</v>
      </c>
      <c r="C355" s="416" t="s">
        <v>1107</v>
      </c>
      <c r="D355" s="416"/>
      <c r="E355" s="415"/>
      <c r="F355" s="957">
        <v>4794</v>
      </c>
      <c r="G355" s="60">
        <v>20417115588</v>
      </c>
      <c r="H355" s="713" t="s">
        <v>1663</v>
      </c>
      <c r="I355" s="948">
        <v>44196</v>
      </c>
      <c r="J355" s="948"/>
      <c r="K355" s="862" t="s">
        <v>1104</v>
      </c>
    </row>
    <row r="356" spans="1:11" ht="24" x14ac:dyDescent="0.2">
      <c r="A356" s="60" t="s">
        <v>1701</v>
      </c>
      <c r="B356" s="806" t="s">
        <v>1660</v>
      </c>
      <c r="C356" s="416" t="s">
        <v>1107</v>
      </c>
      <c r="D356" s="416"/>
      <c r="E356" s="415"/>
      <c r="F356" s="957">
        <v>5068</v>
      </c>
      <c r="G356" s="60">
        <v>20232236273</v>
      </c>
      <c r="H356" s="713" t="s">
        <v>1663</v>
      </c>
      <c r="I356" s="948">
        <v>44196</v>
      </c>
      <c r="J356" s="948"/>
      <c r="K356" s="862" t="s">
        <v>1104</v>
      </c>
    </row>
    <row r="357" spans="1:11" ht="24" x14ac:dyDescent="0.2">
      <c r="A357" s="60" t="s">
        <v>1702</v>
      </c>
      <c r="B357" s="806" t="s">
        <v>1660</v>
      </c>
      <c r="C357" s="416" t="s">
        <v>1107</v>
      </c>
      <c r="D357" s="416"/>
      <c r="E357" s="415"/>
      <c r="F357" s="957">
        <v>6770</v>
      </c>
      <c r="G357" s="60">
        <v>10211469400</v>
      </c>
      <c r="H357" s="713" t="s">
        <v>1663</v>
      </c>
      <c r="I357" s="948">
        <v>44243</v>
      </c>
      <c r="J357" s="948"/>
      <c r="K357" s="862" t="s">
        <v>1104</v>
      </c>
    </row>
    <row r="358" spans="1:11" ht="24" x14ac:dyDescent="0.2">
      <c r="A358" s="60" t="s">
        <v>1703</v>
      </c>
      <c r="B358" s="806" t="s">
        <v>1660</v>
      </c>
      <c r="C358" s="416" t="s">
        <v>1096</v>
      </c>
      <c r="D358" s="416"/>
      <c r="E358" s="415"/>
      <c r="F358" s="957">
        <v>5208</v>
      </c>
      <c r="G358" s="60">
        <v>10400217993</v>
      </c>
      <c r="H358" s="713" t="s">
        <v>1663</v>
      </c>
      <c r="I358" s="948">
        <v>44259</v>
      </c>
      <c r="J358" s="948"/>
      <c r="K358" s="862" t="s">
        <v>1104</v>
      </c>
    </row>
    <row r="359" spans="1:11" ht="24" x14ac:dyDescent="0.2">
      <c r="A359" s="60" t="s">
        <v>1704</v>
      </c>
      <c r="B359" s="806" t="s">
        <v>1660</v>
      </c>
      <c r="C359" s="416" t="s">
        <v>1096</v>
      </c>
      <c r="D359" s="416"/>
      <c r="E359" s="415"/>
      <c r="F359" s="957">
        <v>5160.6000000000004</v>
      </c>
      <c r="G359" s="60">
        <v>20393051869</v>
      </c>
      <c r="H359" s="713" t="s">
        <v>1663</v>
      </c>
      <c r="I359" s="948">
        <v>44271</v>
      </c>
      <c r="J359" s="948"/>
      <c r="K359" s="862" t="s">
        <v>1104</v>
      </c>
    </row>
    <row r="360" spans="1:11" ht="24" x14ac:dyDescent="0.2">
      <c r="A360" s="60" t="s">
        <v>1704</v>
      </c>
      <c r="B360" s="806" t="s">
        <v>1660</v>
      </c>
      <c r="C360" s="416" t="s">
        <v>1096</v>
      </c>
      <c r="D360" s="416"/>
      <c r="E360" s="415"/>
      <c r="F360" s="957">
        <v>5655</v>
      </c>
      <c r="G360" s="60">
        <v>20393051869</v>
      </c>
      <c r="H360" s="713" t="s">
        <v>1663</v>
      </c>
      <c r="I360" s="948">
        <v>44271</v>
      </c>
      <c r="J360" s="948"/>
      <c r="K360" s="862" t="s">
        <v>1104</v>
      </c>
    </row>
    <row r="361" spans="1:11" ht="24" x14ac:dyDescent="0.2">
      <c r="A361" s="60" t="s">
        <v>1704</v>
      </c>
      <c r="B361" s="806" t="s">
        <v>1660</v>
      </c>
      <c r="C361" s="416" t="s">
        <v>1096</v>
      </c>
      <c r="D361" s="416"/>
      <c r="E361" s="415"/>
      <c r="F361" s="957">
        <v>11823.66</v>
      </c>
      <c r="G361" s="60">
        <v>20393051869</v>
      </c>
      <c r="H361" s="713" t="s">
        <v>1663</v>
      </c>
      <c r="I361" s="948">
        <v>44271</v>
      </c>
      <c r="J361" s="948"/>
      <c r="K361" s="862" t="s">
        <v>1104</v>
      </c>
    </row>
    <row r="362" spans="1:11" ht="24" x14ac:dyDescent="0.2">
      <c r="A362" s="60" t="s">
        <v>1705</v>
      </c>
      <c r="B362" s="806" t="s">
        <v>1660</v>
      </c>
      <c r="C362" s="416" t="s">
        <v>1107</v>
      </c>
      <c r="D362" s="416"/>
      <c r="E362" s="415"/>
      <c r="F362" s="957">
        <v>63898</v>
      </c>
      <c r="G362" s="60">
        <v>20394082288</v>
      </c>
      <c r="H362" s="713" t="s">
        <v>1663</v>
      </c>
      <c r="I362" s="948">
        <v>44258</v>
      </c>
      <c r="J362" s="948"/>
      <c r="K362" s="862" t="s">
        <v>1104</v>
      </c>
    </row>
    <row r="363" spans="1:11" ht="24" x14ac:dyDescent="0.2">
      <c r="A363" s="60" t="s">
        <v>1706</v>
      </c>
      <c r="B363" s="806" t="s">
        <v>1660</v>
      </c>
      <c r="C363" s="416" t="s">
        <v>1107</v>
      </c>
      <c r="D363" s="416"/>
      <c r="E363" s="415"/>
      <c r="F363" s="957">
        <v>9102</v>
      </c>
      <c r="G363" s="60">
        <v>10448067306</v>
      </c>
      <c r="H363" s="713" t="s">
        <v>1663</v>
      </c>
      <c r="I363" s="948">
        <v>44273</v>
      </c>
      <c r="J363" s="948"/>
      <c r="K363" s="862" t="s">
        <v>1104</v>
      </c>
    </row>
    <row r="364" spans="1:11" ht="24" x14ac:dyDescent="0.2">
      <c r="A364" s="60" t="s">
        <v>1707</v>
      </c>
      <c r="B364" s="806" t="s">
        <v>1660</v>
      </c>
      <c r="C364" s="416" t="s">
        <v>1107</v>
      </c>
      <c r="D364" s="416"/>
      <c r="E364" s="415"/>
      <c r="F364" s="957">
        <v>5000</v>
      </c>
      <c r="G364" s="60">
        <v>10434242601</v>
      </c>
      <c r="H364" s="713" t="s">
        <v>1663</v>
      </c>
      <c r="I364" s="948">
        <v>44280</v>
      </c>
      <c r="J364" s="948"/>
      <c r="K364" s="862" t="s">
        <v>1104</v>
      </c>
    </row>
    <row r="365" spans="1:11" ht="24" x14ac:dyDescent="0.2">
      <c r="A365" s="60" t="s">
        <v>1708</v>
      </c>
      <c r="B365" s="806" t="s">
        <v>1660</v>
      </c>
      <c r="C365" s="416" t="s">
        <v>1096</v>
      </c>
      <c r="D365" s="416"/>
      <c r="E365" s="415"/>
      <c r="F365" s="957">
        <v>8980</v>
      </c>
      <c r="G365" s="60">
        <v>10434242601</v>
      </c>
      <c r="H365" s="713" t="s">
        <v>1663</v>
      </c>
      <c r="I365" s="948">
        <v>44293</v>
      </c>
      <c r="J365" s="948"/>
      <c r="K365" s="862" t="s">
        <v>1104</v>
      </c>
    </row>
    <row r="366" spans="1:11" ht="24" x14ac:dyDescent="0.2">
      <c r="A366" s="60" t="s">
        <v>1709</v>
      </c>
      <c r="B366" s="806" t="s">
        <v>1660</v>
      </c>
      <c r="C366" s="416" t="s">
        <v>1096</v>
      </c>
      <c r="D366" s="416"/>
      <c r="E366" s="415"/>
      <c r="F366" s="957">
        <v>5000</v>
      </c>
      <c r="G366" s="60">
        <v>10001912815</v>
      </c>
      <c r="H366" s="713" t="s">
        <v>1663</v>
      </c>
      <c r="I366" s="948">
        <v>44294</v>
      </c>
      <c r="J366" s="948"/>
      <c r="K366" s="862" t="s">
        <v>1104</v>
      </c>
    </row>
    <row r="367" spans="1:11" ht="24" x14ac:dyDescent="0.2">
      <c r="A367" s="60" t="s">
        <v>1710</v>
      </c>
      <c r="B367" s="806" t="s">
        <v>1660</v>
      </c>
      <c r="C367" s="416" t="s">
        <v>1096</v>
      </c>
      <c r="D367" s="416"/>
      <c r="E367" s="415"/>
      <c r="F367" s="957">
        <v>18913.5</v>
      </c>
      <c r="G367" s="60">
        <v>20394058816</v>
      </c>
      <c r="H367" s="713" t="s">
        <v>1663</v>
      </c>
      <c r="I367" s="948">
        <v>44302</v>
      </c>
      <c r="J367" s="948"/>
      <c r="K367" s="862" t="s">
        <v>1104</v>
      </c>
    </row>
    <row r="368" spans="1:11" ht="24" x14ac:dyDescent="0.2">
      <c r="A368" s="60" t="s">
        <v>1711</v>
      </c>
      <c r="B368" s="806" t="s">
        <v>1660</v>
      </c>
      <c r="C368" s="416" t="s">
        <v>1107</v>
      </c>
      <c r="D368" s="416"/>
      <c r="E368" s="415"/>
      <c r="F368" s="957">
        <v>24993</v>
      </c>
      <c r="G368" s="60">
        <v>10737399104</v>
      </c>
      <c r="H368" s="713" t="s">
        <v>1663</v>
      </c>
      <c r="I368" s="948">
        <v>44293</v>
      </c>
      <c r="J368" s="948"/>
      <c r="K368" s="862" t="s">
        <v>1104</v>
      </c>
    </row>
    <row r="369" spans="1:11" ht="24" x14ac:dyDescent="0.2">
      <c r="A369" s="60" t="s">
        <v>1712</v>
      </c>
      <c r="B369" s="806" t="s">
        <v>1660</v>
      </c>
      <c r="C369" s="416" t="s">
        <v>1107</v>
      </c>
      <c r="D369" s="416"/>
      <c r="E369" s="415"/>
      <c r="F369" s="957">
        <v>27390</v>
      </c>
      <c r="G369" s="60">
        <v>10737399104</v>
      </c>
      <c r="H369" s="713" t="s">
        <v>1663</v>
      </c>
      <c r="I369" s="948">
        <v>44295</v>
      </c>
      <c r="J369" s="948"/>
      <c r="K369" s="862" t="s">
        <v>1104</v>
      </c>
    </row>
    <row r="370" spans="1:11" ht="24" x14ac:dyDescent="0.2">
      <c r="A370" s="60" t="s">
        <v>1710</v>
      </c>
      <c r="B370" s="806" t="s">
        <v>1660</v>
      </c>
      <c r="C370" s="416" t="s">
        <v>1096</v>
      </c>
      <c r="D370" s="416"/>
      <c r="E370" s="415"/>
      <c r="F370" s="957">
        <v>18913.5</v>
      </c>
      <c r="G370" s="60">
        <v>10470917178</v>
      </c>
      <c r="H370" s="713" t="s">
        <v>1663</v>
      </c>
      <c r="I370" s="948">
        <v>44333</v>
      </c>
      <c r="J370" s="948"/>
      <c r="K370" s="862" t="s">
        <v>1104</v>
      </c>
    </row>
    <row r="371" spans="1:11" ht="24" x14ac:dyDescent="0.2">
      <c r="A371" s="60" t="s">
        <v>1713</v>
      </c>
      <c r="B371" s="806" t="s">
        <v>1660</v>
      </c>
      <c r="C371" s="416" t="s">
        <v>1096</v>
      </c>
      <c r="D371" s="416"/>
      <c r="E371" s="415"/>
      <c r="F371" s="957">
        <v>23997.8</v>
      </c>
      <c r="G371" s="60">
        <v>10000844018</v>
      </c>
      <c r="H371" s="713" t="s">
        <v>1663</v>
      </c>
      <c r="I371" s="948">
        <v>44337</v>
      </c>
      <c r="J371" s="948"/>
      <c r="K371" s="862" t="s">
        <v>1104</v>
      </c>
    </row>
    <row r="372" spans="1:11" ht="24" x14ac:dyDescent="0.2">
      <c r="A372" s="60" t="s">
        <v>1714</v>
      </c>
      <c r="B372" s="806" t="s">
        <v>1660</v>
      </c>
      <c r="C372" s="416" t="s">
        <v>1096</v>
      </c>
      <c r="D372" s="416"/>
      <c r="E372" s="415"/>
      <c r="F372" s="957">
        <v>5856</v>
      </c>
      <c r="G372" s="60">
        <v>20393915626</v>
      </c>
      <c r="H372" s="713" t="s">
        <v>1663</v>
      </c>
      <c r="I372" s="948">
        <v>44351</v>
      </c>
      <c r="J372" s="948"/>
      <c r="K372" s="862" t="s">
        <v>1104</v>
      </c>
    </row>
    <row r="373" spans="1:11" ht="24" x14ac:dyDescent="0.2">
      <c r="A373" s="60" t="s">
        <v>1715</v>
      </c>
      <c r="B373" s="806" t="s">
        <v>1660</v>
      </c>
      <c r="C373" s="416" t="s">
        <v>1096</v>
      </c>
      <c r="D373" s="416"/>
      <c r="E373" s="415"/>
      <c r="F373" s="957">
        <v>4500</v>
      </c>
      <c r="G373" s="60">
        <v>10104471396</v>
      </c>
      <c r="H373" s="713" t="s">
        <v>1663</v>
      </c>
      <c r="I373" s="948">
        <v>44351</v>
      </c>
      <c r="J373" s="948"/>
      <c r="K373" s="862" t="s">
        <v>1104</v>
      </c>
    </row>
    <row r="374" spans="1:11" ht="24" x14ac:dyDescent="0.2">
      <c r="A374" s="60" t="s">
        <v>1716</v>
      </c>
      <c r="B374" s="806" t="s">
        <v>1660</v>
      </c>
      <c r="C374" s="416" t="s">
        <v>1096</v>
      </c>
      <c r="D374" s="416"/>
      <c r="E374" s="415"/>
      <c r="F374" s="957">
        <v>4531</v>
      </c>
      <c r="G374" s="60">
        <v>10407249921</v>
      </c>
      <c r="H374" s="713" t="s">
        <v>1663</v>
      </c>
      <c r="I374" s="948">
        <v>44369</v>
      </c>
      <c r="J374" s="948"/>
      <c r="K374" s="862" t="s">
        <v>1104</v>
      </c>
    </row>
    <row r="375" spans="1:11" ht="24" x14ac:dyDescent="0.2">
      <c r="A375" s="60" t="s">
        <v>1717</v>
      </c>
      <c r="B375" s="806" t="s">
        <v>1660</v>
      </c>
      <c r="C375" s="416" t="s">
        <v>1107</v>
      </c>
      <c r="D375" s="416"/>
      <c r="E375" s="415"/>
      <c r="F375" s="957">
        <v>17000</v>
      </c>
      <c r="G375" s="60">
        <v>10434242601</v>
      </c>
      <c r="H375" s="713" t="s">
        <v>1663</v>
      </c>
      <c r="I375" s="948">
        <v>44349</v>
      </c>
      <c r="J375" s="948"/>
      <c r="K375" s="862" t="s">
        <v>1104</v>
      </c>
    </row>
    <row r="376" spans="1:11" ht="24" x14ac:dyDescent="0.2">
      <c r="A376" s="60" t="s">
        <v>1718</v>
      </c>
      <c r="B376" s="806" t="s">
        <v>1660</v>
      </c>
      <c r="C376" s="416" t="s">
        <v>1107</v>
      </c>
      <c r="D376" s="416"/>
      <c r="E376" s="415"/>
      <c r="F376" s="957">
        <v>5000</v>
      </c>
      <c r="G376" s="60">
        <v>20393629534</v>
      </c>
      <c r="H376" s="713" t="s">
        <v>1663</v>
      </c>
      <c r="I376" s="948">
        <v>44356</v>
      </c>
      <c r="J376" s="948"/>
      <c r="K376" s="862" t="s">
        <v>1104</v>
      </c>
    </row>
    <row r="377" spans="1:11" ht="24" x14ac:dyDescent="0.2">
      <c r="A377" s="60" t="s">
        <v>1719</v>
      </c>
      <c r="B377" s="806" t="s">
        <v>1660</v>
      </c>
      <c r="C377" s="416" t="s">
        <v>1107</v>
      </c>
      <c r="D377" s="416"/>
      <c r="E377" s="415"/>
      <c r="F377" s="957">
        <v>27522</v>
      </c>
      <c r="G377" s="60">
        <v>10001911193</v>
      </c>
      <c r="H377" s="713" t="s">
        <v>1663</v>
      </c>
      <c r="I377" s="948">
        <v>44368</v>
      </c>
      <c r="J377" s="948"/>
      <c r="K377" s="862" t="s">
        <v>1104</v>
      </c>
    </row>
    <row r="378" spans="1:11" ht="24" x14ac:dyDescent="0.2">
      <c r="A378" s="60" t="s">
        <v>1720</v>
      </c>
      <c r="B378" s="806" t="s">
        <v>1660</v>
      </c>
      <c r="C378" s="416" t="s">
        <v>1107</v>
      </c>
      <c r="D378" s="416"/>
      <c r="E378" s="415"/>
      <c r="F378" s="957">
        <v>10529</v>
      </c>
      <c r="G378" s="60">
        <v>10707630111</v>
      </c>
      <c r="H378" s="713" t="s">
        <v>1663</v>
      </c>
      <c r="I378" s="948">
        <v>44379</v>
      </c>
      <c r="J378" s="948"/>
      <c r="K378" s="862" t="s">
        <v>1104</v>
      </c>
    </row>
    <row r="379" spans="1:11" ht="24" x14ac:dyDescent="0.2">
      <c r="A379" s="60" t="s">
        <v>1721</v>
      </c>
      <c r="B379" s="806" t="s">
        <v>1660</v>
      </c>
      <c r="C379" s="416" t="s">
        <v>1107</v>
      </c>
      <c r="D379" s="416"/>
      <c r="E379" s="415"/>
      <c r="F379" s="957">
        <v>7906</v>
      </c>
      <c r="G379" s="60">
        <v>10764392545</v>
      </c>
      <c r="H379" s="713" t="s">
        <v>1663</v>
      </c>
      <c r="I379" s="948">
        <v>44382</v>
      </c>
      <c r="J379" s="948"/>
      <c r="K379" s="862" t="s">
        <v>1104</v>
      </c>
    </row>
    <row r="380" spans="1:11" ht="24" x14ac:dyDescent="0.2">
      <c r="A380" s="60" t="s">
        <v>1722</v>
      </c>
      <c r="B380" s="806" t="s">
        <v>1660</v>
      </c>
      <c r="C380" s="416" t="s">
        <v>1107</v>
      </c>
      <c r="D380" s="416"/>
      <c r="E380" s="415"/>
      <c r="F380" s="957">
        <v>10900</v>
      </c>
      <c r="G380" s="60">
        <v>10704114775</v>
      </c>
      <c r="H380" s="713" t="s">
        <v>1663</v>
      </c>
      <c r="I380" s="948">
        <v>44385</v>
      </c>
      <c r="J380" s="948"/>
      <c r="K380" s="862" t="s">
        <v>1104</v>
      </c>
    </row>
    <row r="381" spans="1:11" ht="24" x14ac:dyDescent="0.2">
      <c r="A381" s="60" t="s">
        <v>1723</v>
      </c>
      <c r="B381" s="806" t="s">
        <v>1660</v>
      </c>
      <c r="C381" s="416" t="s">
        <v>1107</v>
      </c>
      <c r="D381" s="416"/>
      <c r="E381" s="415"/>
      <c r="F381" s="957">
        <v>11000</v>
      </c>
      <c r="G381" s="60">
        <v>10001911193</v>
      </c>
      <c r="H381" s="415"/>
      <c r="I381" s="948">
        <v>44434</v>
      </c>
      <c r="J381" s="948"/>
      <c r="K381" s="862" t="s">
        <v>1104</v>
      </c>
    </row>
    <row r="382" spans="1:11" ht="24" x14ac:dyDescent="0.2">
      <c r="A382" s="60" t="s">
        <v>1724</v>
      </c>
      <c r="B382" s="806" t="s">
        <v>1660</v>
      </c>
      <c r="C382" s="416" t="s">
        <v>1107</v>
      </c>
      <c r="D382" s="416"/>
      <c r="E382" s="415"/>
      <c r="F382" s="957">
        <v>7000</v>
      </c>
      <c r="G382" s="60">
        <v>10737399104</v>
      </c>
      <c r="H382" s="415"/>
      <c r="I382" s="948">
        <v>44435</v>
      </c>
      <c r="J382" s="948"/>
      <c r="K382" s="862" t="s">
        <v>1104</v>
      </c>
    </row>
    <row r="383" spans="1:11" x14ac:dyDescent="0.2">
      <c r="A383" s="915" t="s">
        <v>1725</v>
      </c>
      <c r="B383" s="915"/>
      <c r="C383" s="915"/>
      <c r="D383" s="915"/>
      <c r="E383" s="930"/>
      <c r="F383" s="931"/>
      <c r="G383" s="932"/>
      <c r="H383" s="930"/>
      <c r="I383" s="933"/>
      <c r="J383" s="933"/>
      <c r="K383" s="932"/>
    </row>
    <row r="384" spans="1:11" ht="24" x14ac:dyDescent="0.2">
      <c r="A384" s="416" t="s">
        <v>1726</v>
      </c>
      <c r="B384" s="806" t="s">
        <v>1237</v>
      </c>
      <c r="C384" s="806"/>
      <c r="D384" s="806" t="s">
        <v>1727</v>
      </c>
      <c r="E384" s="415"/>
      <c r="F384" s="958">
        <v>2300</v>
      </c>
      <c r="G384" s="862">
        <v>10725006336</v>
      </c>
      <c r="H384" s="713" t="s">
        <v>1663</v>
      </c>
      <c r="I384" s="945">
        <v>43888</v>
      </c>
      <c r="J384" s="906">
        <v>44255</v>
      </c>
      <c r="K384" s="862"/>
    </row>
    <row r="385" spans="1:11" ht="24" x14ac:dyDescent="0.2">
      <c r="A385" s="416" t="s">
        <v>1728</v>
      </c>
      <c r="B385" s="806" t="s">
        <v>1237</v>
      </c>
      <c r="C385" s="806"/>
      <c r="D385" s="806" t="s">
        <v>1727</v>
      </c>
      <c r="E385" s="415"/>
      <c r="F385" s="958">
        <v>8909.8799999999992</v>
      </c>
      <c r="G385" s="959" t="s">
        <v>1729</v>
      </c>
      <c r="H385" s="713" t="s">
        <v>1663</v>
      </c>
      <c r="I385" s="945">
        <v>44055</v>
      </c>
      <c r="J385" s="906">
        <v>44420</v>
      </c>
      <c r="K385" s="862"/>
    </row>
    <row r="386" spans="1:11" ht="24" x14ac:dyDescent="0.2">
      <c r="A386" s="416" t="s">
        <v>1730</v>
      </c>
      <c r="B386" s="806" t="s">
        <v>1237</v>
      </c>
      <c r="C386" s="806"/>
      <c r="D386" s="806" t="s">
        <v>1727</v>
      </c>
      <c r="E386" s="415"/>
      <c r="F386" s="958">
        <v>33075</v>
      </c>
      <c r="G386" s="862">
        <v>10001124256</v>
      </c>
      <c r="H386" s="713" t="s">
        <v>1663</v>
      </c>
      <c r="I386" s="945">
        <v>44055</v>
      </c>
      <c r="J386" s="906">
        <v>44257</v>
      </c>
      <c r="K386" s="862"/>
    </row>
    <row r="387" spans="1:11" x14ac:dyDescent="0.2">
      <c r="A387" s="416" t="s">
        <v>1731</v>
      </c>
      <c r="B387" s="806" t="s">
        <v>1237</v>
      </c>
      <c r="C387" s="806"/>
      <c r="D387" s="806" t="s">
        <v>1727</v>
      </c>
      <c r="E387" s="415"/>
      <c r="F387" s="958">
        <v>6410</v>
      </c>
      <c r="G387" s="862">
        <v>10180217253</v>
      </c>
      <c r="H387" s="713" t="s">
        <v>1663</v>
      </c>
      <c r="I387" s="945">
        <v>43872</v>
      </c>
      <c r="J387" s="945">
        <v>43873</v>
      </c>
      <c r="K387" s="862"/>
    </row>
    <row r="388" spans="1:11" ht="24" x14ac:dyDescent="0.2">
      <c r="A388" s="416" t="s">
        <v>1732</v>
      </c>
      <c r="B388" s="806" t="s">
        <v>1094</v>
      </c>
      <c r="C388" s="806"/>
      <c r="D388" s="901" t="s">
        <v>1733</v>
      </c>
      <c r="E388" s="415"/>
      <c r="F388" s="958">
        <v>45597.15</v>
      </c>
      <c r="G388" s="862">
        <v>20393973235</v>
      </c>
      <c r="H388" s="713" t="s">
        <v>1492</v>
      </c>
      <c r="I388" s="945">
        <v>43889</v>
      </c>
      <c r="J388" s="945">
        <v>43890</v>
      </c>
      <c r="K388" s="862"/>
    </row>
    <row r="389" spans="1:11" ht="24" x14ac:dyDescent="0.2">
      <c r="A389" s="416" t="s">
        <v>1734</v>
      </c>
      <c r="B389" s="806" t="s">
        <v>1237</v>
      </c>
      <c r="C389" s="806"/>
      <c r="D389" s="806" t="s">
        <v>1727</v>
      </c>
      <c r="E389" s="415"/>
      <c r="F389" s="958">
        <v>5600</v>
      </c>
      <c r="G389" s="862">
        <v>20600761413</v>
      </c>
      <c r="H389" s="713" t="s">
        <v>1663</v>
      </c>
      <c r="I389" s="945">
        <v>43889</v>
      </c>
      <c r="J389" s="945">
        <v>43890</v>
      </c>
      <c r="K389" s="862"/>
    </row>
    <row r="390" spans="1:11" ht="24" x14ac:dyDescent="0.2">
      <c r="A390" s="416" t="s">
        <v>1735</v>
      </c>
      <c r="B390" s="806" t="s">
        <v>1237</v>
      </c>
      <c r="C390" s="806"/>
      <c r="D390" s="806" t="s">
        <v>1727</v>
      </c>
      <c r="E390" s="415"/>
      <c r="F390" s="958">
        <v>19500</v>
      </c>
      <c r="G390" s="862">
        <v>10480877247</v>
      </c>
      <c r="H390" s="713" t="s">
        <v>1663</v>
      </c>
      <c r="I390" s="945">
        <v>43889</v>
      </c>
      <c r="J390" s="945">
        <v>43890</v>
      </c>
      <c r="K390" s="862"/>
    </row>
    <row r="391" spans="1:11" ht="24" x14ac:dyDescent="0.2">
      <c r="A391" s="416" t="s">
        <v>1736</v>
      </c>
      <c r="B391" s="806" t="s">
        <v>1237</v>
      </c>
      <c r="C391" s="806"/>
      <c r="D391" s="806" t="s">
        <v>1727</v>
      </c>
      <c r="E391" s="415"/>
      <c r="F391" s="958">
        <v>1000</v>
      </c>
      <c r="G391" s="862">
        <v>20393296209</v>
      </c>
      <c r="H391" s="713" t="s">
        <v>1663</v>
      </c>
      <c r="I391" s="945">
        <v>43889</v>
      </c>
      <c r="J391" s="945">
        <v>43890</v>
      </c>
      <c r="K391" s="862"/>
    </row>
    <row r="392" spans="1:11" ht="24" x14ac:dyDescent="0.2">
      <c r="A392" s="416" t="s">
        <v>1737</v>
      </c>
      <c r="B392" s="806" t="s">
        <v>1237</v>
      </c>
      <c r="C392" s="806"/>
      <c r="D392" s="806" t="s">
        <v>1727</v>
      </c>
      <c r="E392" s="415"/>
      <c r="F392" s="958">
        <v>19920</v>
      </c>
      <c r="G392" s="862">
        <v>20602019005</v>
      </c>
      <c r="H392" s="713" t="s">
        <v>1663</v>
      </c>
      <c r="I392" s="945">
        <v>43889</v>
      </c>
      <c r="J392" s="945">
        <v>43890</v>
      </c>
      <c r="K392" s="862"/>
    </row>
    <row r="393" spans="1:11" ht="24" x14ac:dyDescent="0.2">
      <c r="A393" s="416" t="s">
        <v>1738</v>
      </c>
      <c r="B393" s="806" t="s">
        <v>1237</v>
      </c>
      <c r="C393" s="806"/>
      <c r="D393" s="806" t="s">
        <v>1727</v>
      </c>
      <c r="E393" s="415"/>
      <c r="F393" s="958">
        <v>13488</v>
      </c>
      <c r="G393" s="862">
        <v>10000758871</v>
      </c>
      <c r="H393" s="713" t="s">
        <v>1663</v>
      </c>
      <c r="I393" s="945">
        <v>43889</v>
      </c>
      <c r="J393" s="945">
        <v>43890</v>
      </c>
      <c r="K393" s="862"/>
    </row>
    <row r="394" spans="1:11" ht="24" x14ac:dyDescent="0.2">
      <c r="A394" s="416" t="s">
        <v>1739</v>
      </c>
      <c r="B394" s="806" t="s">
        <v>1237</v>
      </c>
      <c r="C394" s="806"/>
      <c r="D394" s="806" t="s">
        <v>1727</v>
      </c>
      <c r="E394" s="415"/>
      <c r="F394" s="958">
        <v>11236</v>
      </c>
      <c r="G394" s="862">
        <v>10180217253</v>
      </c>
      <c r="H394" s="713" t="s">
        <v>1663</v>
      </c>
      <c r="I394" s="945">
        <v>43893</v>
      </c>
      <c r="J394" s="945">
        <v>43894</v>
      </c>
      <c r="K394" s="862"/>
    </row>
    <row r="395" spans="1:11" ht="24" x14ac:dyDescent="0.2">
      <c r="A395" s="416" t="s">
        <v>1740</v>
      </c>
      <c r="B395" s="806" t="s">
        <v>1237</v>
      </c>
      <c r="C395" s="806"/>
      <c r="D395" s="806" t="s">
        <v>1727</v>
      </c>
      <c r="E395" s="415"/>
      <c r="F395" s="958">
        <v>5800</v>
      </c>
      <c r="G395" s="862">
        <v>10180217253</v>
      </c>
      <c r="H395" s="713" t="s">
        <v>1663</v>
      </c>
      <c r="I395" s="945">
        <v>43893</v>
      </c>
      <c r="J395" s="945">
        <v>43894</v>
      </c>
      <c r="K395" s="862"/>
    </row>
    <row r="396" spans="1:11" ht="24" x14ac:dyDescent="0.2">
      <c r="A396" s="416" t="s">
        <v>1741</v>
      </c>
      <c r="B396" s="806" t="s">
        <v>1237</v>
      </c>
      <c r="C396" s="806"/>
      <c r="D396" s="806" t="s">
        <v>1727</v>
      </c>
      <c r="E396" s="415"/>
      <c r="F396" s="958">
        <v>9280</v>
      </c>
      <c r="G396" s="862">
        <v>10180217253</v>
      </c>
      <c r="H396" s="713" t="s">
        <v>1663</v>
      </c>
      <c r="I396" s="945">
        <v>43893</v>
      </c>
      <c r="J396" s="945">
        <v>43894</v>
      </c>
      <c r="K396" s="862"/>
    </row>
    <row r="397" spans="1:11" ht="24" x14ac:dyDescent="0.2">
      <c r="A397" s="416" t="s">
        <v>1742</v>
      </c>
      <c r="B397" s="806" t="s">
        <v>1237</v>
      </c>
      <c r="C397" s="806"/>
      <c r="D397" s="806" t="s">
        <v>1727</v>
      </c>
      <c r="E397" s="415"/>
      <c r="F397" s="958">
        <v>2900</v>
      </c>
      <c r="G397" s="862">
        <v>10180217253</v>
      </c>
      <c r="H397" s="713" t="s">
        <v>1663</v>
      </c>
      <c r="I397" s="945">
        <v>43893</v>
      </c>
      <c r="J397" s="945">
        <v>43894</v>
      </c>
      <c r="K397" s="862"/>
    </row>
    <row r="398" spans="1:11" ht="24" x14ac:dyDescent="0.2">
      <c r="A398" s="416" t="s">
        <v>1743</v>
      </c>
      <c r="B398" s="806" t="s">
        <v>1237</v>
      </c>
      <c r="C398" s="806"/>
      <c r="D398" s="806" t="s">
        <v>1727</v>
      </c>
      <c r="E398" s="415"/>
      <c r="F398" s="958">
        <v>5956</v>
      </c>
      <c r="G398" s="862">
        <v>10001193177</v>
      </c>
      <c r="H398" s="713" t="s">
        <v>1663</v>
      </c>
      <c r="I398" s="945">
        <v>44243</v>
      </c>
      <c r="J398" s="945"/>
      <c r="K398" s="862"/>
    </row>
    <row r="399" spans="1:11" ht="48" x14ac:dyDescent="0.2">
      <c r="A399" s="416" t="s">
        <v>1744</v>
      </c>
      <c r="B399" s="806" t="s">
        <v>1237</v>
      </c>
      <c r="C399" s="806"/>
      <c r="D399" s="806" t="s">
        <v>1727</v>
      </c>
      <c r="E399" s="415"/>
      <c r="F399" s="958">
        <v>2800</v>
      </c>
      <c r="G399" s="862">
        <v>10225081757</v>
      </c>
      <c r="H399" s="713" t="s">
        <v>1663</v>
      </c>
      <c r="I399" s="945">
        <v>44243</v>
      </c>
      <c r="J399" s="945"/>
      <c r="K399" s="862"/>
    </row>
    <row r="400" spans="1:11" ht="24" x14ac:dyDescent="0.2">
      <c r="A400" s="416" t="s">
        <v>1745</v>
      </c>
      <c r="B400" s="806" t="s">
        <v>1237</v>
      </c>
      <c r="C400" s="806"/>
      <c r="D400" s="806" t="s">
        <v>1727</v>
      </c>
      <c r="E400" s="415"/>
      <c r="F400" s="958">
        <v>2015</v>
      </c>
      <c r="G400" s="862">
        <v>10001052271</v>
      </c>
      <c r="H400" s="713" t="s">
        <v>1663</v>
      </c>
      <c r="I400" s="945">
        <v>44250</v>
      </c>
      <c r="J400" s="945"/>
      <c r="K400" s="862"/>
    </row>
    <row r="401" spans="1:11" ht="24" x14ac:dyDescent="0.2">
      <c r="A401" s="416" t="s">
        <v>1746</v>
      </c>
      <c r="B401" s="806" t="s">
        <v>1237</v>
      </c>
      <c r="C401" s="806"/>
      <c r="D401" s="806" t="s">
        <v>1727</v>
      </c>
      <c r="E401" s="415"/>
      <c r="F401" s="958">
        <v>2005</v>
      </c>
      <c r="G401" s="862">
        <v>10001052271</v>
      </c>
      <c r="H401" s="713" t="s">
        <v>1663</v>
      </c>
      <c r="I401" s="945">
        <v>44250</v>
      </c>
      <c r="J401" s="945"/>
      <c r="K401" s="862"/>
    </row>
    <row r="402" spans="1:11" ht="24" x14ac:dyDescent="0.2">
      <c r="A402" s="416" t="s">
        <v>1747</v>
      </c>
      <c r="B402" s="806" t="s">
        <v>1237</v>
      </c>
      <c r="C402" s="806"/>
      <c r="D402" s="806" t="s">
        <v>1727</v>
      </c>
      <c r="E402" s="415"/>
      <c r="F402" s="958">
        <v>5500</v>
      </c>
      <c r="G402" s="862">
        <v>10001026882</v>
      </c>
      <c r="H402" s="713" t="s">
        <v>1663</v>
      </c>
      <c r="I402" s="945">
        <v>44263</v>
      </c>
      <c r="J402" s="945"/>
      <c r="K402" s="862"/>
    </row>
    <row r="403" spans="1:11" ht="24" x14ac:dyDescent="0.2">
      <c r="A403" s="416" t="s">
        <v>1748</v>
      </c>
      <c r="B403" s="806" t="s">
        <v>1237</v>
      </c>
      <c r="C403" s="806"/>
      <c r="D403" s="806" t="s">
        <v>1727</v>
      </c>
      <c r="E403" s="415"/>
      <c r="F403" s="958">
        <v>2234</v>
      </c>
      <c r="G403" s="862">
        <v>20603953160</v>
      </c>
      <c r="H403" s="713" t="s">
        <v>1663</v>
      </c>
      <c r="I403" s="945">
        <v>44272</v>
      </c>
      <c r="J403" s="945"/>
      <c r="K403" s="862"/>
    </row>
    <row r="404" spans="1:11" ht="24" x14ac:dyDescent="0.2">
      <c r="A404" s="416" t="s">
        <v>1749</v>
      </c>
      <c r="B404" s="806" t="s">
        <v>1237</v>
      </c>
      <c r="C404" s="806"/>
      <c r="D404" s="806" t="s">
        <v>1727</v>
      </c>
      <c r="E404" s="415"/>
      <c r="F404" s="958">
        <v>9295</v>
      </c>
      <c r="G404" s="862">
        <v>20103913340</v>
      </c>
      <c r="H404" s="713" t="s">
        <v>1663</v>
      </c>
      <c r="I404" s="945">
        <v>44277</v>
      </c>
      <c r="J404" s="945"/>
      <c r="K404" s="862"/>
    </row>
    <row r="405" spans="1:11" ht="24" x14ac:dyDescent="0.2">
      <c r="A405" s="416" t="s">
        <v>1750</v>
      </c>
      <c r="B405" s="806" t="s">
        <v>1237</v>
      </c>
      <c r="C405" s="806"/>
      <c r="D405" s="806" t="s">
        <v>1727</v>
      </c>
      <c r="E405" s="415"/>
      <c r="F405" s="958">
        <v>9219.49</v>
      </c>
      <c r="G405" s="862">
        <v>20393973235</v>
      </c>
      <c r="H405" s="713" t="s">
        <v>1663</v>
      </c>
      <c r="I405" s="945">
        <v>44277</v>
      </c>
      <c r="J405" s="945"/>
      <c r="K405" s="862"/>
    </row>
    <row r="406" spans="1:11" ht="60" x14ac:dyDescent="0.2">
      <c r="A406" s="416" t="s">
        <v>1751</v>
      </c>
      <c r="B406" s="806" t="s">
        <v>1237</v>
      </c>
      <c r="C406" s="806"/>
      <c r="D406" s="806" t="s">
        <v>1727</v>
      </c>
      <c r="E406" s="415"/>
      <c r="F406" s="958">
        <v>26507.08</v>
      </c>
      <c r="G406" s="862">
        <v>10001052271</v>
      </c>
      <c r="H406" s="713" t="s">
        <v>1663</v>
      </c>
      <c r="I406" s="945">
        <v>44278</v>
      </c>
      <c r="J406" s="945"/>
      <c r="K406" s="862"/>
    </row>
    <row r="407" spans="1:11" ht="36" x14ac:dyDescent="0.2">
      <c r="A407" s="416" t="s">
        <v>1752</v>
      </c>
      <c r="B407" s="806" t="s">
        <v>1237</v>
      </c>
      <c r="C407" s="806"/>
      <c r="D407" s="806" t="s">
        <v>1727</v>
      </c>
      <c r="E407" s="415"/>
      <c r="F407" s="958">
        <v>3300</v>
      </c>
      <c r="G407" s="862">
        <v>10001052271</v>
      </c>
      <c r="H407" s="713" t="s">
        <v>1663</v>
      </c>
      <c r="I407" s="945">
        <v>44279</v>
      </c>
      <c r="J407" s="945"/>
      <c r="K407" s="862"/>
    </row>
    <row r="408" spans="1:11" ht="24" x14ac:dyDescent="0.2">
      <c r="A408" s="416" t="s">
        <v>1753</v>
      </c>
      <c r="B408" s="806" t="s">
        <v>1237</v>
      </c>
      <c r="C408" s="806"/>
      <c r="D408" s="806" t="s">
        <v>1727</v>
      </c>
      <c r="E408" s="415"/>
      <c r="F408" s="958">
        <v>2985</v>
      </c>
      <c r="G408" s="862">
        <v>10001052271</v>
      </c>
      <c r="H408" s="713" t="s">
        <v>1663</v>
      </c>
      <c r="I408" s="945">
        <v>44279</v>
      </c>
      <c r="J408" s="945"/>
      <c r="K408" s="862"/>
    </row>
    <row r="409" spans="1:11" x14ac:dyDescent="0.2">
      <c r="A409" s="416" t="s">
        <v>1754</v>
      </c>
      <c r="B409" s="806" t="s">
        <v>1237</v>
      </c>
      <c r="C409" s="806"/>
      <c r="D409" s="806" t="s">
        <v>1727</v>
      </c>
      <c r="E409" s="415"/>
      <c r="F409" s="958">
        <v>2088</v>
      </c>
      <c r="G409" s="862">
        <v>10180217253</v>
      </c>
      <c r="H409" s="713" t="s">
        <v>1663</v>
      </c>
      <c r="I409" s="945">
        <v>44279</v>
      </c>
      <c r="J409" s="945"/>
      <c r="K409" s="862"/>
    </row>
    <row r="410" spans="1:11" ht="24" x14ac:dyDescent="0.2">
      <c r="A410" s="416" t="s">
        <v>1755</v>
      </c>
      <c r="B410" s="806" t="s">
        <v>1237</v>
      </c>
      <c r="C410" s="806"/>
      <c r="D410" s="806" t="s">
        <v>1727</v>
      </c>
      <c r="E410" s="415"/>
      <c r="F410" s="958">
        <v>3210</v>
      </c>
      <c r="G410" s="862">
        <v>10180217253</v>
      </c>
      <c r="H410" s="713" t="s">
        <v>1663</v>
      </c>
      <c r="I410" s="945">
        <v>44299</v>
      </c>
      <c r="J410" s="945"/>
      <c r="K410" s="862"/>
    </row>
    <row r="411" spans="1:11" x14ac:dyDescent="0.2">
      <c r="A411" s="416" t="s">
        <v>1756</v>
      </c>
      <c r="B411" s="806" t="s">
        <v>1237</v>
      </c>
      <c r="C411" s="806"/>
      <c r="D411" s="806" t="s">
        <v>1727</v>
      </c>
      <c r="E411" s="415"/>
      <c r="F411" s="958">
        <v>5344</v>
      </c>
      <c r="G411" s="862">
        <v>10001052271</v>
      </c>
      <c r="H411" s="713" t="s">
        <v>1663</v>
      </c>
      <c r="I411" s="945">
        <v>44305</v>
      </c>
      <c r="J411" s="945"/>
      <c r="K411" s="862"/>
    </row>
    <row r="412" spans="1:11" x14ac:dyDescent="0.2">
      <c r="A412" s="416" t="s">
        <v>1757</v>
      </c>
      <c r="B412" s="806" t="s">
        <v>1237</v>
      </c>
      <c r="C412" s="806"/>
      <c r="D412" s="806" t="s">
        <v>1727</v>
      </c>
      <c r="E412" s="415"/>
      <c r="F412" s="958">
        <v>3300</v>
      </c>
      <c r="G412" s="862">
        <v>10180217253</v>
      </c>
      <c r="H412" s="713" t="s">
        <v>1663</v>
      </c>
      <c r="I412" s="945">
        <v>44305</v>
      </c>
      <c r="J412" s="945"/>
      <c r="K412" s="862"/>
    </row>
    <row r="413" spans="1:11" ht="24" x14ac:dyDescent="0.2">
      <c r="A413" s="416" t="s">
        <v>1758</v>
      </c>
      <c r="B413" s="806" t="s">
        <v>1237</v>
      </c>
      <c r="C413" s="806"/>
      <c r="D413" s="806" t="s">
        <v>1727</v>
      </c>
      <c r="E413" s="415"/>
      <c r="F413" s="958">
        <v>3785</v>
      </c>
      <c r="G413" s="862">
        <v>10180217253</v>
      </c>
      <c r="H413" s="713" t="s">
        <v>1663</v>
      </c>
      <c r="I413" s="945">
        <v>44305</v>
      </c>
      <c r="J413" s="945"/>
      <c r="K413" s="862"/>
    </row>
    <row r="414" spans="1:11" ht="24" x14ac:dyDescent="0.2">
      <c r="A414" s="416" t="s">
        <v>1759</v>
      </c>
      <c r="B414" s="806" t="s">
        <v>1237</v>
      </c>
      <c r="C414" s="806"/>
      <c r="D414" s="806" t="s">
        <v>1727</v>
      </c>
      <c r="E414" s="415"/>
      <c r="F414" s="958">
        <v>2207</v>
      </c>
      <c r="G414" s="862">
        <v>10180217253</v>
      </c>
      <c r="H414" s="713" t="s">
        <v>1663</v>
      </c>
      <c r="I414" s="945">
        <v>44328</v>
      </c>
      <c r="J414" s="945"/>
      <c r="K414" s="862"/>
    </row>
    <row r="415" spans="1:11" ht="24" x14ac:dyDescent="0.2">
      <c r="A415" s="416" t="s">
        <v>1760</v>
      </c>
      <c r="B415" s="806" t="s">
        <v>1237</v>
      </c>
      <c r="C415" s="806"/>
      <c r="D415" s="806" t="s">
        <v>1727</v>
      </c>
      <c r="E415" s="415"/>
      <c r="F415" s="958">
        <v>4030</v>
      </c>
      <c r="G415" s="862">
        <v>10001052271</v>
      </c>
      <c r="H415" s="713" t="s">
        <v>1663</v>
      </c>
      <c r="I415" s="945">
        <v>44328</v>
      </c>
      <c r="J415" s="945"/>
      <c r="K415" s="862"/>
    </row>
    <row r="416" spans="1:11" x14ac:dyDescent="0.2">
      <c r="A416" s="416" t="s">
        <v>1761</v>
      </c>
      <c r="B416" s="806" t="s">
        <v>1237</v>
      </c>
      <c r="C416" s="806"/>
      <c r="D416" s="806" t="s">
        <v>1727</v>
      </c>
      <c r="E416" s="415"/>
      <c r="F416" s="958">
        <v>2079.5</v>
      </c>
      <c r="G416" s="862">
        <v>10180217253</v>
      </c>
      <c r="H416" s="713" t="s">
        <v>1663</v>
      </c>
      <c r="I416" s="945">
        <v>44328</v>
      </c>
      <c r="J416" s="945"/>
      <c r="K416" s="862"/>
    </row>
    <row r="417" spans="1:11" x14ac:dyDescent="0.2">
      <c r="A417" s="416" t="s">
        <v>1762</v>
      </c>
      <c r="B417" s="806" t="s">
        <v>1237</v>
      </c>
      <c r="C417" s="806"/>
      <c r="D417" s="806" t="s">
        <v>1727</v>
      </c>
      <c r="E417" s="415"/>
      <c r="F417" s="958">
        <v>3012.99</v>
      </c>
      <c r="G417" s="862">
        <v>10001052271</v>
      </c>
      <c r="H417" s="713" t="s">
        <v>1663</v>
      </c>
      <c r="I417" s="945">
        <v>44336</v>
      </c>
      <c r="J417" s="945"/>
      <c r="K417" s="862"/>
    </row>
    <row r="418" spans="1:11" ht="24" x14ac:dyDescent="0.2">
      <c r="A418" s="416" t="s">
        <v>1763</v>
      </c>
      <c r="B418" s="806" t="s">
        <v>1237</v>
      </c>
      <c r="C418" s="806"/>
      <c r="D418" s="806" t="s">
        <v>1727</v>
      </c>
      <c r="E418" s="415"/>
      <c r="F418" s="958">
        <v>4473</v>
      </c>
      <c r="G418" s="862">
        <v>10180217253</v>
      </c>
      <c r="H418" s="713" t="s">
        <v>1663</v>
      </c>
      <c r="I418" s="945">
        <v>44354</v>
      </c>
      <c r="J418" s="945"/>
      <c r="K418" s="862"/>
    </row>
    <row r="419" spans="1:11" x14ac:dyDescent="0.2">
      <c r="A419" s="416" t="s">
        <v>1764</v>
      </c>
      <c r="B419" s="806"/>
      <c r="C419" s="806"/>
      <c r="D419" s="806"/>
      <c r="E419" s="415"/>
      <c r="F419" s="936"/>
      <c r="G419" s="862"/>
      <c r="H419" s="713"/>
      <c r="I419" s="945"/>
      <c r="J419" s="906"/>
      <c r="K419" s="862"/>
    </row>
    <row r="420" spans="1:11" x14ac:dyDescent="0.2">
      <c r="A420" s="416" t="s">
        <v>1765</v>
      </c>
      <c r="B420" s="806" t="s">
        <v>1237</v>
      </c>
      <c r="C420" s="806"/>
      <c r="D420" s="806" t="s">
        <v>1727</v>
      </c>
      <c r="E420" s="415"/>
      <c r="F420" s="958">
        <v>4800</v>
      </c>
      <c r="G420" s="862">
        <v>10180217253</v>
      </c>
      <c r="H420" s="713" t="s">
        <v>1663</v>
      </c>
      <c r="I420" s="945">
        <v>43840</v>
      </c>
      <c r="J420" s="906">
        <v>43846</v>
      </c>
      <c r="K420" s="862"/>
    </row>
    <row r="421" spans="1:11" ht="24" x14ac:dyDescent="0.2">
      <c r="A421" s="416" t="s">
        <v>1766</v>
      </c>
      <c r="B421" s="806" t="s">
        <v>1237</v>
      </c>
      <c r="C421" s="806"/>
      <c r="D421" s="806" t="s">
        <v>1727</v>
      </c>
      <c r="E421" s="415"/>
      <c r="F421" s="958">
        <v>3500</v>
      </c>
      <c r="G421" s="862">
        <v>10420132331</v>
      </c>
      <c r="H421" s="713" t="s">
        <v>1663</v>
      </c>
      <c r="I421" s="945">
        <v>43853</v>
      </c>
      <c r="J421" s="906">
        <v>43855</v>
      </c>
      <c r="K421" s="862"/>
    </row>
    <row r="422" spans="1:11" ht="24" x14ac:dyDescent="0.2">
      <c r="A422" s="416" t="s">
        <v>1767</v>
      </c>
      <c r="B422" s="806" t="s">
        <v>1237</v>
      </c>
      <c r="C422" s="806"/>
      <c r="D422" s="806" t="s">
        <v>1727</v>
      </c>
      <c r="E422" s="415"/>
      <c r="F422" s="958">
        <v>33100</v>
      </c>
      <c r="G422" s="862">
        <v>10420132331</v>
      </c>
      <c r="H422" s="713" t="s">
        <v>1663</v>
      </c>
      <c r="I422" s="945">
        <v>43853</v>
      </c>
      <c r="J422" s="906">
        <v>43858</v>
      </c>
      <c r="K422" s="862"/>
    </row>
    <row r="423" spans="1:11" ht="24" x14ac:dyDescent="0.2">
      <c r="A423" s="416" t="s">
        <v>1768</v>
      </c>
      <c r="B423" s="806" t="s">
        <v>1237</v>
      </c>
      <c r="C423" s="806"/>
      <c r="D423" s="806" t="s">
        <v>1727</v>
      </c>
      <c r="E423" s="415"/>
      <c r="F423" s="958">
        <v>9800</v>
      </c>
      <c r="G423" s="862">
        <v>10180217253</v>
      </c>
      <c r="H423" s="713" t="s">
        <v>1663</v>
      </c>
      <c r="I423" s="945">
        <v>43875</v>
      </c>
      <c r="J423" s="906">
        <v>43877</v>
      </c>
      <c r="K423" s="862"/>
    </row>
    <row r="424" spans="1:11" ht="24" x14ac:dyDescent="0.2">
      <c r="A424" s="416" t="s">
        <v>1769</v>
      </c>
      <c r="B424" s="806" t="s">
        <v>1237</v>
      </c>
      <c r="C424" s="806"/>
      <c r="D424" s="806" t="s">
        <v>1727</v>
      </c>
      <c r="E424" s="415"/>
      <c r="F424" s="958">
        <v>9500</v>
      </c>
      <c r="G424" s="862">
        <v>10180217253</v>
      </c>
      <c r="H424" s="713" t="s">
        <v>1663</v>
      </c>
      <c r="I424" s="945">
        <v>43872</v>
      </c>
      <c r="J424" s="906">
        <v>43878</v>
      </c>
      <c r="K424" s="862"/>
    </row>
    <row r="425" spans="1:11" ht="24" x14ac:dyDescent="0.2">
      <c r="A425" s="416" t="s">
        <v>1770</v>
      </c>
      <c r="B425" s="806" t="s">
        <v>1237</v>
      </c>
      <c r="C425" s="806"/>
      <c r="D425" s="806" t="s">
        <v>1727</v>
      </c>
      <c r="E425" s="415"/>
      <c r="F425" s="958">
        <v>32200</v>
      </c>
      <c r="G425" s="862">
        <v>10180217253</v>
      </c>
      <c r="H425" s="713" t="s">
        <v>1663</v>
      </c>
      <c r="I425" s="945">
        <v>43872</v>
      </c>
      <c r="J425" s="906">
        <v>43879</v>
      </c>
      <c r="K425" s="862"/>
    </row>
    <row r="426" spans="1:11" ht="24" x14ac:dyDescent="0.2">
      <c r="A426" s="416" t="s">
        <v>1771</v>
      </c>
      <c r="B426" s="806" t="s">
        <v>1237</v>
      </c>
      <c r="C426" s="806"/>
      <c r="D426" s="806" t="s">
        <v>1727</v>
      </c>
      <c r="E426" s="415"/>
      <c r="F426" s="958">
        <v>11000</v>
      </c>
      <c r="G426" s="862">
        <v>10420132331</v>
      </c>
      <c r="H426" s="713" t="s">
        <v>1663</v>
      </c>
      <c r="I426" s="945">
        <v>43872</v>
      </c>
      <c r="J426" s="906">
        <v>43880</v>
      </c>
      <c r="K426" s="862"/>
    </row>
    <row r="427" spans="1:11" ht="24" x14ac:dyDescent="0.2">
      <c r="A427" s="416" t="s">
        <v>1772</v>
      </c>
      <c r="B427" s="806" t="s">
        <v>1237</v>
      </c>
      <c r="C427" s="806"/>
      <c r="D427" s="806" t="s">
        <v>1727</v>
      </c>
      <c r="E427" s="415"/>
      <c r="F427" s="958">
        <v>5800</v>
      </c>
      <c r="G427" s="862">
        <v>10180217253</v>
      </c>
      <c r="H427" s="713" t="s">
        <v>1663</v>
      </c>
      <c r="I427" s="945">
        <v>43872</v>
      </c>
      <c r="J427" s="906">
        <v>43881</v>
      </c>
      <c r="K427" s="862"/>
    </row>
    <row r="428" spans="1:11" ht="24" x14ac:dyDescent="0.2">
      <c r="A428" s="416" t="s">
        <v>1773</v>
      </c>
      <c r="B428" s="806" t="s">
        <v>1237</v>
      </c>
      <c r="C428" s="806"/>
      <c r="D428" s="806" t="s">
        <v>1727</v>
      </c>
      <c r="E428" s="415"/>
      <c r="F428" s="958">
        <v>2750</v>
      </c>
      <c r="G428" s="862">
        <v>10224267504</v>
      </c>
      <c r="H428" s="713" t="s">
        <v>1663</v>
      </c>
      <c r="I428" s="945">
        <v>43872</v>
      </c>
      <c r="J428" s="906">
        <v>43882</v>
      </c>
      <c r="K428" s="862"/>
    </row>
    <row r="429" spans="1:11" ht="24" x14ac:dyDescent="0.2">
      <c r="A429" s="416" t="s">
        <v>1774</v>
      </c>
      <c r="B429" s="806" t="s">
        <v>1237</v>
      </c>
      <c r="C429" s="806"/>
      <c r="D429" s="806" t="s">
        <v>1727</v>
      </c>
      <c r="E429" s="415"/>
      <c r="F429" s="958">
        <v>2750</v>
      </c>
      <c r="G429" s="862">
        <v>10224267504</v>
      </c>
      <c r="H429" s="713" t="s">
        <v>1663</v>
      </c>
      <c r="I429" s="945">
        <v>43872</v>
      </c>
      <c r="J429" s="906">
        <v>43883</v>
      </c>
      <c r="K429" s="862"/>
    </row>
    <row r="430" spans="1:11" ht="24" x14ac:dyDescent="0.2">
      <c r="A430" s="416" t="s">
        <v>1775</v>
      </c>
      <c r="B430" s="806" t="s">
        <v>1237</v>
      </c>
      <c r="C430" s="806"/>
      <c r="D430" s="806" t="s">
        <v>1727</v>
      </c>
      <c r="E430" s="415"/>
      <c r="F430" s="958">
        <v>31000</v>
      </c>
      <c r="G430" s="862">
        <v>20393802180</v>
      </c>
      <c r="H430" s="713" t="s">
        <v>1663</v>
      </c>
      <c r="I430" s="945">
        <v>43873</v>
      </c>
      <c r="J430" s="906">
        <v>43884</v>
      </c>
      <c r="K430" s="862"/>
    </row>
    <row r="431" spans="1:11" ht="24" x14ac:dyDescent="0.2">
      <c r="A431" s="416" t="s">
        <v>1776</v>
      </c>
      <c r="B431" s="806" t="s">
        <v>1237</v>
      </c>
      <c r="C431" s="806"/>
      <c r="D431" s="806" t="s">
        <v>1727</v>
      </c>
      <c r="E431" s="415"/>
      <c r="F431" s="958">
        <v>33200</v>
      </c>
      <c r="G431" s="862">
        <v>10420132331</v>
      </c>
      <c r="H431" s="713" t="s">
        <v>1663</v>
      </c>
      <c r="I431" s="945">
        <v>43895</v>
      </c>
      <c r="J431" s="906">
        <v>43900</v>
      </c>
      <c r="K431" s="862"/>
    </row>
    <row r="432" spans="1:11" ht="24" x14ac:dyDescent="0.2">
      <c r="A432" s="416" t="s">
        <v>1777</v>
      </c>
      <c r="B432" s="806" t="s">
        <v>1237</v>
      </c>
      <c r="C432" s="806"/>
      <c r="D432" s="806" t="s">
        <v>1727</v>
      </c>
      <c r="E432" s="415"/>
      <c r="F432" s="960">
        <v>12511.5</v>
      </c>
      <c r="G432" s="862">
        <v>20600098633</v>
      </c>
      <c r="H432" s="713" t="s">
        <v>1663</v>
      </c>
      <c r="I432" s="945">
        <v>44263</v>
      </c>
      <c r="J432" s="906">
        <v>44265</v>
      </c>
      <c r="K432" s="862"/>
    </row>
    <row r="433" spans="1:11" ht="24" x14ac:dyDescent="0.2">
      <c r="A433" s="416" t="s">
        <v>1778</v>
      </c>
      <c r="B433" s="806" t="s">
        <v>1237</v>
      </c>
      <c r="C433" s="806"/>
      <c r="D433" s="806" t="s">
        <v>1727</v>
      </c>
      <c r="E433" s="415"/>
      <c r="F433" s="960">
        <v>13960</v>
      </c>
      <c r="G433" s="862">
        <v>10224267504</v>
      </c>
      <c r="H433" s="713" t="s">
        <v>1663</v>
      </c>
      <c r="I433" s="945">
        <v>44265</v>
      </c>
      <c r="J433" s="906">
        <v>44270</v>
      </c>
      <c r="K433" s="862"/>
    </row>
    <row r="434" spans="1:11" ht="24" x14ac:dyDescent="0.2">
      <c r="A434" s="416" t="s">
        <v>1779</v>
      </c>
      <c r="B434" s="806" t="s">
        <v>1237</v>
      </c>
      <c r="C434" s="806"/>
      <c r="D434" s="806" t="s">
        <v>1727</v>
      </c>
      <c r="E434" s="415"/>
      <c r="F434" s="960">
        <v>4000</v>
      </c>
      <c r="G434" s="862">
        <v>10420132331</v>
      </c>
      <c r="H434" s="713" t="s">
        <v>1663</v>
      </c>
      <c r="I434" s="945">
        <v>44274</v>
      </c>
      <c r="J434" s="906">
        <v>44279</v>
      </c>
      <c r="K434" s="862"/>
    </row>
    <row r="435" spans="1:11" ht="24" x14ac:dyDescent="0.2">
      <c r="A435" s="416" t="s">
        <v>1780</v>
      </c>
      <c r="B435" s="806" t="s">
        <v>1237</v>
      </c>
      <c r="C435" s="806"/>
      <c r="D435" s="806" t="s">
        <v>1727</v>
      </c>
      <c r="E435" s="415"/>
      <c r="F435" s="960">
        <v>5917</v>
      </c>
      <c r="G435" s="862">
        <v>20600357647</v>
      </c>
      <c r="H435" s="713" t="s">
        <v>1663</v>
      </c>
      <c r="I435" s="945">
        <v>44277</v>
      </c>
      <c r="J435" s="906">
        <v>44281</v>
      </c>
      <c r="K435" s="862"/>
    </row>
    <row r="436" spans="1:11" ht="24" x14ac:dyDescent="0.2">
      <c r="A436" s="416" t="s">
        <v>1781</v>
      </c>
      <c r="B436" s="806" t="s">
        <v>1237</v>
      </c>
      <c r="C436" s="806"/>
      <c r="D436" s="806" t="s">
        <v>1727</v>
      </c>
      <c r="E436" s="415"/>
      <c r="F436" s="960">
        <v>8300</v>
      </c>
      <c r="G436" s="862">
        <v>20600357647</v>
      </c>
      <c r="H436" s="713" t="s">
        <v>1663</v>
      </c>
      <c r="I436" s="945">
        <v>44277</v>
      </c>
      <c r="J436" s="906">
        <v>44281</v>
      </c>
      <c r="K436" s="862"/>
    </row>
    <row r="437" spans="1:11" ht="36" x14ac:dyDescent="0.2">
      <c r="A437" s="416" t="s">
        <v>1782</v>
      </c>
      <c r="B437" s="806" t="s">
        <v>1237</v>
      </c>
      <c r="C437" s="806"/>
      <c r="D437" s="806" t="s">
        <v>1727</v>
      </c>
      <c r="E437" s="415"/>
      <c r="F437" s="960">
        <v>3000</v>
      </c>
      <c r="G437" s="862">
        <v>10460781286</v>
      </c>
      <c r="H437" s="713" t="s">
        <v>1663</v>
      </c>
      <c r="I437" s="945">
        <v>44278</v>
      </c>
      <c r="J437" s="906">
        <v>44281</v>
      </c>
      <c r="K437" s="862"/>
    </row>
    <row r="438" spans="1:11" ht="36" x14ac:dyDescent="0.2">
      <c r="A438" s="416" t="s">
        <v>1783</v>
      </c>
      <c r="B438" s="806" t="s">
        <v>1237</v>
      </c>
      <c r="C438" s="806"/>
      <c r="D438" s="806" t="s">
        <v>1727</v>
      </c>
      <c r="E438" s="415"/>
      <c r="F438" s="960">
        <v>500</v>
      </c>
      <c r="G438" s="862">
        <v>10460781286</v>
      </c>
      <c r="H438" s="713" t="s">
        <v>1663</v>
      </c>
      <c r="I438" s="945">
        <v>44278</v>
      </c>
      <c r="J438" s="906">
        <v>44281</v>
      </c>
      <c r="K438" s="862"/>
    </row>
    <row r="439" spans="1:11" ht="24" x14ac:dyDescent="0.2">
      <c r="A439" s="416" t="s">
        <v>1784</v>
      </c>
      <c r="B439" s="806" t="s">
        <v>1237</v>
      </c>
      <c r="C439" s="806"/>
      <c r="D439" s="806" t="s">
        <v>1727</v>
      </c>
      <c r="E439" s="415"/>
      <c r="F439" s="960">
        <v>3000</v>
      </c>
      <c r="G439" s="862">
        <v>10460781286</v>
      </c>
      <c r="H439" s="713" t="s">
        <v>1663</v>
      </c>
      <c r="I439" s="945">
        <v>44278</v>
      </c>
      <c r="J439" s="906">
        <v>44281</v>
      </c>
      <c r="K439" s="862"/>
    </row>
    <row r="440" spans="1:11" ht="24" x14ac:dyDescent="0.2">
      <c r="A440" s="416" t="s">
        <v>1785</v>
      </c>
      <c r="B440" s="806" t="s">
        <v>1237</v>
      </c>
      <c r="C440" s="806"/>
      <c r="D440" s="806" t="s">
        <v>1727</v>
      </c>
      <c r="E440" s="415"/>
      <c r="F440" s="960">
        <v>5320</v>
      </c>
      <c r="G440" s="862">
        <v>10224267504</v>
      </c>
      <c r="H440" s="713" t="s">
        <v>1663</v>
      </c>
      <c r="I440" s="945">
        <v>44300</v>
      </c>
      <c r="J440" s="906">
        <v>44303</v>
      </c>
      <c r="K440" s="862"/>
    </row>
    <row r="441" spans="1:11" x14ac:dyDescent="0.2">
      <c r="A441" s="416" t="s">
        <v>1786</v>
      </c>
      <c r="B441" s="806" t="s">
        <v>1237</v>
      </c>
      <c r="C441" s="806"/>
      <c r="D441" s="806" t="s">
        <v>1727</v>
      </c>
      <c r="E441" s="415"/>
      <c r="F441" s="960">
        <v>1000</v>
      </c>
      <c r="G441" s="862">
        <v>10460781286</v>
      </c>
      <c r="H441" s="713" t="s">
        <v>1663</v>
      </c>
      <c r="I441" s="945">
        <v>44301</v>
      </c>
      <c r="J441" s="906">
        <v>44303</v>
      </c>
      <c r="K441" s="862"/>
    </row>
    <row r="442" spans="1:11" ht="36" x14ac:dyDescent="0.2">
      <c r="A442" s="416" t="s">
        <v>1787</v>
      </c>
      <c r="B442" s="806" t="s">
        <v>1237</v>
      </c>
      <c r="C442" s="806"/>
      <c r="D442" s="806" t="s">
        <v>1727</v>
      </c>
      <c r="E442" s="415"/>
      <c r="F442" s="960">
        <v>20800</v>
      </c>
      <c r="G442" s="862">
        <v>10224267504</v>
      </c>
      <c r="H442" s="713" t="s">
        <v>1663</v>
      </c>
      <c r="I442" s="945">
        <v>44308</v>
      </c>
      <c r="J442" s="906">
        <v>44312</v>
      </c>
      <c r="K442" s="862"/>
    </row>
    <row r="443" spans="1:11" ht="24" x14ac:dyDescent="0.2">
      <c r="A443" s="416" t="s">
        <v>1788</v>
      </c>
      <c r="B443" s="806" t="s">
        <v>1237</v>
      </c>
      <c r="C443" s="806"/>
      <c r="D443" s="806" t="s">
        <v>1727</v>
      </c>
      <c r="E443" s="415"/>
      <c r="F443" s="960">
        <v>10265</v>
      </c>
      <c r="G443" s="862">
        <v>10420132331</v>
      </c>
      <c r="H443" s="713" t="s">
        <v>1663</v>
      </c>
      <c r="I443" s="945">
        <v>44337</v>
      </c>
      <c r="J443" s="906">
        <v>44342</v>
      </c>
      <c r="K443" s="862"/>
    </row>
    <row r="444" spans="1:11" ht="24" x14ac:dyDescent="0.2">
      <c r="A444" s="416" t="s">
        <v>1789</v>
      </c>
      <c r="B444" s="806" t="s">
        <v>1237</v>
      </c>
      <c r="C444" s="806"/>
      <c r="D444" s="806" t="s">
        <v>1727</v>
      </c>
      <c r="E444" s="415"/>
      <c r="F444" s="960">
        <v>5350</v>
      </c>
      <c r="G444" s="862">
        <v>10420132331</v>
      </c>
      <c r="H444" s="713" t="s">
        <v>1663</v>
      </c>
      <c r="I444" s="945">
        <v>44337</v>
      </c>
      <c r="J444" s="906">
        <v>44342</v>
      </c>
      <c r="K444" s="862"/>
    </row>
    <row r="445" spans="1:11" ht="24" x14ac:dyDescent="0.2">
      <c r="A445" s="416" t="s">
        <v>1790</v>
      </c>
      <c r="B445" s="806" t="s">
        <v>1237</v>
      </c>
      <c r="C445" s="806"/>
      <c r="D445" s="806" t="s">
        <v>1727</v>
      </c>
      <c r="E445" s="415"/>
      <c r="F445" s="960">
        <v>6585</v>
      </c>
      <c r="G445" s="862">
        <v>20600098633</v>
      </c>
      <c r="H445" s="713" t="s">
        <v>1663</v>
      </c>
      <c r="I445" s="945">
        <v>44337</v>
      </c>
      <c r="J445" s="906">
        <v>44342</v>
      </c>
      <c r="K445" s="862"/>
    </row>
    <row r="446" spans="1:11" x14ac:dyDescent="0.2">
      <c r="A446" s="416" t="s">
        <v>1791</v>
      </c>
      <c r="B446" s="806" t="s">
        <v>1237</v>
      </c>
      <c r="C446" s="806"/>
      <c r="D446" s="806" t="s">
        <v>1727</v>
      </c>
      <c r="E446" s="415"/>
      <c r="F446" s="960">
        <v>7533</v>
      </c>
      <c r="G446" s="862">
        <v>10420132331</v>
      </c>
      <c r="H446" s="713" t="s">
        <v>1663</v>
      </c>
      <c r="I446" s="945">
        <v>44354</v>
      </c>
      <c r="J446" s="906">
        <v>44357</v>
      </c>
      <c r="K446" s="862"/>
    </row>
    <row r="447" spans="1:11" ht="24" x14ac:dyDescent="0.2">
      <c r="A447" s="416" t="s">
        <v>1792</v>
      </c>
      <c r="B447" s="806" t="s">
        <v>1237</v>
      </c>
      <c r="C447" s="806"/>
      <c r="D447" s="806" t="s">
        <v>1727</v>
      </c>
      <c r="E447" s="415"/>
      <c r="F447" s="960">
        <v>12600</v>
      </c>
      <c r="G447" s="862">
        <v>20600098633</v>
      </c>
      <c r="H447" s="713" t="s">
        <v>1663</v>
      </c>
      <c r="I447" s="945">
        <v>44365</v>
      </c>
      <c r="J447" s="906">
        <v>44370</v>
      </c>
      <c r="K447" s="862"/>
    </row>
    <row r="448" spans="1:11" ht="24" x14ac:dyDescent="0.2">
      <c r="A448" s="416" t="s">
        <v>1793</v>
      </c>
      <c r="B448" s="806" t="s">
        <v>1237</v>
      </c>
      <c r="C448" s="806"/>
      <c r="D448" s="806" t="s">
        <v>1727</v>
      </c>
      <c r="E448" s="415"/>
      <c r="F448" s="960">
        <v>12052.8</v>
      </c>
      <c r="G448" s="862">
        <v>10460781286</v>
      </c>
      <c r="H448" s="713" t="s">
        <v>1663</v>
      </c>
      <c r="I448" s="945">
        <v>44365</v>
      </c>
      <c r="J448" s="906">
        <v>44370</v>
      </c>
      <c r="K448" s="862"/>
    </row>
    <row r="449" spans="1:11" x14ac:dyDescent="0.2">
      <c r="A449" s="915" t="s">
        <v>1794</v>
      </c>
      <c r="B449" s="915"/>
      <c r="C449" s="915"/>
      <c r="D449" s="915"/>
      <c r="E449" s="930"/>
      <c r="F449" s="931"/>
      <c r="G449" s="932"/>
      <c r="H449" s="930"/>
      <c r="I449" s="933"/>
      <c r="J449" s="933"/>
      <c r="K449" s="932"/>
    </row>
    <row r="450" spans="1:11" ht="24" x14ac:dyDescent="0.2">
      <c r="A450" s="917" t="s">
        <v>1795</v>
      </c>
      <c r="B450" s="917" t="s">
        <v>1796</v>
      </c>
      <c r="C450" s="917" t="s">
        <v>1238</v>
      </c>
      <c r="D450" s="917">
        <v>44</v>
      </c>
      <c r="E450" s="415"/>
      <c r="F450" s="961">
        <v>23324.5</v>
      </c>
      <c r="G450" s="962" t="s">
        <v>1797</v>
      </c>
      <c r="H450" s="963" t="s">
        <v>1798</v>
      </c>
      <c r="I450" s="964" t="s">
        <v>1799</v>
      </c>
      <c r="J450" s="965"/>
      <c r="K450" s="60" t="s">
        <v>1800</v>
      </c>
    </row>
    <row r="451" spans="1:11" ht="24" x14ac:dyDescent="0.2">
      <c r="A451" s="917" t="s">
        <v>1795</v>
      </c>
      <c r="B451" s="917" t="s">
        <v>1796</v>
      </c>
      <c r="C451" s="917" t="s">
        <v>1238</v>
      </c>
      <c r="D451" s="917">
        <v>45</v>
      </c>
      <c r="E451" s="415"/>
      <c r="F451" s="961">
        <v>16071.5</v>
      </c>
      <c r="G451" s="962" t="s">
        <v>1797</v>
      </c>
      <c r="H451" s="963" t="s">
        <v>1798</v>
      </c>
      <c r="I451" s="964" t="s">
        <v>1799</v>
      </c>
      <c r="J451" s="965"/>
      <c r="K451" s="60" t="s">
        <v>1800</v>
      </c>
    </row>
    <row r="452" spans="1:11" ht="24" x14ac:dyDescent="0.2">
      <c r="A452" s="917" t="s">
        <v>1801</v>
      </c>
      <c r="B452" s="917" t="s">
        <v>1802</v>
      </c>
      <c r="C452" s="917" t="s">
        <v>1803</v>
      </c>
      <c r="D452" s="917">
        <v>18</v>
      </c>
      <c r="E452" s="415"/>
      <c r="F452" s="961">
        <v>17373.7</v>
      </c>
      <c r="G452" s="962" t="s">
        <v>1804</v>
      </c>
      <c r="H452" s="963" t="s">
        <v>1798</v>
      </c>
      <c r="I452" s="964" t="s">
        <v>1805</v>
      </c>
      <c r="J452" s="965">
        <v>44245</v>
      </c>
      <c r="K452" s="60" t="s">
        <v>1800</v>
      </c>
    </row>
    <row r="453" spans="1:11" ht="24" x14ac:dyDescent="0.2">
      <c r="A453" s="917" t="s">
        <v>1801</v>
      </c>
      <c r="B453" s="917" t="s">
        <v>1802</v>
      </c>
      <c r="C453" s="917" t="s">
        <v>1803</v>
      </c>
      <c r="D453" s="917">
        <v>19</v>
      </c>
      <c r="E453" s="415"/>
      <c r="F453" s="961">
        <v>19770.07</v>
      </c>
      <c r="G453" s="962" t="s">
        <v>1804</v>
      </c>
      <c r="H453" s="963" t="s">
        <v>1798</v>
      </c>
      <c r="I453" s="964" t="s">
        <v>1805</v>
      </c>
      <c r="J453" s="965">
        <v>44245</v>
      </c>
      <c r="K453" s="60" t="s">
        <v>1800</v>
      </c>
    </row>
    <row r="454" spans="1:11" ht="24" x14ac:dyDescent="0.2">
      <c r="A454" s="917" t="s">
        <v>1806</v>
      </c>
      <c r="B454" s="917" t="s">
        <v>1802</v>
      </c>
      <c r="C454" s="917" t="s">
        <v>1803</v>
      </c>
      <c r="D454" s="917">
        <v>27</v>
      </c>
      <c r="E454" s="415"/>
      <c r="F454" s="961">
        <v>14974.5</v>
      </c>
      <c r="G454" s="962" t="s">
        <v>1807</v>
      </c>
      <c r="H454" s="963" t="s">
        <v>1798</v>
      </c>
      <c r="I454" s="964" t="s">
        <v>1241</v>
      </c>
      <c r="J454" s="965">
        <v>44245</v>
      </c>
      <c r="K454" s="60" t="s">
        <v>1800</v>
      </c>
    </row>
    <row r="455" spans="1:11" ht="24" x14ac:dyDescent="0.2">
      <c r="A455" s="917" t="s">
        <v>1808</v>
      </c>
      <c r="B455" s="917" t="s">
        <v>1809</v>
      </c>
      <c r="C455" s="917" t="s">
        <v>1238</v>
      </c>
      <c r="D455" s="917">
        <v>60</v>
      </c>
      <c r="E455" s="415"/>
      <c r="F455" s="961">
        <v>12891</v>
      </c>
      <c r="G455" s="962" t="s">
        <v>1810</v>
      </c>
      <c r="H455" s="963" t="s">
        <v>1798</v>
      </c>
      <c r="I455" s="964" t="s">
        <v>1811</v>
      </c>
      <c r="J455" s="965">
        <v>44240</v>
      </c>
      <c r="K455" s="60" t="s">
        <v>1800</v>
      </c>
    </row>
    <row r="456" spans="1:11" ht="24" x14ac:dyDescent="0.2">
      <c r="A456" s="917" t="s">
        <v>1812</v>
      </c>
      <c r="B456" s="917" t="s">
        <v>1796</v>
      </c>
      <c r="C456" s="917" t="s">
        <v>1238</v>
      </c>
      <c r="D456" s="917">
        <v>71</v>
      </c>
      <c r="E456" s="415"/>
      <c r="F456" s="961">
        <v>14749.8</v>
      </c>
      <c r="G456" s="962" t="s">
        <v>1813</v>
      </c>
      <c r="H456" s="963" t="s">
        <v>1798</v>
      </c>
      <c r="I456" s="964" t="s">
        <v>1252</v>
      </c>
      <c r="J456" s="965" t="e">
        <f t="shared" ref="J456:J519" si="0">I456+15</f>
        <v>#VALUE!</v>
      </c>
      <c r="K456" s="60" t="s">
        <v>1800</v>
      </c>
    </row>
    <row r="457" spans="1:11" ht="24" x14ac:dyDescent="0.2">
      <c r="A457" s="917" t="s">
        <v>1814</v>
      </c>
      <c r="B457" s="917" t="s">
        <v>1796</v>
      </c>
      <c r="C457" s="917" t="s">
        <v>1238</v>
      </c>
      <c r="D457" s="917">
        <v>74</v>
      </c>
      <c r="E457" s="415"/>
      <c r="F457" s="961">
        <v>10000</v>
      </c>
      <c r="G457" s="962" t="s">
        <v>1815</v>
      </c>
      <c r="H457" s="963" t="s">
        <v>1798</v>
      </c>
      <c r="I457" s="964" t="s">
        <v>1252</v>
      </c>
      <c r="J457" s="965" t="e">
        <f t="shared" si="0"/>
        <v>#VALUE!</v>
      </c>
      <c r="K457" s="60" t="s">
        <v>1800</v>
      </c>
    </row>
    <row r="458" spans="1:11" ht="24" x14ac:dyDescent="0.2">
      <c r="A458" s="917" t="s">
        <v>1816</v>
      </c>
      <c r="B458" s="917" t="s">
        <v>1796</v>
      </c>
      <c r="C458" s="917" t="s">
        <v>1238</v>
      </c>
      <c r="D458" s="917">
        <v>75</v>
      </c>
      <c r="E458" s="415"/>
      <c r="F458" s="961">
        <v>18790</v>
      </c>
      <c r="G458" s="962" t="s">
        <v>1815</v>
      </c>
      <c r="H458" s="963" t="s">
        <v>1798</v>
      </c>
      <c r="I458" s="964" t="s">
        <v>1252</v>
      </c>
      <c r="J458" s="965" t="e">
        <f t="shared" si="0"/>
        <v>#VALUE!</v>
      </c>
      <c r="K458" s="60" t="s">
        <v>1800</v>
      </c>
    </row>
    <row r="459" spans="1:11" ht="24" x14ac:dyDescent="0.2">
      <c r="A459" s="917" t="s">
        <v>1817</v>
      </c>
      <c r="B459" s="917" t="s">
        <v>1796</v>
      </c>
      <c r="C459" s="917" t="s">
        <v>1238</v>
      </c>
      <c r="D459" s="917">
        <v>78</v>
      </c>
      <c r="E459" s="415"/>
      <c r="F459" s="961">
        <v>10257</v>
      </c>
      <c r="G459" s="962" t="s">
        <v>1818</v>
      </c>
      <c r="H459" s="963" t="s">
        <v>1798</v>
      </c>
      <c r="I459" s="964" t="s">
        <v>1252</v>
      </c>
      <c r="J459" s="965" t="e">
        <f t="shared" si="0"/>
        <v>#VALUE!</v>
      </c>
      <c r="K459" s="60" t="s">
        <v>1800</v>
      </c>
    </row>
    <row r="460" spans="1:11" ht="24" x14ac:dyDescent="0.2">
      <c r="A460" s="917" t="s">
        <v>1819</v>
      </c>
      <c r="B460" s="917" t="s">
        <v>1796</v>
      </c>
      <c r="C460" s="917" t="s">
        <v>1238</v>
      </c>
      <c r="D460" s="917">
        <v>85</v>
      </c>
      <c r="E460" s="415"/>
      <c r="F460" s="961">
        <v>12000</v>
      </c>
      <c r="G460" s="962" t="s">
        <v>1820</v>
      </c>
      <c r="H460" s="963" t="s">
        <v>1798</v>
      </c>
      <c r="I460" s="964" t="s">
        <v>1252</v>
      </c>
      <c r="J460" s="965" t="e">
        <f t="shared" si="0"/>
        <v>#VALUE!</v>
      </c>
      <c r="K460" s="60" t="s">
        <v>1800</v>
      </c>
    </row>
    <row r="461" spans="1:11" ht="24" x14ac:dyDescent="0.2">
      <c r="A461" s="917" t="s">
        <v>1821</v>
      </c>
      <c r="B461" s="917" t="s">
        <v>1796</v>
      </c>
      <c r="C461" s="917" t="s">
        <v>1238</v>
      </c>
      <c r="D461" s="917">
        <v>140</v>
      </c>
      <c r="E461" s="415"/>
      <c r="F461" s="961">
        <v>33600</v>
      </c>
      <c r="G461" s="962" t="s">
        <v>1822</v>
      </c>
      <c r="H461" s="963" t="s">
        <v>1798</v>
      </c>
      <c r="I461" s="964" t="s">
        <v>1823</v>
      </c>
      <c r="J461" s="965" t="e">
        <f t="shared" si="0"/>
        <v>#VALUE!</v>
      </c>
      <c r="K461" s="60" t="s">
        <v>1800</v>
      </c>
    </row>
    <row r="462" spans="1:11" ht="24" x14ac:dyDescent="0.2">
      <c r="A462" s="917" t="s">
        <v>1801</v>
      </c>
      <c r="B462" s="917" t="s">
        <v>1802</v>
      </c>
      <c r="C462" s="917" t="s">
        <v>1803</v>
      </c>
      <c r="D462" s="917">
        <v>154</v>
      </c>
      <c r="E462" s="415"/>
      <c r="F462" s="961">
        <v>12525.59</v>
      </c>
      <c r="G462" s="962" t="s">
        <v>1824</v>
      </c>
      <c r="H462" s="963" t="s">
        <v>1798</v>
      </c>
      <c r="I462" s="964" t="s">
        <v>1825</v>
      </c>
      <c r="J462" s="965" t="e">
        <f t="shared" si="0"/>
        <v>#VALUE!</v>
      </c>
      <c r="K462" s="60" t="s">
        <v>1800</v>
      </c>
    </row>
    <row r="463" spans="1:11" ht="24" x14ac:dyDescent="0.2">
      <c r="A463" s="917" t="s">
        <v>1816</v>
      </c>
      <c r="B463" s="917" t="s">
        <v>1796</v>
      </c>
      <c r="C463" s="917" t="s">
        <v>1238</v>
      </c>
      <c r="D463" s="917">
        <v>171</v>
      </c>
      <c r="E463" s="415"/>
      <c r="F463" s="961">
        <v>12434</v>
      </c>
      <c r="G463" s="962" t="s">
        <v>1815</v>
      </c>
      <c r="H463" s="963" t="s">
        <v>1798</v>
      </c>
      <c r="I463" s="964" t="s">
        <v>1826</v>
      </c>
      <c r="J463" s="965" t="e">
        <f t="shared" si="0"/>
        <v>#VALUE!</v>
      </c>
      <c r="K463" s="60" t="s">
        <v>1800</v>
      </c>
    </row>
    <row r="464" spans="1:11" ht="24" x14ac:dyDescent="0.2">
      <c r="A464" s="917" t="s">
        <v>1827</v>
      </c>
      <c r="B464" s="917" t="s">
        <v>1796</v>
      </c>
      <c r="C464" s="917" t="s">
        <v>1238</v>
      </c>
      <c r="D464" s="917">
        <v>172</v>
      </c>
      <c r="E464" s="415"/>
      <c r="F464" s="961">
        <v>31437.4</v>
      </c>
      <c r="G464" s="962" t="s">
        <v>1822</v>
      </c>
      <c r="H464" s="963" t="s">
        <v>1798</v>
      </c>
      <c r="I464" s="964" t="s">
        <v>1826</v>
      </c>
      <c r="J464" s="965" t="e">
        <f t="shared" si="0"/>
        <v>#VALUE!</v>
      </c>
      <c r="K464" s="60" t="s">
        <v>1800</v>
      </c>
    </row>
    <row r="465" spans="1:11" ht="24" x14ac:dyDescent="0.2">
      <c r="A465" s="917" t="s">
        <v>1795</v>
      </c>
      <c r="B465" s="917" t="s">
        <v>1796</v>
      </c>
      <c r="C465" s="917" t="s">
        <v>1238</v>
      </c>
      <c r="D465" s="917">
        <v>349</v>
      </c>
      <c r="E465" s="415"/>
      <c r="F465" s="961">
        <v>17469</v>
      </c>
      <c r="G465" s="962" t="s">
        <v>1797</v>
      </c>
      <c r="H465" s="963" t="s">
        <v>1798</v>
      </c>
      <c r="I465" s="964" t="s">
        <v>1823</v>
      </c>
      <c r="J465" s="965"/>
      <c r="K465" s="60" t="s">
        <v>1800</v>
      </c>
    </row>
    <row r="466" spans="1:11" ht="24" x14ac:dyDescent="0.2">
      <c r="A466" s="917" t="s">
        <v>1795</v>
      </c>
      <c r="B466" s="917" t="s">
        <v>1796</v>
      </c>
      <c r="C466" s="917" t="s">
        <v>1238</v>
      </c>
      <c r="D466" s="917">
        <v>350</v>
      </c>
      <c r="E466" s="415"/>
      <c r="F466" s="961">
        <v>23275.7</v>
      </c>
      <c r="G466" s="962" t="s">
        <v>1797</v>
      </c>
      <c r="H466" s="963" t="s">
        <v>1798</v>
      </c>
      <c r="I466" s="964" t="s">
        <v>1823</v>
      </c>
      <c r="J466" s="965"/>
      <c r="K466" s="60" t="s">
        <v>1800</v>
      </c>
    </row>
    <row r="467" spans="1:11" ht="24" x14ac:dyDescent="0.2">
      <c r="A467" s="917" t="s">
        <v>1828</v>
      </c>
      <c r="B467" s="917" t="s">
        <v>1796</v>
      </c>
      <c r="C467" s="917" t="s">
        <v>1238</v>
      </c>
      <c r="D467" s="917">
        <v>180</v>
      </c>
      <c r="E467" s="415"/>
      <c r="F467" s="961">
        <v>12498</v>
      </c>
      <c r="G467" s="962" t="s">
        <v>1818</v>
      </c>
      <c r="H467" s="963" t="s">
        <v>1798</v>
      </c>
      <c r="I467" s="964" t="s">
        <v>1829</v>
      </c>
      <c r="J467" s="965">
        <f t="shared" si="0"/>
        <v>43879</v>
      </c>
      <c r="K467" s="60" t="s">
        <v>1800</v>
      </c>
    </row>
    <row r="468" spans="1:11" ht="24" x14ac:dyDescent="0.2">
      <c r="A468" s="917" t="s">
        <v>1830</v>
      </c>
      <c r="B468" s="917" t="s">
        <v>1796</v>
      </c>
      <c r="C468" s="917" t="s">
        <v>1238</v>
      </c>
      <c r="D468" s="917">
        <v>209</v>
      </c>
      <c r="E468" s="415"/>
      <c r="F468" s="961">
        <v>33972</v>
      </c>
      <c r="G468" s="962" t="s">
        <v>1831</v>
      </c>
      <c r="H468" s="963" t="s">
        <v>1798</v>
      </c>
      <c r="I468" s="964" t="s">
        <v>1832</v>
      </c>
      <c r="J468" s="965">
        <f t="shared" si="0"/>
        <v>44183</v>
      </c>
      <c r="K468" s="60" t="s">
        <v>1800</v>
      </c>
    </row>
    <row r="469" spans="1:11" ht="24" x14ac:dyDescent="0.2">
      <c r="A469" s="917" t="s">
        <v>1821</v>
      </c>
      <c r="B469" s="917" t="s">
        <v>1802</v>
      </c>
      <c r="C469" s="917" t="s">
        <v>1833</v>
      </c>
      <c r="D469" s="917">
        <v>212</v>
      </c>
      <c r="E469" s="415"/>
      <c r="F469" s="961">
        <v>61440</v>
      </c>
      <c r="G469" s="962" t="s">
        <v>1815</v>
      </c>
      <c r="H469" s="963" t="s">
        <v>1798</v>
      </c>
      <c r="I469" s="964" t="s">
        <v>1832</v>
      </c>
      <c r="J469" s="965">
        <f t="shared" si="0"/>
        <v>44183</v>
      </c>
      <c r="K469" s="60" t="s">
        <v>1800</v>
      </c>
    </row>
    <row r="470" spans="1:11" ht="24" x14ac:dyDescent="0.2">
      <c r="A470" s="917" t="s">
        <v>1821</v>
      </c>
      <c r="B470" s="917" t="s">
        <v>1802</v>
      </c>
      <c r="C470" s="917" t="s">
        <v>1834</v>
      </c>
      <c r="D470" s="917">
        <v>218</v>
      </c>
      <c r="E470" s="415"/>
      <c r="F470" s="961">
        <v>44175</v>
      </c>
      <c r="G470" s="962" t="s">
        <v>1815</v>
      </c>
      <c r="H470" s="963" t="s">
        <v>1798</v>
      </c>
      <c r="I470" s="964" t="s">
        <v>1835</v>
      </c>
      <c r="J470" s="965" t="e">
        <f t="shared" si="0"/>
        <v>#VALUE!</v>
      </c>
      <c r="K470" s="60" t="s">
        <v>1800</v>
      </c>
    </row>
    <row r="471" spans="1:11" ht="24" x14ac:dyDescent="0.2">
      <c r="A471" s="917" t="s">
        <v>1808</v>
      </c>
      <c r="B471" s="917" t="s">
        <v>1809</v>
      </c>
      <c r="C471" s="917" t="s">
        <v>1238</v>
      </c>
      <c r="D471" s="917">
        <v>220</v>
      </c>
      <c r="E471" s="415"/>
      <c r="F471" s="961">
        <v>11300.96</v>
      </c>
      <c r="G471" s="962" t="s">
        <v>1810</v>
      </c>
      <c r="H471" s="963" t="s">
        <v>1798</v>
      </c>
      <c r="I471" s="964" t="s">
        <v>1836</v>
      </c>
      <c r="J471" s="965" t="e">
        <f t="shared" si="0"/>
        <v>#VALUE!</v>
      </c>
      <c r="K471" s="60" t="s">
        <v>1800</v>
      </c>
    </row>
    <row r="472" spans="1:11" ht="24" x14ac:dyDescent="0.2">
      <c r="A472" s="917" t="s">
        <v>1837</v>
      </c>
      <c r="B472" s="917" t="s">
        <v>1796</v>
      </c>
      <c r="C472" s="917" t="s">
        <v>1238</v>
      </c>
      <c r="D472" s="917">
        <v>241</v>
      </c>
      <c r="E472" s="415"/>
      <c r="F472" s="961">
        <v>30000</v>
      </c>
      <c r="G472" s="962" t="s">
        <v>1838</v>
      </c>
      <c r="H472" s="963" t="s">
        <v>1798</v>
      </c>
      <c r="I472" s="964" t="s">
        <v>1839</v>
      </c>
      <c r="J472" s="965" t="e">
        <f t="shared" si="0"/>
        <v>#VALUE!</v>
      </c>
      <c r="K472" s="60" t="s">
        <v>1800</v>
      </c>
    </row>
    <row r="473" spans="1:11" ht="24" x14ac:dyDescent="0.2">
      <c r="A473" s="917" t="s">
        <v>1840</v>
      </c>
      <c r="B473" s="917" t="s">
        <v>1796</v>
      </c>
      <c r="C473" s="917" t="s">
        <v>1238</v>
      </c>
      <c r="D473" s="917">
        <v>242</v>
      </c>
      <c r="E473" s="415"/>
      <c r="F473" s="961">
        <v>14998</v>
      </c>
      <c r="G473" s="962" t="s">
        <v>1822</v>
      </c>
      <c r="H473" s="963" t="s">
        <v>1798</v>
      </c>
      <c r="I473" s="964" t="s">
        <v>1839</v>
      </c>
      <c r="J473" s="965" t="e">
        <f t="shared" si="0"/>
        <v>#VALUE!</v>
      </c>
      <c r="K473" s="60" t="s">
        <v>1800</v>
      </c>
    </row>
    <row r="474" spans="1:11" ht="24" x14ac:dyDescent="0.2">
      <c r="A474" s="917" t="s">
        <v>1841</v>
      </c>
      <c r="B474" s="917" t="s">
        <v>1796</v>
      </c>
      <c r="C474" s="917" t="s">
        <v>1238</v>
      </c>
      <c r="D474" s="917">
        <v>247</v>
      </c>
      <c r="E474" s="415"/>
      <c r="F474" s="961">
        <v>13000</v>
      </c>
      <c r="G474" s="962" t="s">
        <v>1842</v>
      </c>
      <c r="H474" s="963" t="s">
        <v>1798</v>
      </c>
      <c r="I474" s="964" t="s">
        <v>1839</v>
      </c>
      <c r="J474" s="965" t="e">
        <f t="shared" si="0"/>
        <v>#VALUE!</v>
      </c>
      <c r="K474" s="60" t="s">
        <v>1800</v>
      </c>
    </row>
    <row r="475" spans="1:11" ht="24" x14ac:dyDescent="0.2">
      <c r="A475" s="917" t="s">
        <v>1801</v>
      </c>
      <c r="B475" s="917" t="s">
        <v>1796</v>
      </c>
      <c r="C475" s="917" t="s">
        <v>1238</v>
      </c>
      <c r="D475" s="917">
        <v>251</v>
      </c>
      <c r="E475" s="415"/>
      <c r="F475" s="961">
        <v>16209.7</v>
      </c>
      <c r="G475" s="962" t="s">
        <v>1815</v>
      </c>
      <c r="H475" s="963" t="s">
        <v>1798</v>
      </c>
      <c r="I475" s="964" t="s">
        <v>1843</v>
      </c>
      <c r="J475" s="965" t="e">
        <f t="shared" si="0"/>
        <v>#VALUE!</v>
      </c>
      <c r="K475" s="60" t="s">
        <v>1800</v>
      </c>
    </row>
    <row r="476" spans="1:11" ht="24" x14ac:dyDescent="0.2">
      <c r="A476" s="917" t="s">
        <v>1844</v>
      </c>
      <c r="B476" s="917" t="s">
        <v>1796</v>
      </c>
      <c r="C476" s="917" t="s">
        <v>1238</v>
      </c>
      <c r="D476" s="917">
        <v>254</v>
      </c>
      <c r="E476" s="415"/>
      <c r="F476" s="961">
        <v>22400</v>
      </c>
      <c r="G476" s="962" t="s">
        <v>1845</v>
      </c>
      <c r="H476" s="963" t="s">
        <v>1798</v>
      </c>
      <c r="I476" s="964" t="s">
        <v>1843</v>
      </c>
      <c r="J476" s="965" t="e">
        <f t="shared" si="0"/>
        <v>#VALUE!</v>
      </c>
      <c r="K476" s="60" t="s">
        <v>1800</v>
      </c>
    </row>
    <row r="477" spans="1:11" ht="24" x14ac:dyDescent="0.2">
      <c r="A477" s="917" t="s">
        <v>1846</v>
      </c>
      <c r="B477" s="917" t="s">
        <v>1809</v>
      </c>
      <c r="C477" s="917" t="s">
        <v>1238</v>
      </c>
      <c r="D477" s="917">
        <v>255</v>
      </c>
      <c r="E477" s="415"/>
      <c r="F477" s="961">
        <v>14462.5</v>
      </c>
      <c r="G477" s="962" t="s">
        <v>1810</v>
      </c>
      <c r="H477" s="963" t="s">
        <v>1798</v>
      </c>
      <c r="I477" s="964" t="s">
        <v>1847</v>
      </c>
      <c r="J477" s="965" t="e">
        <f t="shared" si="0"/>
        <v>#VALUE!</v>
      </c>
      <c r="K477" s="60" t="s">
        <v>1800</v>
      </c>
    </row>
    <row r="478" spans="1:11" ht="24" x14ac:dyDescent="0.2">
      <c r="A478" s="917" t="s">
        <v>1848</v>
      </c>
      <c r="B478" s="917" t="s">
        <v>1796</v>
      </c>
      <c r="C478" s="917" t="s">
        <v>1238</v>
      </c>
      <c r="D478" s="917">
        <v>259</v>
      </c>
      <c r="E478" s="415"/>
      <c r="F478" s="961">
        <v>30800</v>
      </c>
      <c r="G478" s="962" t="s">
        <v>1849</v>
      </c>
      <c r="H478" s="963" t="s">
        <v>1798</v>
      </c>
      <c r="I478" s="964" t="s">
        <v>1847</v>
      </c>
      <c r="J478" s="965" t="e">
        <f t="shared" si="0"/>
        <v>#VALUE!</v>
      </c>
      <c r="K478" s="60" t="s">
        <v>1800</v>
      </c>
    </row>
    <row r="479" spans="1:11" ht="24" x14ac:dyDescent="0.2">
      <c r="A479" s="917" t="s">
        <v>1850</v>
      </c>
      <c r="B479" s="917" t="s">
        <v>1796</v>
      </c>
      <c r="C479" s="917" t="s">
        <v>1238</v>
      </c>
      <c r="D479" s="917">
        <v>261</v>
      </c>
      <c r="E479" s="415"/>
      <c r="F479" s="961">
        <v>11684</v>
      </c>
      <c r="G479" s="962" t="s">
        <v>1851</v>
      </c>
      <c r="H479" s="963" t="s">
        <v>1798</v>
      </c>
      <c r="I479" s="964" t="s">
        <v>1852</v>
      </c>
      <c r="J479" s="965" t="e">
        <f t="shared" si="0"/>
        <v>#VALUE!</v>
      </c>
      <c r="K479" s="60" t="s">
        <v>1800</v>
      </c>
    </row>
    <row r="480" spans="1:11" ht="24" x14ac:dyDescent="0.2">
      <c r="A480" s="917" t="s">
        <v>1808</v>
      </c>
      <c r="B480" s="917" t="s">
        <v>1809</v>
      </c>
      <c r="C480" s="917" t="s">
        <v>1238</v>
      </c>
      <c r="D480" s="917">
        <v>264</v>
      </c>
      <c r="E480" s="415"/>
      <c r="F480" s="961">
        <v>25684.400000000001</v>
      </c>
      <c r="G480" s="962" t="s">
        <v>1810</v>
      </c>
      <c r="H480" s="963" t="s">
        <v>1798</v>
      </c>
      <c r="I480" s="964" t="s">
        <v>1852</v>
      </c>
      <c r="J480" s="965" t="e">
        <f t="shared" si="0"/>
        <v>#VALUE!</v>
      </c>
      <c r="K480" s="60" t="s">
        <v>1800</v>
      </c>
    </row>
    <row r="481" spans="1:11" ht="24" x14ac:dyDescent="0.2">
      <c r="A481" s="917" t="s">
        <v>1853</v>
      </c>
      <c r="B481" s="917" t="s">
        <v>1796</v>
      </c>
      <c r="C481" s="917" t="s">
        <v>1238</v>
      </c>
      <c r="D481" s="917">
        <v>269</v>
      </c>
      <c r="E481" s="415"/>
      <c r="F481" s="961">
        <v>19376</v>
      </c>
      <c r="G481" s="962" t="s">
        <v>1854</v>
      </c>
      <c r="H481" s="963" t="s">
        <v>1798</v>
      </c>
      <c r="I481" s="964" t="s">
        <v>1852</v>
      </c>
      <c r="J481" s="965" t="e">
        <f t="shared" si="0"/>
        <v>#VALUE!</v>
      </c>
      <c r="K481" s="60" t="s">
        <v>1800</v>
      </c>
    </row>
    <row r="482" spans="1:11" ht="24" x14ac:dyDescent="0.2">
      <c r="A482" s="917" t="s">
        <v>1855</v>
      </c>
      <c r="B482" s="917" t="s">
        <v>1796</v>
      </c>
      <c r="C482" s="917" t="s">
        <v>1238</v>
      </c>
      <c r="D482" s="917">
        <v>272</v>
      </c>
      <c r="E482" s="415"/>
      <c r="F482" s="961">
        <v>11748</v>
      </c>
      <c r="G482" s="962" t="s">
        <v>1849</v>
      </c>
      <c r="H482" s="963" t="s">
        <v>1798</v>
      </c>
      <c r="I482" s="964" t="s">
        <v>1852</v>
      </c>
      <c r="J482" s="965" t="e">
        <f t="shared" si="0"/>
        <v>#VALUE!</v>
      </c>
      <c r="K482" s="60" t="s">
        <v>1800</v>
      </c>
    </row>
    <row r="483" spans="1:11" ht="24" x14ac:dyDescent="0.2">
      <c r="A483" s="917" t="s">
        <v>1821</v>
      </c>
      <c r="B483" s="917" t="s">
        <v>1802</v>
      </c>
      <c r="C483" s="917" t="s">
        <v>1856</v>
      </c>
      <c r="D483" s="917">
        <v>299</v>
      </c>
      <c r="E483" s="415"/>
      <c r="F483" s="961">
        <v>48690</v>
      </c>
      <c r="G483" s="962" t="s">
        <v>1822</v>
      </c>
      <c r="H483" s="963" t="s">
        <v>1798</v>
      </c>
      <c r="I483" s="964" t="s">
        <v>1857</v>
      </c>
      <c r="J483" s="965" t="e">
        <f t="shared" si="0"/>
        <v>#VALUE!</v>
      </c>
      <c r="K483" s="60" t="s">
        <v>1800</v>
      </c>
    </row>
    <row r="484" spans="1:11" ht="24" x14ac:dyDescent="0.2">
      <c r="A484" s="917" t="s">
        <v>1858</v>
      </c>
      <c r="B484" s="917" t="s">
        <v>1802</v>
      </c>
      <c r="C484" s="917" t="s">
        <v>1859</v>
      </c>
      <c r="D484" s="917">
        <v>300</v>
      </c>
      <c r="E484" s="415"/>
      <c r="F484" s="961">
        <v>58665.9</v>
      </c>
      <c r="G484" s="962" t="s">
        <v>1822</v>
      </c>
      <c r="H484" s="963" t="s">
        <v>1798</v>
      </c>
      <c r="I484" s="964" t="s">
        <v>1857</v>
      </c>
      <c r="J484" s="965" t="e">
        <f t="shared" si="0"/>
        <v>#VALUE!</v>
      </c>
      <c r="K484" s="60" t="s">
        <v>1800</v>
      </c>
    </row>
    <row r="485" spans="1:11" ht="24" x14ac:dyDescent="0.2">
      <c r="A485" s="917" t="s">
        <v>1860</v>
      </c>
      <c r="B485" s="917" t="s">
        <v>1796</v>
      </c>
      <c r="C485" s="917" t="s">
        <v>1238</v>
      </c>
      <c r="D485" s="917">
        <v>301</v>
      </c>
      <c r="E485" s="415"/>
      <c r="F485" s="961">
        <v>13264</v>
      </c>
      <c r="G485" s="962" t="s">
        <v>1820</v>
      </c>
      <c r="H485" s="963" t="s">
        <v>1798</v>
      </c>
      <c r="I485" s="964" t="s">
        <v>1861</v>
      </c>
      <c r="J485" s="965" t="e">
        <f t="shared" si="0"/>
        <v>#VALUE!</v>
      </c>
      <c r="K485" s="60" t="s">
        <v>1800</v>
      </c>
    </row>
    <row r="486" spans="1:11" ht="24" x14ac:dyDescent="0.2">
      <c r="A486" s="917" t="s">
        <v>1846</v>
      </c>
      <c r="B486" s="917" t="s">
        <v>1796</v>
      </c>
      <c r="C486" s="917" t="s">
        <v>1238</v>
      </c>
      <c r="D486" s="917">
        <v>305</v>
      </c>
      <c r="E486" s="415"/>
      <c r="F486" s="961">
        <v>14222</v>
      </c>
      <c r="G486" s="962" t="s">
        <v>1862</v>
      </c>
      <c r="H486" s="963" t="s">
        <v>1798</v>
      </c>
      <c r="I486" s="964" t="s">
        <v>1861</v>
      </c>
      <c r="J486" s="965" t="e">
        <f t="shared" si="0"/>
        <v>#VALUE!</v>
      </c>
      <c r="K486" s="60" t="s">
        <v>1800</v>
      </c>
    </row>
    <row r="487" spans="1:11" ht="24" x14ac:dyDescent="0.2">
      <c r="A487" s="917" t="s">
        <v>1863</v>
      </c>
      <c r="B487" s="917" t="s">
        <v>1796</v>
      </c>
      <c r="C487" s="917" t="s">
        <v>1238</v>
      </c>
      <c r="D487" s="917">
        <v>314</v>
      </c>
      <c r="E487" s="415"/>
      <c r="F487" s="961">
        <v>24850</v>
      </c>
      <c r="G487" s="962" t="s">
        <v>1864</v>
      </c>
      <c r="H487" s="963" t="s">
        <v>1798</v>
      </c>
      <c r="I487" s="964" t="s">
        <v>1865</v>
      </c>
      <c r="J487" s="965" t="e">
        <f t="shared" si="0"/>
        <v>#VALUE!</v>
      </c>
      <c r="K487" s="60" t="s">
        <v>1800</v>
      </c>
    </row>
    <row r="488" spans="1:11" ht="24" x14ac:dyDescent="0.2">
      <c r="A488" s="917" t="s">
        <v>1866</v>
      </c>
      <c r="B488" s="917" t="s">
        <v>1796</v>
      </c>
      <c r="C488" s="917" t="s">
        <v>1238</v>
      </c>
      <c r="D488" s="917">
        <v>315</v>
      </c>
      <c r="E488" s="415"/>
      <c r="F488" s="961">
        <v>34251</v>
      </c>
      <c r="G488" s="962" t="s">
        <v>1867</v>
      </c>
      <c r="H488" s="963" t="s">
        <v>1798</v>
      </c>
      <c r="I488" s="964" t="s">
        <v>1865</v>
      </c>
      <c r="J488" s="965" t="e">
        <f t="shared" si="0"/>
        <v>#VALUE!</v>
      </c>
      <c r="K488" s="60" t="s">
        <v>1800</v>
      </c>
    </row>
    <row r="489" spans="1:11" ht="24" x14ac:dyDescent="0.2">
      <c r="A489" s="917" t="s">
        <v>1866</v>
      </c>
      <c r="B489" s="917" t="s">
        <v>1796</v>
      </c>
      <c r="C489" s="917" t="s">
        <v>1238</v>
      </c>
      <c r="D489" s="917">
        <v>316</v>
      </c>
      <c r="E489" s="415"/>
      <c r="F489" s="961">
        <v>34153</v>
      </c>
      <c r="G489" s="962" t="s">
        <v>1868</v>
      </c>
      <c r="H489" s="963" t="s">
        <v>1798</v>
      </c>
      <c r="I489" s="964" t="s">
        <v>1865</v>
      </c>
      <c r="J489" s="965" t="e">
        <f t="shared" si="0"/>
        <v>#VALUE!</v>
      </c>
      <c r="K489" s="60" t="s">
        <v>1800</v>
      </c>
    </row>
    <row r="490" spans="1:11" ht="24" x14ac:dyDescent="0.2">
      <c r="A490" s="917" t="s">
        <v>1869</v>
      </c>
      <c r="B490" s="917" t="s">
        <v>1796</v>
      </c>
      <c r="C490" s="917" t="s">
        <v>1238</v>
      </c>
      <c r="D490" s="917">
        <v>317</v>
      </c>
      <c r="E490" s="415"/>
      <c r="F490" s="961">
        <v>10320</v>
      </c>
      <c r="G490" s="962" t="s">
        <v>1849</v>
      </c>
      <c r="H490" s="963" t="s">
        <v>1798</v>
      </c>
      <c r="I490" s="964" t="s">
        <v>1870</v>
      </c>
      <c r="J490" s="965" t="e">
        <f t="shared" si="0"/>
        <v>#VALUE!</v>
      </c>
      <c r="K490" s="60" t="s">
        <v>1800</v>
      </c>
    </row>
    <row r="491" spans="1:11" ht="24" x14ac:dyDescent="0.2">
      <c r="A491" s="917" t="s">
        <v>1871</v>
      </c>
      <c r="B491" s="917" t="s">
        <v>1796</v>
      </c>
      <c r="C491" s="917" t="s">
        <v>1238</v>
      </c>
      <c r="D491" s="917">
        <v>318</v>
      </c>
      <c r="E491" s="415"/>
      <c r="F491" s="961">
        <v>10000</v>
      </c>
      <c r="G491" s="962" t="s">
        <v>1872</v>
      </c>
      <c r="H491" s="963" t="s">
        <v>1798</v>
      </c>
      <c r="I491" s="964" t="s">
        <v>1870</v>
      </c>
      <c r="J491" s="965" t="e">
        <f t="shared" si="0"/>
        <v>#VALUE!</v>
      </c>
      <c r="K491" s="60" t="s">
        <v>1800</v>
      </c>
    </row>
    <row r="492" spans="1:11" ht="24" x14ac:dyDescent="0.2">
      <c r="A492" s="917" t="s">
        <v>1873</v>
      </c>
      <c r="B492" s="917" t="s">
        <v>1796</v>
      </c>
      <c r="C492" s="917" t="s">
        <v>1238</v>
      </c>
      <c r="D492" s="917">
        <v>322</v>
      </c>
      <c r="E492" s="415"/>
      <c r="F492" s="961">
        <v>34397</v>
      </c>
      <c r="G492" s="962" t="s">
        <v>1813</v>
      </c>
      <c r="H492" s="963" t="s">
        <v>1798</v>
      </c>
      <c r="I492" s="964" t="s">
        <v>1874</v>
      </c>
      <c r="J492" s="965" t="e">
        <f t="shared" si="0"/>
        <v>#VALUE!</v>
      </c>
      <c r="K492" s="60" t="s">
        <v>1800</v>
      </c>
    </row>
    <row r="493" spans="1:11" ht="24" x14ac:dyDescent="0.2">
      <c r="A493" s="917" t="s">
        <v>1875</v>
      </c>
      <c r="B493" s="917" t="s">
        <v>1796</v>
      </c>
      <c r="C493" s="917" t="s">
        <v>1238</v>
      </c>
      <c r="D493" s="917">
        <v>323</v>
      </c>
      <c r="E493" s="415"/>
      <c r="F493" s="961">
        <v>16600.5</v>
      </c>
      <c r="G493" s="962" t="s">
        <v>1876</v>
      </c>
      <c r="H493" s="963" t="s">
        <v>1798</v>
      </c>
      <c r="I493" s="964" t="s">
        <v>1874</v>
      </c>
      <c r="J493" s="965" t="e">
        <f t="shared" si="0"/>
        <v>#VALUE!</v>
      </c>
      <c r="K493" s="60" t="s">
        <v>1800</v>
      </c>
    </row>
    <row r="494" spans="1:11" ht="24" x14ac:dyDescent="0.2">
      <c r="A494" s="917" t="s">
        <v>1877</v>
      </c>
      <c r="B494" s="917" t="s">
        <v>1796</v>
      </c>
      <c r="C494" s="917" t="s">
        <v>1238</v>
      </c>
      <c r="D494" s="917">
        <v>325</v>
      </c>
      <c r="E494" s="415"/>
      <c r="F494" s="961">
        <v>165652</v>
      </c>
      <c r="G494" s="962" t="s">
        <v>1868</v>
      </c>
      <c r="H494" s="963" t="s">
        <v>1798</v>
      </c>
      <c r="I494" s="964" t="s">
        <v>1874</v>
      </c>
      <c r="J494" s="965" t="e">
        <f t="shared" si="0"/>
        <v>#VALUE!</v>
      </c>
      <c r="K494" s="60" t="s">
        <v>1800</v>
      </c>
    </row>
    <row r="495" spans="1:11" ht="24" x14ac:dyDescent="0.2">
      <c r="A495" s="917" t="s">
        <v>1878</v>
      </c>
      <c r="B495" s="917" t="s">
        <v>1796</v>
      </c>
      <c r="C495" s="917" t="s">
        <v>1238</v>
      </c>
      <c r="D495" s="917">
        <v>329</v>
      </c>
      <c r="E495" s="415"/>
      <c r="F495" s="961">
        <v>11100</v>
      </c>
      <c r="G495" s="962" t="s">
        <v>1818</v>
      </c>
      <c r="H495" s="963" t="s">
        <v>1798</v>
      </c>
      <c r="I495" s="964" t="s">
        <v>1874</v>
      </c>
      <c r="J495" s="965" t="e">
        <f t="shared" si="0"/>
        <v>#VALUE!</v>
      </c>
      <c r="K495" s="60" t="s">
        <v>1800</v>
      </c>
    </row>
    <row r="496" spans="1:11" ht="24" x14ac:dyDescent="0.2">
      <c r="A496" s="917" t="s">
        <v>1869</v>
      </c>
      <c r="B496" s="917" t="s">
        <v>1879</v>
      </c>
      <c r="C496" s="917" t="s">
        <v>1880</v>
      </c>
      <c r="D496" s="917">
        <v>330</v>
      </c>
      <c r="E496" s="415"/>
      <c r="F496" s="961">
        <v>133000</v>
      </c>
      <c r="G496" s="962" t="s">
        <v>1849</v>
      </c>
      <c r="H496" s="963" t="s">
        <v>1798</v>
      </c>
      <c r="I496" s="964" t="s">
        <v>1874</v>
      </c>
      <c r="J496" s="965" t="e">
        <f t="shared" si="0"/>
        <v>#VALUE!</v>
      </c>
      <c r="K496" s="60" t="s">
        <v>1800</v>
      </c>
    </row>
    <row r="497" spans="1:11" ht="24" x14ac:dyDescent="0.2">
      <c r="A497" s="917" t="s">
        <v>1869</v>
      </c>
      <c r="B497" s="917" t="s">
        <v>1879</v>
      </c>
      <c r="C497" s="917"/>
      <c r="D497" s="917">
        <v>331</v>
      </c>
      <c r="E497" s="415"/>
      <c r="F497" s="961">
        <v>52000</v>
      </c>
      <c r="G497" s="962" t="s">
        <v>1849</v>
      </c>
      <c r="H497" s="963" t="s">
        <v>1661</v>
      </c>
      <c r="I497" s="964" t="s">
        <v>1874</v>
      </c>
      <c r="J497" s="965" t="e">
        <f t="shared" si="0"/>
        <v>#VALUE!</v>
      </c>
      <c r="K497" s="60" t="s">
        <v>1800</v>
      </c>
    </row>
    <row r="498" spans="1:11" ht="24" x14ac:dyDescent="0.2">
      <c r="A498" s="917" t="s">
        <v>1869</v>
      </c>
      <c r="B498" s="917" t="s">
        <v>1796</v>
      </c>
      <c r="C498" s="917" t="s">
        <v>1238</v>
      </c>
      <c r="D498" s="917">
        <v>332</v>
      </c>
      <c r="E498" s="415"/>
      <c r="F498" s="961">
        <v>92492.4</v>
      </c>
      <c r="G498" s="962" t="s">
        <v>1868</v>
      </c>
      <c r="H498" s="963" t="s">
        <v>1798</v>
      </c>
      <c r="I498" s="964" t="s">
        <v>1874</v>
      </c>
      <c r="J498" s="965" t="e">
        <f t="shared" si="0"/>
        <v>#VALUE!</v>
      </c>
      <c r="K498" s="60" t="s">
        <v>1800</v>
      </c>
    </row>
    <row r="499" spans="1:11" ht="36" x14ac:dyDescent="0.2">
      <c r="A499" s="917" t="s">
        <v>1881</v>
      </c>
      <c r="B499" s="917" t="s">
        <v>1796</v>
      </c>
      <c r="C499" s="917" t="s">
        <v>1238</v>
      </c>
      <c r="D499" s="917">
        <v>334</v>
      </c>
      <c r="E499" s="415"/>
      <c r="F499" s="961">
        <v>25950</v>
      </c>
      <c r="G499" s="962" t="s">
        <v>1849</v>
      </c>
      <c r="H499" s="963" t="s">
        <v>1798</v>
      </c>
      <c r="I499" s="964" t="s">
        <v>1882</v>
      </c>
      <c r="J499" s="965" t="e">
        <f t="shared" si="0"/>
        <v>#VALUE!</v>
      </c>
      <c r="K499" s="60" t="s">
        <v>1800</v>
      </c>
    </row>
    <row r="500" spans="1:11" ht="24" x14ac:dyDescent="0.2">
      <c r="A500" s="917" t="s">
        <v>1869</v>
      </c>
      <c r="B500" s="917" t="s">
        <v>1796</v>
      </c>
      <c r="C500" s="917" t="s">
        <v>1238</v>
      </c>
      <c r="D500" s="917">
        <v>338</v>
      </c>
      <c r="E500" s="415"/>
      <c r="F500" s="961">
        <v>30188</v>
      </c>
      <c r="G500" s="962" t="s">
        <v>1849</v>
      </c>
      <c r="H500" s="963" t="s">
        <v>1798</v>
      </c>
      <c r="I500" s="964" t="s">
        <v>1882</v>
      </c>
      <c r="J500" s="965" t="e">
        <f t="shared" si="0"/>
        <v>#VALUE!</v>
      </c>
      <c r="K500" s="60" t="s">
        <v>1800</v>
      </c>
    </row>
    <row r="501" spans="1:11" ht="24" x14ac:dyDescent="0.2">
      <c r="A501" s="917" t="s">
        <v>1883</v>
      </c>
      <c r="B501" s="917" t="s">
        <v>1796</v>
      </c>
      <c r="C501" s="917" t="s">
        <v>1238</v>
      </c>
      <c r="D501" s="917">
        <v>340</v>
      </c>
      <c r="E501" s="415"/>
      <c r="F501" s="961">
        <v>13888</v>
      </c>
      <c r="G501" s="962" t="s">
        <v>1849</v>
      </c>
      <c r="H501" s="963" t="s">
        <v>1798</v>
      </c>
      <c r="I501" s="964" t="s">
        <v>1882</v>
      </c>
      <c r="J501" s="965" t="e">
        <f t="shared" si="0"/>
        <v>#VALUE!</v>
      </c>
      <c r="K501" s="60" t="s">
        <v>1800</v>
      </c>
    </row>
    <row r="502" spans="1:11" ht="24" x14ac:dyDescent="0.2">
      <c r="A502" s="917" t="s">
        <v>1866</v>
      </c>
      <c r="B502" s="917" t="s">
        <v>1796</v>
      </c>
      <c r="C502" s="917" t="s">
        <v>1238</v>
      </c>
      <c r="D502" s="917">
        <v>342</v>
      </c>
      <c r="E502" s="415"/>
      <c r="F502" s="961">
        <v>29655</v>
      </c>
      <c r="G502" s="962" t="s">
        <v>1820</v>
      </c>
      <c r="H502" s="963" t="s">
        <v>1798</v>
      </c>
      <c r="I502" s="964" t="s">
        <v>1882</v>
      </c>
      <c r="J502" s="965" t="e">
        <f t="shared" si="0"/>
        <v>#VALUE!</v>
      </c>
      <c r="K502" s="60" t="s">
        <v>1800</v>
      </c>
    </row>
    <row r="503" spans="1:11" ht="24" x14ac:dyDescent="0.2">
      <c r="A503" s="917" t="s">
        <v>1869</v>
      </c>
      <c r="B503" s="917" t="s">
        <v>1879</v>
      </c>
      <c r="C503" s="917" t="s">
        <v>1884</v>
      </c>
      <c r="D503" s="917">
        <v>346</v>
      </c>
      <c r="E503" s="415"/>
      <c r="F503" s="961">
        <v>42342.400000000001</v>
      </c>
      <c r="G503" s="962" t="s">
        <v>1822</v>
      </c>
      <c r="H503" s="963" t="s">
        <v>1798</v>
      </c>
      <c r="I503" s="964" t="s">
        <v>1882</v>
      </c>
      <c r="J503" s="965" t="e">
        <f t="shared" si="0"/>
        <v>#VALUE!</v>
      </c>
      <c r="K503" s="60" t="s">
        <v>1800</v>
      </c>
    </row>
    <row r="504" spans="1:11" ht="24" x14ac:dyDescent="0.2">
      <c r="A504" s="917" t="s">
        <v>1885</v>
      </c>
      <c r="B504" s="917" t="s">
        <v>1796</v>
      </c>
      <c r="C504" s="917" t="s">
        <v>1238</v>
      </c>
      <c r="D504" s="917">
        <v>347</v>
      </c>
      <c r="E504" s="415"/>
      <c r="F504" s="961">
        <v>24528</v>
      </c>
      <c r="G504" s="962" t="s">
        <v>1822</v>
      </c>
      <c r="H504" s="963" t="s">
        <v>1798</v>
      </c>
      <c r="I504" s="964" t="s">
        <v>1882</v>
      </c>
      <c r="J504" s="965" t="e">
        <f t="shared" si="0"/>
        <v>#VALUE!</v>
      </c>
      <c r="K504" s="60" t="s">
        <v>1800</v>
      </c>
    </row>
    <row r="505" spans="1:11" ht="24" x14ac:dyDescent="0.2">
      <c r="A505" s="917" t="s">
        <v>1886</v>
      </c>
      <c r="B505" s="917" t="s">
        <v>1796</v>
      </c>
      <c r="C505" s="917" t="s">
        <v>1238</v>
      </c>
      <c r="D505" s="917">
        <v>349</v>
      </c>
      <c r="E505" s="415"/>
      <c r="F505" s="961">
        <v>34320</v>
      </c>
      <c r="G505" s="962" t="s">
        <v>1868</v>
      </c>
      <c r="H505" s="963" t="s">
        <v>1798</v>
      </c>
      <c r="I505" s="964" t="s">
        <v>1882</v>
      </c>
      <c r="J505" s="965" t="e">
        <f t="shared" si="0"/>
        <v>#VALUE!</v>
      </c>
      <c r="K505" s="60" t="s">
        <v>1800</v>
      </c>
    </row>
    <row r="506" spans="1:11" ht="24" x14ac:dyDescent="0.2">
      <c r="A506" s="917" t="s">
        <v>1887</v>
      </c>
      <c r="B506" s="917" t="s">
        <v>1796</v>
      </c>
      <c r="C506" s="917" t="s">
        <v>1238</v>
      </c>
      <c r="D506" s="917">
        <v>902</v>
      </c>
      <c r="E506" s="415"/>
      <c r="F506" s="961">
        <v>17300</v>
      </c>
      <c r="G506" s="962" t="s">
        <v>1888</v>
      </c>
      <c r="H506" s="963" t="s">
        <v>1798</v>
      </c>
      <c r="I506" s="964" t="s">
        <v>1857</v>
      </c>
      <c r="J506" s="965" t="e">
        <f t="shared" si="0"/>
        <v>#VALUE!</v>
      </c>
      <c r="K506" s="60" t="s">
        <v>1800</v>
      </c>
    </row>
    <row r="507" spans="1:11" ht="24" x14ac:dyDescent="0.2">
      <c r="A507" s="917" t="s">
        <v>1889</v>
      </c>
      <c r="B507" s="917" t="s">
        <v>1796</v>
      </c>
      <c r="C507" s="917" t="s">
        <v>1238</v>
      </c>
      <c r="D507" s="917">
        <v>929</v>
      </c>
      <c r="E507" s="415"/>
      <c r="F507" s="961">
        <v>34380</v>
      </c>
      <c r="G507" s="962" t="s">
        <v>1890</v>
      </c>
      <c r="H507" s="963" t="s">
        <v>1798</v>
      </c>
      <c r="I507" s="964" t="s">
        <v>1861</v>
      </c>
      <c r="J507" s="965" t="e">
        <f t="shared" si="0"/>
        <v>#VALUE!</v>
      </c>
      <c r="K507" s="60" t="s">
        <v>1800</v>
      </c>
    </row>
    <row r="508" spans="1:11" ht="24" x14ac:dyDescent="0.2">
      <c r="A508" s="917" t="s">
        <v>1795</v>
      </c>
      <c r="B508" s="917" t="s">
        <v>1796</v>
      </c>
      <c r="C508" s="917" t="s">
        <v>1238</v>
      </c>
      <c r="D508" s="917">
        <v>934</v>
      </c>
      <c r="E508" s="415"/>
      <c r="F508" s="961">
        <v>22965.599999999999</v>
      </c>
      <c r="G508" s="962" t="s">
        <v>1797</v>
      </c>
      <c r="H508" s="963" t="s">
        <v>1798</v>
      </c>
      <c r="I508" s="964" t="s">
        <v>1861</v>
      </c>
      <c r="J508" s="965"/>
      <c r="K508" s="60" t="s">
        <v>1800</v>
      </c>
    </row>
    <row r="509" spans="1:11" ht="24" x14ac:dyDescent="0.2">
      <c r="A509" s="917" t="s">
        <v>1795</v>
      </c>
      <c r="B509" s="917" t="s">
        <v>1796</v>
      </c>
      <c r="C509" s="917" t="s">
        <v>1238</v>
      </c>
      <c r="D509" s="917">
        <v>935</v>
      </c>
      <c r="E509" s="415"/>
      <c r="F509" s="961">
        <v>16919.5</v>
      </c>
      <c r="G509" s="962" t="s">
        <v>1797</v>
      </c>
      <c r="H509" s="963" t="s">
        <v>1798</v>
      </c>
      <c r="I509" s="964" t="s">
        <v>1861</v>
      </c>
      <c r="J509" s="965"/>
      <c r="K509" s="60" t="s">
        <v>1800</v>
      </c>
    </row>
    <row r="510" spans="1:11" ht="24" x14ac:dyDescent="0.2">
      <c r="A510" s="917" t="s">
        <v>1891</v>
      </c>
      <c r="B510" s="917" t="s">
        <v>1796</v>
      </c>
      <c r="C510" s="917" t="s">
        <v>1238</v>
      </c>
      <c r="D510" s="917">
        <v>937</v>
      </c>
      <c r="E510" s="415"/>
      <c r="F510" s="961">
        <v>13000</v>
      </c>
      <c r="G510" s="962" t="s">
        <v>1892</v>
      </c>
      <c r="H510" s="963" t="s">
        <v>1798</v>
      </c>
      <c r="I510" s="964" t="s">
        <v>1861</v>
      </c>
      <c r="J510" s="965" t="e">
        <f t="shared" si="0"/>
        <v>#VALUE!</v>
      </c>
      <c r="K510" s="60" t="s">
        <v>1800</v>
      </c>
    </row>
    <row r="511" spans="1:11" ht="24" x14ac:dyDescent="0.2">
      <c r="A511" s="917" t="s">
        <v>1893</v>
      </c>
      <c r="B511" s="917" t="s">
        <v>1802</v>
      </c>
      <c r="C511" s="917" t="s">
        <v>1894</v>
      </c>
      <c r="D511" s="917">
        <v>1019</v>
      </c>
      <c r="E511" s="415"/>
      <c r="F511" s="961">
        <v>39450</v>
      </c>
      <c r="G511" s="962" t="s">
        <v>1895</v>
      </c>
      <c r="H511" s="963" t="s">
        <v>1798</v>
      </c>
      <c r="I511" s="964" t="s">
        <v>1870</v>
      </c>
      <c r="J511" s="965" t="e">
        <f t="shared" si="0"/>
        <v>#VALUE!</v>
      </c>
      <c r="K511" s="60" t="s">
        <v>1800</v>
      </c>
    </row>
    <row r="512" spans="1:11" ht="24" x14ac:dyDescent="0.2">
      <c r="A512" s="917" t="s">
        <v>1896</v>
      </c>
      <c r="B512" s="917" t="s">
        <v>1796</v>
      </c>
      <c r="C512" s="917" t="s">
        <v>1238</v>
      </c>
      <c r="D512" s="917">
        <v>1031</v>
      </c>
      <c r="E512" s="415"/>
      <c r="F512" s="961">
        <v>15000</v>
      </c>
      <c r="G512" s="962" t="s">
        <v>1897</v>
      </c>
      <c r="H512" s="963" t="s">
        <v>1798</v>
      </c>
      <c r="I512" s="964" t="s">
        <v>1874</v>
      </c>
      <c r="J512" s="965" t="e">
        <f t="shared" si="0"/>
        <v>#VALUE!</v>
      </c>
      <c r="K512" s="60" t="s">
        <v>1800</v>
      </c>
    </row>
    <row r="513" spans="1:11" ht="24" x14ac:dyDescent="0.2">
      <c r="A513" s="917" t="s">
        <v>1898</v>
      </c>
      <c r="B513" s="917" t="s">
        <v>1796</v>
      </c>
      <c r="C513" s="917" t="s">
        <v>1238</v>
      </c>
      <c r="D513" s="917">
        <v>1063</v>
      </c>
      <c r="E513" s="415"/>
      <c r="F513" s="961">
        <v>15000</v>
      </c>
      <c r="G513" s="962" t="s">
        <v>1899</v>
      </c>
      <c r="H513" s="963" t="s">
        <v>1798</v>
      </c>
      <c r="I513" s="964" t="s">
        <v>1874</v>
      </c>
      <c r="J513" s="965" t="e">
        <f t="shared" si="0"/>
        <v>#VALUE!</v>
      </c>
      <c r="K513" s="60" t="s">
        <v>1800</v>
      </c>
    </row>
    <row r="514" spans="1:11" ht="24" x14ac:dyDescent="0.2">
      <c r="A514" s="918" t="s">
        <v>1900</v>
      </c>
      <c r="B514" s="917" t="s">
        <v>1796</v>
      </c>
      <c r="C514" s="917" t="s">
        <v>1238</v>
      </c>
      <c r="D514" s="918">
        <v>539</v>
      </c>
      <c r="E514" s="415"/>
      <c r="F514" s="966">
        <v>18090</v>
      </c>
      <c r="G514" s="967" t="s">
        <v>1849</v>
      </c>
      <c r="H514" s="963" t="s">
        <v>1798</v>
      </c>
      <c r="I514" s="965">
        <v>43958</v>
      </c>
      <c r="J514" s="965">
        <f t="shared" si="0"/>
        <v>43973</v>
      </c>
      <c r="K514" s="60" t="s">
        <v>1800</v>
      </c>
    </row>
    <row r="515" spans="1:11" ht="24" x14ac:dyDescent="0.2">
      <c r="A515" s="918" t="s">
        <v>1901</v>
      </c>
      <c r="B515" s="917" t="s">
        <v>1796</v>
      </c>
      <c r="C515" s="917" t="s">
        <v>1238</v>
      </c>
      <c r="D515" s="918">
        <v>541</v>
      </c>
      <c r="E515" s="415"/>
      <c r="F515" s="966">
        <v>11390</v>
      </c>
      <c r="G515" s="967" t="s">
        <v>1849</v>
      </c>
      <c r="H515" s="963" t="s">
        <v>1798</v>
      </c>
      <c r="I515" s="965">
        <v>43959</v>
      </c>
      <c r="J515" s="965">
        <f t="shared" si="0"/>
        <v>43974</v>
      </c>
      <c r="K515" s="60" t="s">
        <v>1800</v>
      </c>
    </row>
    <row r="516" spans="1:11" ht="24" x14ac:dyDescent="0.2">
      <c r="A516" s="918" t="s">
        <v>1902</v>
      </c>
      <c r="B516" s="918" t="s">
        <v>1879</v>
      </c>
      <c r="C516" s="918" t="s">
        <v>1903</v>
      </c>
      <c r="D516" s="918">
        <v>546</v>
      </c>
      <c r="E516" s="415"/>
      <c r="F516" s="966">
        <v>75191</v>
      </c>
      <c r="G516" s="967" t="s">
        <v>1904</v>
      </c>
      <c r="H516" s="963" t="s">
        <v>1798</v>
      </c>
      <c r="I516" s="965">
        <v>43962</v>
      </c>
      <c r="J516" s="965">
        <f t="shared" si="0"/>
        <v>43977</v>
      </c>
      <c r="K516" s="60" t="s">
        <v>1800</v>
      </c>
    </row>
    <row r="517" spans="1:11" ht="24" x14ac:dyDescent="0.2">
      <c r="A517" s="918" t="s">
        <v>1905</v>
      </c>
      <c r="B517" s="917" t="s">
        <v>1796</v>
      </c>
      <c r="C517" s="917" t="s">
        <v>1238</v>
      </c>
      <c r="D517" s="918">
        <v>592</v>
      </c>
      <c r="E517" s="415"/>
      <c r="F517" s="966">
        <v>34398</v>
      </c>
      <c r="G517" s="967" t="s">
        <v>1906</v>
      </c>
      <c r="H517" s="963" t="s">
        <v>1798</v>
      </c>
      <c r="I517" s="965">
        <v>43969</v>
      </c>
      <c r="J517" s="965">
        <f t="shared" si="0"/>
        <v>43984</v>
      </c>
      <c r="K517" s="60" t="s">
        <v>1800</v>
      </c>
    </row>
    <row r="518" spans="1:11" ht="24" x14ac:dyDescent="0.2">
      <c r="A518" s="918" t="s">
        <v>1905</v>
      </c>
      <c r="B518" s="917" t="s">
        <v>1796</v>
      </c>
      <c r="C518" s="917" t="s">
        <v>1238</v>
      </c>
      <c r="D518" s="918">
        <v>593</v>
      </c>
      <c r="E518" s="415"/>
      <c r="F518" s="966">
        <v>17280</v>
      </c>
      <c r="G518" s="967" t="s">
        <v>1907</v>
      </c>
      <c r="H518" s="963" t="s">
        <v>1798</v>
      </c>
      <c r="I518" s="965">
        <v>43969</v>
      </c>
      <c r="J518" s="965">
        <f t="shared" si="0"/>
        <v>43984</v>
      </c>
      <c r="K518" s="60" t="s">
        <v>1800</v>
      </c>
    </row>
    <row r="519" spans="1:11" ht="24" x14ac:dyDescent="0.2">
      <c r="A519" s="918" t="s">
        <v>1905</v>
      </c>
      <c r="B519" s="917" t="s">
        <v>1796</v>
      </c>
      <c r="C519" s="917" t="s">
        <v>1238</v>
      </c>
      <c r="D519" s="918">
        <v>595</v>
      </c>
      <c r="E519" s="415"/>
      <c r="F519" s="966">
        <v>13920</v>
      </c>
      <c r="G519" s="967" t="s">
        <v>1908</v>
      </c>
      <c r="H519" s="963" t="s">
        <v>1798</v>
      </c>
      <c r="I519" s="965">
        <v>43969</v>
      </c>
      <c r="J519" s="965">
        <f t="shared" si="0"/>
        <v>43984</v>
      </c>
      <c r="K519" s="60" t="s">
        <v>1800</v>
      </c>
    </row>
    <row r="520" spans="1:11" ht="24" x14ac:dyDescent="0.2">
      <c r="A520" s="918" t="s">
        <v>1909</v>
      </c>
      <c r="B520" s="918" t="s">
        <v>1802</v>
      </c>
      <c r="C520" s="918" t="s">
        <v>1910</v>
      </c>
      <c r="D520" s="918">
        <v>596</v>
      </c>
      <c r="E520" s="415"/>
      <c r="F520" s="966">
        <v>24586</v>
      </c>
      <c r="G520" s="967" t="s">
        <v>1911</v>
      </c>
      <c r="H520" s="963" t="s">
        <v>1798</v>
      </c>
      <c r="I520" s="965">
        <v>43970</v>
      </c>
      <c r="J520" s="965">
        <f t="shared" ref="J520:J583" si="1">I520+15</f>
        <v>43985</v>
      </c>
      <c r="K520" s="60" t="s">
        <v>1800</v>
      </c>
    </row>
    <row r="521" spans="1:11" ht="24" x14ac:dyDescent="0.2">
      <c r="A521" s="918" t="s">
        <v>1801</v>
      </c>
      <c r="B521" s="918" t="s">
        <v>1802</v>
      </c>
      <c r="C521" s="918" t="s">
        <v>1912</v>
      </c>
      <c r="D521" s="918">
        <v>598</v>
      </c>
      <c r="E521" s="415"/>
      <c r="F521" s="966">
        <v>22259.3</v>
      </c>
      <c r="G521" s="967" t="s">
        <v>1913</v>
      </c>
      <c r="H521" s="963" t="s">
        <v>1798</v>
      </c>
      <c r="I521" s="965">
        <v>43970</v>
      </c>
      <c r="J521" s="965">
        <f t="shared" si="1"/>
        <v>43985</v>
      </c>
      <c r="K521" s="60" t="s">
        <v>1800</v>
      </c>
    </row>
    <row r="522" spans="1:11" ht="24" x14ac:dyDescent="0.2">
      <c r="A522" s="918" t="s">
        <v>1909</v>
      </c>
      <c r="B522" s="918" t="s">
        <v>1802</v>
      </c>
      <c r="C522" s="918" t="s">
        <v>1912</v>
      </c>
      <c r="D522" s="918">
        <v>599</v>
      </c>
      <c r="E522" s="415"/>
      <c r="F522" s="966">
        <v>18058.400000000001</v>
      </c>
      <c r="G522" s="967" t="s">
        <v>1911</v>
      </c>
      <c r="H522" s="963" t="s">
        <v>1798</v>
      </c>
      <c r="I522" s="965">
        <v>43970</v>
      </c>
      <c r="J522" s="965">
        <f t="shared" si="1"/>
        <v>43985</v>
      </c>
      <c r="K522" s="60" t="s">
        <v>1800</v>
      </c>
    </row>
    <row r="523" spans="1:11" ht="24" x14ac:dyDescent="0.2">
      <c r="A523" s="918" t="s">
        <v>1821</v>
      </c>
      <c r="B523" s="918" t="s">
        <v>1879</v>
      </c>
      <c r="C523" s="918" t="s">
        <v>1914</v>
      </c>
      <c r="D523" s="918">
        <v>600</v>
      </c>
      <c r="E523" s="415"/>
      <c r="F523" s="966">
        <v>106020</v>
      </c>
      <c r="G523" s="967" t="s">
        <v>1822</v>
      </c>
      <c r="H523" s="963" t="s">
        <v>1798</v>
      </c>
      <c r="I523" s="965">
        <v>43970</v>
      </c>
      <c r="J523" s="965">
        <f t="shared" si="1"/>
        <v>43985</v>
      </c>
      <c r="K523" s="60" t="s">
        <v>1800</v>
      </c>
    </row>
    <row r="524" spans="1:11" ht="24" x14ac:dyDescent="0.2">
      <c r="A524" s="918" t="s">
        <v>1821</v>
      </c>
      <c r="B524" s="918" t="s">
        <v>1879</v>
      </c>
      <c r="C524" s="918" t="s">
        <v>1915</v>
      </c>
      <c r="D524" s="918">
        <v>601</v>
      </c>
      <c r="E524" s="415"/>
      <c r="F524" s="966">
        <v>71285</v>
      </c>
      <c r="G524" s="967" t="s">
        <v>1822</v>
      </c>
      <c r="H524" s="963" t="s">
        <v>1798</v>
      </c>
      <c r="I524" s="965">
        <v>43970</v>
      </c>
      <c r="J524" s="965">
        <f t="shared" si="1"/>
        <v>43985</v>
      </c>
      <c r="K524" s="60" t="s">
        <v>1800</v>
      </c>
    </row>
    <row r="525" spans="1:11" ht="24" x14ac:dyDescent="0.2">
      <c r="A525" s="918" t="s">
        <v>1905</v>
      </c>
      <c r="B525" s="917" t="s">
        <v>1796</v>
      </c>
      <c r="C525" s="917" t="s">
        <v>1238</v>
      </c>
      <c r="D525" s="918">
        <v>605</v>
      </c>
      <c r="E525" s="415"/>
      <c r="F525" s="966">
        <v>21500</v>
      </c>
      <c r="G525" s="967" t="s">
        <v>1916</v>
      </c>
      <c r="H525" s="963" t="s">
        <v>1798</v>
      </c>
      <c r="I525" s="965">
        <v>43971</v>
      </c>
      <c r="J525" s="965">
        <f t="shared" si="1"/>
        <v>43986</v>
      </c>
      <c r="K525" s="60" t="s">
        <v>1800</v>
      </c>
    </row>
    <row r="526" spans="1:11" ht="24" x14ac:dyDescent="0.2">
      <c r="A526" s="918" t="s">
        <v>1917</v>
      </c>
      <c r="B526" s="918" t="s">
        <v>1809</v>
      </c>
      <c r="C526" s="917" t="s">
        <v>1238</v>
      </c>
      <c r="D526" s="918">
        <v>610</v>
      </c>
      <c r="E526" s="415"/>
      <c r="F526" s="966">
        <v>30338.94</v>
      </c>
      <c r="G526" s="967" t="s">
        <v>1918</v>
      </c>
      <c r="H526" s="963" t="s">
        <v>1798</v>
      </c>
      <c r="I526" s="965">
        <v>43972</v>
      </c>
      <c r="J526" s="965">
        <f t="shared" si="1"/>
        <v>43987</v>
      </c>
      <c r="K526" s="60" t="s">
        <v>1800</v>
      </c>
    </row>
    <row r="527" spans="1:11" ht="24" x14ac:dyDescent="0.2">
      <c r="A527" s="918" t="s">
        <v>1919</v>
      </c>
      <c r="B527" s="917" t="s">
        <v>1796</v>
      </c>
      <c r="C527" s="917" t="s">
        <v>1238</v>
      </c>
      <c r="D527" s="918">
        <v>614</v>
      </c>
      <c r="E527" s="415"/>
      <c r="F527" s="966">
        <v>29200</v>
      </c>
      <c r="G527" s="967" t="s">
        <v>1920</v>
      </c>
      <c r="H527" s="963" t="s">
        <v>1798</v>
      </c>
      <c r="I527" s="965">
        <v>43973</v>
      </c>
      <c r="J527" s="965">
        <f t="shared" si="1"/>
        <v>43988</v>
      </c>
      <c r="K527" s="60" t="s">
        <v>1800</v>
      </c>
    </row>
    <row r="528" spans="1:11" ht="24" x14ac:dyDescent="0.2">
      <c r="A528" s="918" t="s">
        <v>1921</v>
      </c>
      <c r="B528" s="918" t="s">
        <v>1879</v>
      </c>
      <c r="C528" s="918" t="s">
        <v>1922</v>
      </c>
      <c r="D528" s="918">
        <v>615</v>
      </c>
      <c r="E528" s="415"/>
      <c r="F528" s="966">
        <v>90000</v>
      </c>
      <c r="G528" s="967" t="s">
        <v>1868</v>
      </c>
      <c r="H528" s="963" t="s">
        <v>1798</v>
      </c>
      <c r="I528" s="965">
        <v>43976</v>
      </c>
      <c r="J528" s="965">
        <f t="shared" si="1"/>
        <v>43991</v>
      </c>
      <c r="K528" s="60" t="s">
        <v>1800</v>
      </c>
    </row>
    <row r="529" spans="1:11" ht="24" x14ac:dyDescent="0.2">
      <c r="A529" s="918" t="s">
        <v>1923</v>
      </c>
      <c r="B529" s="918" t="s">
        <v>1879</v>
      </c>
      <c r="C529" s="918" t="s">
        <v>1924</v>
      </c>
      <c r="D529" s="918">
        <v>616</v>
      </c>
      <c r="E529" s="415"/>
      <c r="F529" s="966">
        <v>528000</v>
      </c>
      <c r="G529" s="967" t="s">
        <v>1868</v>
      </c>
      <c r="H529" s="963" t="s">
        <v>1798</v>
      </c>
      <c r="I529" s="965">
        <v>43976</v>
      </c>
      <c r="J529" s="965">
        <f t="shared" si="1"/>
        <v>43991</v>
      </c>
      <c r="K529" s="60" t="s">
        <v>1800</v>
      </c>
    </row>
    <row r="530" spans="1:11" ht="36" x14ac:dyDescent="0.2">
      <c r="A530" s="918" t="s">
        <v>1925</v>
      </c>
      <c r="B530" s="917" t="s">
        <v>1796</v>
      </c>
      <c r="C530" s="917" t="s">
        <v>1238</v>
      </c>
      <c r="D530" s="918">
        <v>1633</v>
      </c>
      <c r="E530" s="415"/>
      <c r="F530" s="966">
        <v>19992</v>
      </c>
      <c r="G530" s="967" t="s">
        <v>1926</v>
      </c>
      <c r="H530" s="963" t="s">
        <v>1798</v>
      </c>
      <c r="I530" s="965">
        <v>43958</v>
      </c>
      <c r="J530" s="965">
        <f t="shared" si="1"/>
        <v>43973</v>
      </c>
      <c r="K530" s="60" t="s">
        <v>1800</v>
      </c>
    </row>
    <row r="531" spans="1:11" ht="24" x14ac:dyDescent="0.2">
      <c r="A531" s="918" t="s">
        <v>1927</v>
      </c>
      <c r="B531" s="917" t="s">
        <v>1796</v>
      </c>
      <c r="C531" s="917" t="s">
        <v>1238</v>
      </c>
      <c r="D531" s="918">
        <v>1644</v>
      </c>
      <c r="E531" s="415"/>
      <c r="F531" s="966">
        <v>13680</v>
      </c>
      <c r="G531" s="967" t="s">
        <v>1899</v>
      </c>
      <c r="H531" s="963" t="s">
        <v>1798</v>
      </c>
      <c r="I531" s="965">
        <v>43959</v>
      </c>
      <c r="J531" s="965">
        <f t="shared" si="1"/>
        <v>43974</v>
      </c>
      <c r="K531" s="60" t="s">
        <v>1800</v>
      </c>
    </row>
    <row r="532" spans="1:11" ht="24" x14ac:dyDescent="0.2">
      <c r="A532" s="918" t="s">
        <v>1795</v>
      </c>
      <c r="B532" s="917" t="s">
        <v>1796</v>
      </c>
      <c r="C532" s="917" t="s">
        <v>1238</v>
      </c>
      <c r="D532" s="918">
        <v>1738</v>
      </c>
      <c r="E532" s="415"/>
      <c r="F532" s="966">
        <v>27407.1</v>
      </c>
      <c r="G532" s="967" t="s">
        <v>1797</v>
      </c>
      <c r="H532" s="963" t="s">
        <v>1798</v>
      </c>
      <c r="I532" s="965">
        <v>43969</v>
      </c>
      <c r="J532" s="965"/>
      <c r="K532" s="60" t="s">
        <v>1800</v>
      </c>
    </row>
    <row r="533" spans="1:11" ht="24" x14ac:dyDescent="0.2">
      <c r="A533" s="918" t="s">
        <v>1795</v>
      </c>
      <c r="B533" s="917" t="s">
        <v>1796</v>
      </c>
      <c r="C533" s="917" t="s">
        <v>1238</v>
      </c>
      <c r="D533" s="918">
        <v>1739</v>
      </c>
      <c r="E533" s="415"/>
      <c r="F533" s="966">
        <v>44700.800000000003</v>
      </c>
      <c r="G533" s="967" t="s">
        <v>1797</v>
      </c>
      <c r="H533" s="963" t="s">
        <v>1798</v>
      </c>
      <c r="I533" s="965">
        <v>43969</v>
      </c>
      <c r="J533" s="965"/>
      <c r="K533" s="60" t="s">
        <v>1800</v>
      </c>
    </row>
    <row r="534" spans="1:11" ht="24" x14ac:dyDescent="0.2">
      <c r="A534" s="918" t="s">
        <v>1795</v>
      </c>
      <c r="B534" s="917" t="s">
        <v>1796</v>
      </c>
      <c r="C534" s="917" t="s">
        <v>1238</v>
      </c>
      <c r="D534" s="918">
        <v>1740</v>
      </c>
      <c r="E534" s="415"/>
      <c r="F534" s="966">
        <v>10624.4</v>
      </c>
      <c r="G534" s="967" t="s">
        <v>1797</v>
      </c>
      <c r="H534" s="963" t="s">
        <v>1798</v>
      </c>
      <c r="I534" s="965">
        <v>43969</v>
      </c>
      <c r="J534" s="965"/>
      <c r="K534" s="60" t="s">
        <v>1800</v>
      </c>
    </row>
    <row r="535" spans="1:11" ht="24" x14ac:dyDescent="0.2">
      <c r="A535" s="918" t="s">
        <v>1928</v>
      </c>
      <c r="B535" s="918" t="s">
        <v>1879</v>
      </c>
      <c r="C535" s="918" t="s">
        <v>1929</v>
      </c>
      <c r="D535" s="918">
        <v>1756</v>
      </c>
      <c r="E535" s="415"/>
      <c r="F535" s="966">
        <v>90000</v>
      </c>
      <c r="G535" s="967" t="s">
        <v>1930</v>
      </c>
      <c r="H535" s="963" t="s">
        <v>1798</v>
      </c>
      <c r="I535" s="965">
        <v>43970</v>
      </c>
      <c r="J535" s="965">
        <f t="shared" si="1"/>
        <v>43985</v>
      </c>
      <c r="K535" s="60" t="s">
        <v>1800</v>
      </c>
    </row>
    <row r="536" spans="1:11" ht="24" x14ac:dyDescent="0.2">
      <c r="A536" s="918" t="s">
        <v>1931</v>
      </c>
      <c r="B536" s="917" t="s">
        <v>1796</v>
      </c>
      <c r="C536" s="917" t="s">
        <v>1238</v>
      </c>
      <c r="D536" s="918">
        <v>1778</v>
      </c>
      <c r="E536" s="415"/>
      <c r="F536" s="966">
        <v>34385</v>
      </c>
      <c r="G536" s="967" t="s">
        <v>1932</v>
      </c>
      <c r="H536" s="963" t="s">
        <v>1798</v>
      </c>
      <c r="I536" s="965">
        <v>43972</v>
      </c>
      <c r="J536" s="965">
        <f t="shared" si="1"/>
        <v>43987</v>
      </c>
      <c r="K536" s="60" t="s">
        <v>1800</v>
      </c>
    </row>
    <row r="537" spans="1:11" ht="24" x14ac:dyDescent="0.2">
      <c r="A537" s="918" t="s">
        <v>1931</v>
      </c>
      <c r="B537" s="917" t="s">
        <v>1796</v>
      </c>
      <c r="C537" s="917" t="s">
        <v>1238</v>
      </c>
      <c r="D537" s="918">
        <v>1779</v>
      </c>
      <c r="E537" s="415"/>
      <c r="F537" s="966">
        <v>30888</v>
      </c>
      <c r="G537" s="967" t="s">
        <v>1933</v>
      </c>
      <c r="H537" s="963" t="s">
        <v>1798</v>
      </c>
      <c r="I537" s="965">
        <v>43972</v>
      </c>
      <c r="J537" s="965">
        <f t="shared" si="1"/>
        <v>43987</v>
      </c>
      <c r="K537" s="60" t="s">
        <v>1800</v>
      </c>
    </row>
    <row r="538" spans="1:11" ht="24" x14ac:dyDescent="0.2">
      <c r="A538" s="918" t="s">
        <v>1900</v>
      </c>
      <c r="B538" s="917" t="s">
        <v>1796</v>
      </c>
      <c r="C538" s="917" t="s">
        <v>1238</v>
      </c>
      <c r="D538" s="918">
        <v>539</v>
      </c>
      <c r="E538" s="415"/>
      <c r="F538" s="966">
        <v>18090</v>
      </c>
      <c r="G538" s="967" t="s">
        <v>1849</v>
      </c>
      <c r="H538" s="963" t="s">
        <v>1798</v>
      </c>
      <c r="I538" s="964" t="s">
        <v>1934</v>
      </c>
      <c r="J538" s="965">
        <f t="shared" si="1"/>
        <v>44032</v>
      </c>
      <c r="K538" s="60" t="s">
        <v>1800</v>
      </c>
    </row>
    <row r="539" spans="1:11" ht="24" x14ac:dyDescent="0.2">
      <c r="A539" s="918" t="s">
        <v>1901</v>
      </c>
      <c r="B539" s="917" t="s">
        <v>1796</v>
      </c>
      <c r="C539" s="917" t="s">
        <v>1238</v>
      </c>
      <c r="D539" s="918">
        <v>541</v>
      </c>
      <c r="E539" s="415"/>
      <c r="F539" s="966">
        <v>11390</v>
      </c>
      <c r="G539" s="967" t="s">
        <v>1849</v>
      </c>
      <c r="H539" s="963" t="s">
        <v>1798</v>
      </c>
      <c r="I539" s="964" t="s">
        <v>1935</v>
      </c>
      <c r="J539" s="965">
        <f t="shared" si="1"/>
        <v>44063</v>
      </c>
      <c r="K539" s="60" t="s">
        <v>1800</v>
      </c>
    </row>
    <row r="540" spans="1:11" ht="24" x14ac:dyDescent="0.2">
      <c r="A540" s="918" t="s">
        <v>1905</v>
      </c>
      <c r="B540" s="917" t="s">
        <v>1796</v>
      </c>
      <c r="C540" s="917" t="s">
        <v>1238</v>
      </c>
      <c r="D540" s="918">
        <v>592</v>
      </c>
      <c r="E540" s="415"/>
      <c r="F540" s="966">
        <v>34398</v>
      </c>
      <c r="G540" s="967" t="s">
        <v>1906</v>
      </c>
      <c r="H540" s="963" t="s">
        <v>1798</v>
      </c>
      <c r="I540" s="964" t="s">
        <v>1936</v>
      </c>
      <c r="J540" s="965" t="e">
        <f t="shared" si="1"/>
        <v>#VALUE!</v>
      </c>
      <c r="K540" s="60" t="s">
        <v>1800</v>
      </c>
    </row>
    <row r="541" spans="1:11" ht="24" x14ac:dyDescent="0.2">
      <c r="A541" s="918" t="s">
        <v>1905</v>
      </c>
      <c r="B541" s="917" t="s">
        <v>1796</v>
      </c>
      <c r="C541" s="917" t="s">
        <v>1238</v>
      </c>
      <c r="D541" s="918">
        <v>593</v>
      </c>
      <c r="E541" s="415"/>
      <c r="F541" s="966">
        <v>17280</v>
      </c>
      <c r="G541" s="967" t="s">
        <v>1907</v>
      </c>
      <c r="H541" s="963" t="s">
        <v>1798</v>
      </c>
      <c r="I541" s="964" t="s">
        <v>1936</v>
      </c>
      <c r="J541" s="965" t="e">
        <f t="shared" si="1"/>
        <v>#VALUE!</v>
      </c>
      <c r="K541" s="60" t="s">
        <v>1800</v>
      </c>
    </row>
    <row r="542" spans="1:11" ht="24" x14ac:dyDescent="0.2">
      <c r="A542" s="918" t="s">
        <v>1905</v>
      </c>
      <c r="B542" s="917" t="s">
        <v>1796</v>
      </c>
      <c r="C542" s="917" t="s">
        <v>1238</v>
      </c>
      <c r="D542" s="918">
        <v>595</v>
      </c>
      <c r="E542" s="415"/>
      <c r="F542" s="966">
        <v>13920</v>
      </c>
      <c r="G542" s="967" t="s">
        <v>1908</v>
      </c>
      <c r="H542" s="963" t="s">
        <v>1798</v>
      </c>
      <c r="I542" s="964" t="s">
        <v>1936</v>
      </c>
      <c r="J542" s="965" t="e">
        <f t="shared" si="1"/>
        <v>#VALUE!</v>
      </c>
      <c r="K542" s="60" t="s">
        <v>1800</v>
      </c>
    </row>
    <row r="543" spans="1:11" ht="24" x14ac:dyDescent="0.2">
      <c r="A543" s="918" t="s">
        <v>1909</v>
      </c>
      <c r="B543" s="918" t="s">
        <v>1802</v>
      </c>
      <c r="C543" s="918" t="s">
        <v>1910</v>
      </c>
      <c r="D543" s="918">
        <v>596</v>
      </c>
      <c r="E543" s="415"/>
      <c r="F543" s="966">
        <v>24586</v>
      </c>
      <c r="G543" s="967" t="s">
        <v>1911</v>
      </c>
      <c r="H543" s="963" t="s">
        <v>1798</v>
      </c>
      <c r="I543" s="964" t="s">
        <v>1937</v>
      </c>
      <c r="J543" s="965" t="e">
        <f t="shared" si="1"/>
        <v>#VALUE!</v>
      </c>
      <c r="K543" s="60" t="s">
        <v>1800</v>
      </c>
    </row>
    <row r="544" spans="1:11" ht="24" x14ac:dyDescent="0.2">
      <c r="A544" s="918" t="s">
        <v>1801</v>
      </c>
      <c r="B544" s="918" t="s">
        <v>1802</v>
      </c>
      <c r="C544" s="918" t="s">
        <v>1912</v>
      </c>
      <c r="D544" s="918">
        <v>598</v>
      </c>
      <c r="E544" s="415"/>
      <c r="F544" s="966">
        <v>22259.3</v>
      </c>
      <c r="G544" s="967" t="s">
        <v>1913</v>
      </c>
      <c r="H544" s="963" t="s">
        <v>1798</v>
      </c>
      <c r="I544" s="964" t="s">
        <v>1937</v>
      </c>
      <c r="J544" s="965" t="e">
        <f t="shared" si="1"/>
        <v>#VALUE!</v>
      </c>
      <c r="K544" s="60" t="s">
        <v>1800</v>
      </c>
    </row>
    <row r="545" spans="1:11" ht="24" x14ac:dyDescent="0.2">
      <c r="A545" s="918" t="s">
        <v>1909</v>
      </c>
      <c r="B545" s="918" t="s">
        <v>1802</v>
      </c>
      <c r="C545" s="918" t="s">
        <v>1912</v>
      </c>
      <c r="D545" s="918">
        <v>599</v>
      </c>
      <c r="E545" s="415"/>
      <c r="F545" s="966">
        <v>18058.400000000001</v>
      </c>
      <c r="G545" s="967" t="s">
        <v>1911</v>
      </c>
      <c r="H545" s="963" t="s">
        <v>1798</v>
      </c>
      <c r="I545" s="964" t="s">
        <v>1937</v>
      </c>
      <c r="J545" s="965" t="e">
        <f t="shared" si="1"/>
        <v>#VALUE!</v>
      </c>
      <c r="K545" s="60" t="s">
        <v>1800</v>
      </c>
    </row>
    <row r="546" spans="1:11" ht="24" x14ac:dyDescent="0.2">
      <c r="A546" s="918" t="s">
        <v>1905</v>
      </c>
      <c r="B546" s="917" t="s">
        <v>1796</v>
      </c>
      <c r="C546" s="917" t="s">
        <v>1238</v>
      </c>
      <c r="D546" s="918">
        <v>605</v>
      </c>
      <c r="E546" s="415"/>
      <c r="F546" s="966">
        <v>21500</v>
      </c>
      <c r="G546" s="967" t="s">
        <v>1916</v>
      </c>
      <c r="H546" s="963" t="s">
        <v>1798</v>
      </c>
      <c r="I546" s="964" t="s">
        <v>1938</v>
      </c>
      <c r="J546" s="965" t="e">
        <f t="shared" si="1"/>
        <v>#VALUE!</v>
      </c>
      <c r="K546" s="60" t="s">
        <v>1800</v>
      </c>
    </row>
    <row r="547" spans="1:11" ht="24" x14ac:dyDescent="0.2">
      <c r="A547" s="918" t="s">
        <v>1917</v>
      </c>
      <c r="B547" s="918" t="s">
        <v>1809</v>
      </c>
      <c r="C547" s="917" t="s">
        <v>1238</v>
      </c>
      <c r="D547" s="918">
        <v>610</v>
      </c>
      <c r="E547" s="415"/>
      <c r="F547" s="966">
        <v>30338.94</v>
      </c>
      <c r="G547" s="967" t="s">
        <v>1918</v>
      </c>
      <c r="H547" s="963" t="s">
        <v>1798</v>
      </c>
      <c r="I547" s="964" t="s">
        <v>1939</v>
      </c>
      <c r="J547" s="965" t="e">
        <f t="shared" si="1"/>
        <v>#VALUE!</v>
      </c>
      <c r="K547" s="60" t="s">
        <v>1800</v>
      </c>
    </row>
    <row r="548" spans="1:11" ht="24" x14ac:dyDescent="0.2">
      <c r="A548" s="918" t="s">
        <v>1919</v>
      </c>
      <c r="B548" s="917" t="s">
        <v>1796</v>
      </c>
      <c r="C548" s="917" t="s">
        <v>1238</v>
      </c>
      <c r="D548" s="918">
        <v>614</v>
      </c>
      <c r="E548" s="415"/>
      <c r="F548" s="966">
        <v>29200</v>
      </c>
      <c r="G548" s="967" t="s">
        <v>1920</v>
      </c>
      <c r="H548" s="963" t="s">
        <v>1798</v>
      </c>
      <c r="I548" s="964" t="s">
        <v>1940</v>
      </c>
      <c r="J548" s="965" t="e">
        <f t="shared" si="1"/>
        <v>#VALUE!</v>
      </c>
      <c r="K548" s="60" t="s">
        <v>1800</v>
      </c>
    </row>
    <row r="549" spans="1:11" ht="24" x14ac:dyDescent="0.2">
      <c r="A549" s="918" t="s">
        <v>1801</v>
      </c>
      <c r="B549" s="918" t="s">
        <v>1802</v>
      </c>
      <c r="C549" s="918" t="s">
        <v>1941</v>
      </c>
      <c r="D549" s="918">
        <v>628</v>
      </c>
      <c r="E549" s="415"/>
      <c r="F549" s="966">
        <v>21785.75</v>
      </c>
      <c r="G549" s="967" t="s">
        <v>1942</v>
      </c>
      <c r="H549" s="963" t="s">
        <v>1798</v>
      </c>
      <c r="I549" s="964" t="s">
        <v>1943</v>
      </c>
      <c r="J549" s="965" t="e">
        <f t="shared" si="1"/>
        <v>#VALUE!</v>
      </c>
      <c r="K549" s="60" t="s">
        <v>1800</v>
      </c>
    </row>
    <row r="550" spans="1:11" ht="24" x14ac:dyDescent="0.2">
      <c r="A550" s="918" t="s">
        <v>1801</v>
      </c>
      <c r="B550" s="918" t="s">
        <v>1802</v>
      </c>
      <c r="C550" s="918" t="s">
        <v>1941</v>
      </c>
      <c r="D550" s="918">
        <v>633</v>
      </c>
      <c r="E550" s="415"/>
      <c r="F550" s="966">
        <v>19770.07</v>
      </c>
      <c r="G550" s="967" t="s">
        <v>1804</v>
      </c>
      <c r="H550" s="963" t="s">
        <v>1798</v>
      </c>
      <c r="I550" s="964" t="s">
        <v>1943</v>
      </c>
      <c r="J550" s="965" t="e">
        <f t="shared" si="1"/>
        <v>#VALUE!</v>
      </c>
      <c r="K550" s="60" t="s">
        <v>1800</v>
      </c>
    </row>
    <row r="551" spans="1:11" ht="24" x14ac:dyDescent="0.2">
      <c r="A551" s="918" t="s">
        <v>1858</v>
      </c>
      <c r="B551" s="918" t="s">
        <v>1879</v>
      </c>
      <c r="C551" s="918" t="s">
        <v>1944</v>
      </c>
      <c r="D551" s="918">
        <v>650</v>
      </c>
      <c r="E551" s="415"/>
      <c r="F551" s="966">
        <v>155296</v>
      </c>
      <c r="G551" s="967" t="s">
        <v>1849</v>
      </c>
      <c r="H551" s="963" t="s">
        <v>1798</v>
      </c>
      <c r="I551" s="964" t="s">
        <v>1943</v>
      </c>
      <c r="J551" s="965" t="e">
        <f t="shared" si="1"/>
        <v>#VALUE!</v>
      </c>
      <c r="K551" s="60" t="s">
        <v>1800</v>
      </c>
    </row>
    <row r="552" spans="1:11" ht="24" x14ac:dyDescent="0.2">
      <c r="A552" s="918" t="s">
        <v>1945</v>
      </c>
      <c r="B552" s="917" t="s">
        <v>1796</v>
      </c>
      <c r="C552" s="917" t="s">
        <v>1238</v>
      </c>
      <c r="D552" s="918">
        <v>651</v>
      </c>
      <c r="E552" s="415"/>
      <c r="F552" s="966">
        <v>23870</v>
      </c>
      <c r="G552" s="967" t="s">
        <v>1849</v>
      </c>
      <c r="H552" s="963" t="s">
        <v>1798</v>
      </c>
      <c r="I552" s="964" t="s">
        <v>1943</v>
      </c>
      <c r="J552" s="965" t="e">
        <f t="shared" si="1"/>
        <v>#VALUE!</v>
      </c>
      <c r="K552" s="60" t="s">
        <v>1800</v>
      </c>
    </row>
    <row r="553" spans="1:11" ht="24" x14ac:dyDescent="0.2">
      <c r="A553" s="918" t="s">
        <v>1945</v>
      </c>
      <c r="B553" s="917" t="s">
        <v>1796</v>
      </c>
      <c r="C553" s="917" t="s">
        <v>1238</v>
      </c>
      <c r="D553" s="918">
        <v>652</v>
      </c>
      <c r="E553" s="415"/>
      <c r="F553" s="966">
        <v>34200</v>
      </c>
      <c r="G553" s="967" t="s">
        <v>1849</v>
      </c>
      <c r="H553" s="963" t="s">
        <v>1798</v>
      </c>
      <c r="I553" s="964" t="s">
        <v>1943</v>
      </c>
      <c r="J553" s="965" t="e">
        <f t="shared" si="1"/>
        <v>#VALUE!</v>
      </c>
      <c r="K553" s="60" t="s">
        <v>1800</v>
      </c>
    </row>
    <row r="554" spans="1:11" ht="24" x14ac:dyDescent="0.2">
      <c r="A554" s="918" t="s">
        <v>1945</v>
      </c>
      <c r="B554" s="917" t="s">
        <v>1796</v>
      </c>
      <c r="C554" s="917" t="s">
        <v>1238</v>
      </c>
      <c r="D554" s="918">
        <v>653</v>
      </c>
      <c r="E554" s="415"/>
      <c r="F554" s="966">
        <v>18000</v>
      </c>
      <c r="G554" s="967" t="s">
        <v>1849</v>
      </c>
      <c r="H554" s="963" t="s">
        <v>1798</v>
      </c>
      <c r="I554" s="964" t="s">
        <v>1943</v>
      </c>
      <c r="J554" s="965" t="e">
        <f t="shared" si="1"/>
        <v>#VALUE!</v>
      </c>
      <c r="K554" s="60" t="s">
        <v>1800</v>
      </c>
    </row>
    <row r="555" spans="1:11" ht="24" x14ac:dyDescent="0.2">
      <c r="A555" s="918" t="s">
        <v>1858</v>
      </c>
      <c r="B555" s="918" t="s">
        <v>1879</v>
      </c>
      <c r="C555" s="918" t="s">
        <v>1946</v>
      </c>
      <c r="D555" s="918">
        <v>654</v>
      </c>
      <c r="E555" s="415"/>
      <c r="F555" s="966">
        <v>186500</v>
      </c>
      <c r="G555" s="967" t="s">
        <v>1849</v>
      </c>
      <c r="H555" s="963" t="s">
        <v>1798</v>
      </c>
      <c r="I555" s="964" t="s">
        <v>1943</v>
      </c>
      <c r="J555" s="965" t="e">
        <f t="shared" si="1"/>
        <v>#VALUE!</v>
      </c>
      <c r="K555" s="60" t="s">
        <v>1800</v>
      </c>
    </row>
    <row r="556" spans="1:11" ht="24" x14ac:dyDescent="0.2">
      <c r="A556" s="918" t="s">
        <v>1801</v>
      </c>
      <c r="B556" s="918" t="s">
        <v>1802</v>
      </c>
      <c r="C556" s="918" t="s">
        <v>1941</v>
      </c>
      <c r="D556" s="918">
        <v>697</v>
      </c>
      <c r="E556" s="415"/>
      <c r="F556" s="966">
        <v>14974.5</v>
      </c>
      <c r="G556" s="967" t="s">
        <v>1807</v>
      </c>
      <c r="H556" s="963" t="s">
        <v>1798</v>
      </c>
      <c r="I556" s="964" t="s">
        <v>1947</v>
      </c>
      <c r="J556" s="965" t="e">
        <f t="shared" si="1"/>
        <v>#VALUE!</v>
      </c>
      <c r="K556" s="60" t="s">
        <v>1800</v>
      </c>
    </row>
    <row r="557" spans="1:11" ht="24" x14ac:dyDescent="0.2">
      <c r="A557" s="918" t="s">
        <v>1948</v>
      </c>
      <c r="B557" s="918" t="s">
        <v>1879</v>
      </c>
      <c r="C557" s="918"/>
      <c r="D557" s="918">
        <v>713</v>
      </c>
      <c r="E557" s="415"/>
      <c r="F557" s="966">
        <v>188700</v>
      </c>
      <c r="G557" s="967" t="s">
        <v>1822</v>
      </c>
      <c r="H557" s="963" t="s">
        <v>1661</v>
      </c>
      <c r="I557" s="964" t="s">
        <v>1947</v>
      </c>
      <c r="J557" s="965" t="e">
        <f t="shared" si="1"/>
        <v>#VALUE!</v>
      </c>
      <c r="K557" s="60" t="s">
        <v>1800</v>
      </c>
    </row>
    <row r="558" spans="1:11" ht="24" x14ac:dyDescent="0.2">
      <c r="A558" s="918" t="s">
        <v>1949</v>
      </c>
      <c r="B558" s="918" t="s">
        <v>1879</v>
      </c>
      <c r="C558" s="918" t="s">
        <v>1950</v>
      </c>
      <c r="D558" s="918">
        <v>714</v>
      </c>
      <c r="E558" s="415"/>
      <c r="F558" s="966">
        <v>274900</v>
      </c>
      <c r="G558" s="967" t="s">
        <v>1862</v>
      </c>
      <c r="H558" s="963" t="s">
        <v>1798</v>
      </c>
      <c r="I558" s="964" t="s">
        <v>1947</v>
      </c>
      <c r="J558" s="965" t="e">
        <f t="shared" si="1"/>
        <v>#VALUE!</v>
      </c>
      <c r="K558" s="60" t="s">
        <v>1800</v>
      </c>
    </row>
    <row r="559" spans="1:11" ht="24" x14ac:dyDescent="0.2">
      <c r="A559" s="918" t="s">
        <v>1951</v>
      </c>
      <c r="B559" s="917" t="s">
        <v>1796</v>
      </c>
      <c r="C559" s="917" t="s">
        <v>1238</v>
      </c>
      <c r="D559" s="918">
        <v>1633</v>
      </c>
      <c r="E559" s="415"/>
      <c r="F559" s="966">
        <v>19992</v>
      </c>
      <c r="G559" s="967" t="s">
        <v>1926</v>
      </c>
      <c r="H559" s="963" t="s">
        <v>1798</v>
      </c>
      <c r="I559" s="964" t="s">
        <v>1934</v>
      </c>
      <c r="J559" s="965">
        <f t="shared" si="1"/>
        <v>44032</v>
      </c>
      <c r="K559" s="60" t="s">
        <v>1800</v>
      </c>
    </row>
    <row r="560" spans="1:11" ht="24" x14ac:dyDescent="0.2">
      <c r="A560" s="918" t="s">
        <v>1952</v>
      </c>
      <c r="B560" s="917" t="s">
        <v>1796</v>
      </c>
      <c r="C560" s="917" t="s">
        <v>1238</v>
      </c>
      <c r="D560" s="918">
        <v>1644</v>
      </c>
      <c r="E560" s="415"/>
      <c r="F560" s="966">
        <v>13680</v>
      </c>
      <c r="G560" s="967" t="s">
        <v>1899</v>
      </c>
      <c r="H560" s="963" t="s">
        <v>1798</v>
      </c>
      <c r="I560" s="964" t="s">
        <v>1935</v>
      </c>
      <c r="J560" s="965">
        <f t="shared" si="1"/>
        <v>44063</v>
      </c>
      <c r="K560" s="60" t="s">
        <v>1800</v>
      </c>
    </row>
    <row r="561" spans="1:11" ht="24" x14ac:dyDescent="0.2">
      <c r="A561" s="918" t="s">
        <v>1795</v>
      </c>
      <c r="B561" s="917" t="s">
        <v>1796</v>
      </c>
      <c r="C561" s="917" t="s">
        <v>1238</v>
      </c>
      <c r="D561" s="918">
        <v>1738</v>
      </c>
      <c r="E561" s="415"/>
      <c r="F561" s="966">
        <v>27407.1</v>
      </c>
      <c r="G561" s="967" t="s">
        <v>1797</v>
      </c>
      <c r="H561" s="963" t="s">
        <v>1798</v>
      </c>
      <c r="I561" s="964" t="s">
        <v>1936</v>
      </c>
      <c r="J561" s="965"/>
      <c r="K561" s="60" t="s">
        <v>1800</v>
      </c>
    </row>
    <row r="562" spans="1:11" ht="24" x14ac:dyDescent="0.2">
      <c r="A562" s="918" t="s">
        <v>1795</v>
      </c>
      <c r="B562" s="917" t="s">
        <v>1796</v>
      </c>
      <c r="C562" s="917" t="s">
        <v>1238</v>
      </c>
      <c r="D562" s="918">
        <v>1739</v>
      </c>
      <c r="E562" s="415"/>
      <c r="F562" s="966">
        <v>44700.800000000003</v>
      </c>
      <c r="G562" s="967" t="s">
        <v>1797</v>
      </c>
      <c r="H562" s="963" t="s">
        <v>1798</v>
      </c>
      <c r="I562" s="964" t="s">
        <v>1936</v>
      </c>
      <c r="J562" s="965"/>
      <c r="K562" s="60" t="s">
        <v>1800</v>
      </c>
    </row>
    <row r="563" spans="1:11" ht="24" x14ac:dyDescent="0.2">
      <c r="A563" s="918" t="s">
        <v>1795</v>
      </c>
      <c r="B563" s="917" t="s">
        <v>1796</v>
      </c>
      <c r="C563" s="917" t="s">
        <v>1238</v>
      </c>
      <c r="D563" s="918">
        <v>1740</v>
      </c>
      <c r="E563" s="415"/>
      <c r="F563" s="966">
        <v>10624.4</v>
      </c>
      <c r="G563" s="967" t="s">
        <v>1797</v>
      </c>
      <c r="H563" s="963" t="s">
        <v>1798</v>
      </c>
      <c r="I563" s="964" t="s">
        <v>1936</v>
      </c>
      <c r="J563" s="965"/>
      <c r="K563" s="60" t="s">
        <v>1800</v>
      </c>
    </row>
    <row r="564" spans="1:11" ht="24" x14ac:dyDescent="0.2">
      <c r="A564" s="918" t="s">
        <v>1931</v>
      </c>
      <c r="B564" s="917" t="s">
        <v>1796</v>
      </c>
      <c r="C564" s="917" t="s">
        <v>1238</v>
      </c>
      <c r="D564" s="918">
        <v>1778</v>
      </c>
      <c r="E564" s="415"/>
      <c r="F564" s="966">
        <v>34385</v>
      </c>
      <c r="G564" s="967" t="s">
        <v>1932</v>
      </c>
      <c r="H564" s="963" t="s">
        <v>1798</v>
      </c>
      <c r="I564" s="964" t="s">
        <v>1939</v>
      </c>
      <c r="J564" s="965" t="e">
        <f t="shared" si="1"/>
        <v>#VALUE!</v>
      </c>
      <c r="K564" s="60" t="s">
        <v>1800</v>
      </c>
    </row>
    <row r="565" spans="1:11" ht="24" x14ac:dyDescent="0.2">
      <c r="A565" s="918" t="s">
        <v>1931</v>
      </c>
      <c r="B565" s="917" t="s">
        <v>1796</v>
      </c>
      <c r="C565" s="917" t="s">
        <v>1238</v>
      </c>
      <c r="D565" s="918">
        <v>1779</v>
      </c>
      <c r="E565" s="415"/>
      <c r="F565" s="966">
        <v>30888</v>
      </c>
      <c r="G565" s="967" t="s">
        <v>1933</v>
      </c>
      <c r="H565" s="963" t="s">
        <v>1798</v>
      </c>
      <c r="I565" s="964" t="s">
        <v>1939</v>
      </c>
      <c r="J565" s="965" t="e">
        <f t="shared" si="1"/>
        <v>#VALUE!</v>
      </c>
      <c r="K565" s="60" t="s">
        <v>1800</v>
      </c>
    </row>
    <row r="566" spans="1:11" ht="24" x14ac:dyDescent="0.2">
      <c r="A566" s="919" t="s">
        <v>1858</v>
      </c>
      <c r="B566" s="919" t="s">
        <v>1879</v>
      </c>
      <c r="C566" s="919"/>
      <c r="D566" s="919">
        <v>724</v>
      </c>
      <c r="E566" s="415"/>
      <c r="F566" s="968">
        <v>94000</v>
      </c>
      <c r="G566" s="969" t="s">
        <v>1953</v>
      </c>
      <c r="H566" s="963" t="s">
        <v>1661</v>
      </c>
      <c r="I566" s="970" t="s">
        <v>1954</v>
      </c>
      <c r="J566" s="965">
        <f t="shared" si="1"/>
        <v>43882</v>
      </c>
      <c r="K566" s="60" t="s">
        <v>1800</v>
      </c>
    </row>
    <row r="567" spans="1:11" ht="24" x14ac:dyDescent="0.2">
      <c r="A567" s="919" t="s">
        <v>1909</v>
      </c>
      <c r="B567" s="919" t="s">
        <v>1802</v>
      </c>
      <c r="C567" s="971" t="s">
        <v>1910</v>
      </c>
      <c r="D567" s="919">
        <v>727</v>
      </c>
      <c r="E567" s="415"/>
      <c r="F567" s="968">
        <v>24586</v>
      </c>
      <c r="G567" s="969" t="s">
        <v>1911</v>
      </c>
      <c r="H567" s="963" t="s">
        <v>1798</v>
      </c>
      <c r="I567" s="970" t="s">
        <v>1955</v>
      </c>
      <c r="J567" s="965">
        <f t="shared" si="1"/>
        <v>43911</v>
      </c>
      <c r="K567" s="60" t="s">
        <v>1800</v>
      </c>
    </row>
    <row r="568" spans="1:11" ht="24" x14ac:dyDescent="0.2">
      <c r="A568" s="919" t="s">
        <v>1909</v>
      </c>
      <c r="B568" s="919" t="s">
        <v>1802</v>
      </c>
      <c r="C568" s="971" t="s">
        <v>1912</v>
      </c>
      <c r="D568" s="919">
        <v>728</v>
      </c>
      <c r="E568" s="415"/>
      <c r="F568" s="968">
        <v>18022.8</v>
      </c>
      <c r="G568" s="969" t="s">
        <v>1911</v>
      </c>
      <c r="H568" s="963" t="s">
        <v>1798</v>
      </c>
      <c r="I568" s="970" t="s">
        <v>1955</v>
      </c>
      <c r="J568" s="965">
        <f t="shared" si="1"/>
        <v>43911</v>
      </c>
      <c r="K568" s="60" t="s">
        <v>1800</v>
      </c>
    </row>
    <row r="569" spans="1:11" ht="24" x14ac:dyDescent="0.2">
      <c r="A569" s="919" t="s">
        <v>1909</v>
      </c>
      <c r="B569" s="919" t="s">
        <v>1802</v>
      </c>
      <c r="C569" s="971" t="s">
        <v>1912</v>
      </c>
      <c r="D569" s="919">
        <v>729</v>
      </c>
      <c r="E569" s="415"/>
      <c r="F569" s="968">
        <v>21757.3</v>
      </c>
      <c r="G569" s="969" t="s">
        <v>1913</v>
      </c>
      <c r="H569" s="963" t="s">
        <v>1798</v>
      </c>
      <c r="I569" s="970" t="s">
        <v>1955</v>
      </c>
      <c r="J569" s="965">
        <f t="shared" si="1"/>
        <v>43911</v>
      </c>
      <c r="K569" s="60" t="s">
        <v>1800</v>
      </c>
    </row>
    <row r="570" spans="1:11" ht="24" x14ac:dyDescent="0.2">
      <c r="A570" s="919" t="s">
        <v>1956</v>
      </c>
      <c r="B570" s="917" t="s">
        <v>1796</v>
      </c>
      <c r="C570" s="917" t="s">
        <v>1238</v>
      </c>
      <c r="D570" s="919">
        <v>730</v>
      </c>
      <c r="E570" s="415"/>
      <c r="F570" s="968">
        <v>20175</v>
      </c>
      <c r="G570" s="969" t="s">
        <v>1838</v>
      </c>
      <c r="H570" s="963" t="s">
        <v>1798</v>
      </c>
      <c r="I570" s="970" t="s">
        <v>1957</v>
      </c>
      <c r="J570" s="965">
        <f t="shared" si="1"/>
        <v>43942</v>
      </c>
      <c r="K570" s="60" t="s">
        <v>1800</v>
      </c>
    </row>
    <row r="571" spans="1:11" ht="24" x14ac:dyDescent="0.2">
      <c r="A571" s="919" t="s">
        <v>1958</v>
      </c>
      <c r="B571" s="917" t="s">
        <v>1796</v>
      </c>
      <c r="C571" s="917" t="s">
        <v>1238</v>
      </c>
      <c r="D571" s="919">
        <v>731</v>
      </c>
      <c r="E571" s="415"/>
      <c r="F571" s="968">
        <v>30800</v>
      </c>
      <c r="G571" s="969" t="s">
        <v>1959</v>
      </c>
      <c r="H571" s="963" t="s">
        <v>1798</v>
      </c>
      <c r="I571" s="970" t="s">
        <v>1960</v>
      </c>
      <c r="J571" s="965">
        <f t="shared" si="1"/>
        <v>43972</v>
      </c>
      <c r="K571" s="60" t="s">
        <v>1800</v>
      </c>
    </row>
    <row r="572" spans="1:11" ht="24" x14ac:dyDescent="0.2">
      <c r="A572" s="919" t="s">
        <v>1961</v>
      </c>
      <c r="B572" s="917" t="s">
        <v>1796</v>
      </c>
      <c r="C572" s="917" t="s">
        <v>1238</v>
      </c>
      <c r="D572" s="919">
        <v>732</v>
      </c>
      <c r="E572" s="415"/>
      <c r="F572" s="968">
        <v>11748</v>
      </c>
      <c r="G572" s="969" t="s">
        <v>1959</v>
      </c>
      <c r="H572" s="963" t="s">
        <v>1798</v>
      </c>
      <c r="I572" s="970" t="s">
        <v>1960</v>
      </c>
      <c r="J572" s="965">
        <f t="shared" si="1"/>
        <v>43972</v>
      </c>
      <c r="K572" s="60" t="s">
        <v>1800</v>
      </c>
    </row>
    <row r="573" spans="1:11" ht="24" x14ac:dyDescent="0.2">
      <c r="A573" s="919" t="s">
        <v>1801</v>
      </c>
      <c r="B573" s="919" t="s">
        <v>1802</v>
      </c>
      <c r="C573" s="971" t="s">
        <v>1941</v>
      </c>
      <c r="D573" s="919">
        <v>736</v>
      </c>
      <c r="E573" s="415"/>
      <c r="F573" s="968">
        <v>50700</v>
      </c>
      <c r="G573" s="969" t="s">
        <v>1962</v>
      </c>
      <c r="H573" s="963" t="s">
        <v>1798</v>
      </c>
      <c r="I573" s="970" t="s">
        <v>1963</v>
      </c>
      <c r="J573" s="965">
        <f t="shared" si="1"/>
        <v>44064</v>
      </c>
      <c r="K573" s="60" t="s">
        <v>1800</v>
      </c>
    </row>
    <row r="574" spans="1:11" ht="24" x14ac:dyDescent="0.2">
      <c r="A574" s="919" t="s">
        <v>1858</v>
      </c>
      <c r="B574" s="919" t="s">
        <v>1802</v>
      </c>
      <c r="C574" s="971" t="s">
        <v>1964</v>
      </c>
      <c r="D574" s="919">
        <v>737</v>
      </c>
      <c r="E574" s="415"/>
      <c r="F574" s="968">
        <v>13157.5</v>
      </c>
      <c r="G574" s="969" t="s">
        <v>1965</v>
      </c>
      <c r="H574" s="963" t="s">
        <v>1798</v>
      </c>
      <c r="I574" s="970" t="s">
        <v>1963</v>
      </c>
      <c r="J574" s="965">
        <f t="shared" si="1"/>
        <v>44064</v>
      </c>
      <c r="K574" s="60" t="s">
        <v>1800</v>
      </c>
    </row>
    <row r="575" spans="1:11" ht="24" x14ac:dyDescent="0.2">
      <c r="A575" s="919" t="s">
        <v>1966</v>
      </c>
      <c r="B575" s="919" t="s">
        <v>1802</v>
      </c>
      <c r="C575" s="971" t="s">
        <v>1967</v>
      </c>
      <c r="D575" s="919">
        <v>738</v>
      </c>
      <c r="E575" s="415"/>
      <c r="F575" s="968">
        <v>14698.81</v>
      </c>
      <c r="G575" s="969" t="s">
        <v>1807</v>
      </c>
      <c r="H575" s="963" t="s">
        <v>1798</v>
      </c>
      <c r="I575" s="970" t="s">
        <v>1963</v>
      </c>
      <c r="J575" s="965">
        <f t="shared" si="1"/>
        <v>44064</v>
      </c>
      <c r="K575" s="60" t="s">
        <v>1800</v>
      </c>
    </row>
    <row r="576" spans="1:11" ht="24" x14ac:dyDescent="0.2">
      <c r="A576" s="919" t="s">
        <v>1945</v>
      </c>
      <c r="B576" s="919" t="s">
        <v>1879</v>
      </c>
      <c r="C576" s="971" t="s">
        <v>1968</v>
      </c>
      <c r="D576" s="919">
        <v>739</v>
      </c>
      <c r="E576" s="415"/>
      <c r="F576" s="968">
        <v>188064</v>
      </c>
      <c r="G576" s="969" t="s">
        <v>1969</v>
      </c>
      <c r="H576" s="963" t="s">
        <v>1798</v>
      </c>
      <c r="I576" s="970" t="s">
        <v>1970</v>
      </c>
      <c r="J576" s="965">
        <f t="shared" si="1"/>
        <v>44125</v>
      </c>
      <c r="K576" s="60" t="s">
        <v>1800</v>
      </c>
    </row>
    <row r="577" spans="1:11" ht="24" x14ac:dyDescent="0.2">
      <c r="A577" s="919" t="s">
        <v>1971</v>
      </c>
      <c r="B577" s="919" t="s">
        <v>1972</v>
      </c>
      <c r="C577" s="919"/>
      <c r="D577" s="919">
        <v>740</v>
      </c>
      <c r="E577" s="415"/>
      <c r="F577" s="968">
        <v>25231.15</v>
      </c>
      <c r="G577" s="969" t="s">
        <v>1918</v>
      </c>
      <c r="H577" s="963" t="s">
        <v>1798</v>
      </c>
      <c r="I577" s="970" t="s">
        <v>1973</v>
      </c>
      <c r="J577" s="965">
        <f t="shared" si="1"/>
        <v>44186</v>
      </c>
      <c r="K577" s="60" t="s">
        <v>1800</v>
      </c>
    </row>
    <row r="578" spans="1:11" ht="24" x14ac:dyDescent="0.2">
      <c r="A578" s="919" t="s">
        <v>1801</v>
      </c>
      <c r="B578" s="919" t="s">
        <v>1802</v>
      </c>
      <c r="C578" s="971" t="s">
        <v>1941</v>
      </c>
      <c r="D578" s="919">
        <v>742</v>
      </c>
      <c r="E578" s="415"/>
      <c r="F578" s="968">
        <v>50700</v>
      </c>
      <c r="G578" s="969" t="s">
        <v>1962</v>
      </c>
      <c r="H578" s="963" t="s">
        <v>1798</v>
      </c>
      <c r="I578" s="970" t="s">
        <v>1668</v>
      </c>
      <c r="J578" s="965" t="e">
        <f t="shared" si="1"/>
        <v>#VALUE!</v>
      </c>
      <c r="K578" s="60" t="s">
        <v>1800</v>
      </c>
    </row>
    <row r="579" spans="1:11" ht="24" x14ac:dyDescent="0.2">
      <c r="A579" s="919" t="s">
        <v>1974</v>
      </c>
      <c r="B579" s="917" t="s">
        <v>1796</v>
      </c>
      <c r="C579" s="917" t="s">
        <v>1238</v>
      </c>
      <c r="D579" s="919">
        <v>743</v>
      </c>
      <c r="E579" s="415"/>
      <c r="F579" s="968">
        <v>24850</v>
      </c>
      <c r="G579" s="969" t="s">
        <v>1975</v>
      </c>
      <c r="H579" s="963" t="s">
        <v>1798</v>
      </c>
      <c r="I579" s="970" t="s">
        <v>1668</v>
      </c>
      <c r="J579" s="965" t="e">
        <f t="shared" si="1"/>
        <v>#VALUE!</v>
      </c>
      <c r="K579" s="60" t="s">
        <v>1800</v>
      </c>
    </row>
    <row r="580" spans="1:11" ht="24" x14ac:dyDescent="0.2">
      <c r="A580" s="919" t="s">
        <v>1976</v>
      </c>
      <c r="B580" s="917" t="s">
        <v>1796</v>
      </c>
      <c r="C580" s="917" t="s">
        <v>1238</v>
      </c>
      <c r="D580" s="919">
        <v>748</v>
      </c>
      <c r="E580" s="415"/>
      <c r="F580" s="968">
        <v>14036</v>
      </c>
      <c r="G580" s="969" t="s">
        <v>1977</v>
      </c>
      <c r="H580" s="963" t="s">
        <v>1798</v>
      </c>
      <c r="I580" s="970" t="s">
        <v>1668</v>
      </c>
      <c r="J580" s="965" t="e">
        <f t="shared" si="1"/>
        <v>#VALUE!</v>
      </c>
      <c r="K580" s="60" t="s">
        <v>1800</v>
      </c>
    </row>
    <row r="581" spans="1:11" ht="24" x14ac:dyDescent="0.2">
      <c r="A581" s="919" t="s">
        <v>1801</v>
      </c>
      <c r="B581" s="919" t="s">
        <v>1802</v>
      </c>
      <c r="C581" s="971" t="s">
        <v>1941</v>
      </c>
      <c r="D581" s="919">
        <v>767</v>
      </c>
      <c r="E581" s="415"/>
      <c r="F581" s="968">
        <v>13071.45</v>
      </c>
      <c r="G581" s="969" t="s">
        <v>1942</v>
      </c>
      <c r="H581" s="963" t="s">
        <v>1798</v>
      </c>
      <c r="I581" s="970" t="s">
        <v>1978</v>
      </c>
      <c r="J581" s="965" t="e">
        <f t="shared" si="1"/>
        <v>#VALUE!</v>
      </c>
      <c r="K581" s="60" t="s">
        <v>1800</v>
      </c>
    </row>
    <row r="582" spans="1:11" ht="24" x14ac:dyDescent="0.2">
      <c r="A582" s="919" t="s">
        <v>1801</v>
      </c>
      <c r="B582" s="919" t="s">
        <v>1802</v>
      </c>
      <c r="C582" s="971" t="s">
        <v>1941</v>
      </c>
      <c r="D582" s="919">
        <v>782</v>
      </c>
      <c r="E582" s="415"/>
      <c r="F582" s="968">
        <v>31200</v>
      </c>
      <c r="G582" s="969" t="s">
        <v>1824</v>
      </c>
      <c r="H582" s="963" t="s">
        <v>1798</v>
      </c>
      <c r="I582" s="970" t="s">
        <v>1979</v>
      </c>
      <c r="J582" s="965" t="e">
        <f t="shared" si="1"/>
        <v>#VALUE!</v>
      </c>
      <c r="K582" s="60" t="s">
        <v>1800</v>
      </c>
    </row>
    <row r="583" spans="1:11" ht="24" x14ac:dyDescent="0.2">
      <c r="A583" s="919" t="s">
        <v>1801</v>
      </c>
      <c r="B583" s="919" t="s">
        <v>1802</v>
      </c>
      <c r="C583" s="971" t="s">
        <v>1941</v>
      </c>
      <c r="D583" s="919">
        <v>789</v>
      </c>
      <c r="E583" s="415"/>
      <c r="F583" s="968">
        <v>14974.5</v>
      </c>
      <c r="G583" s="969" t="s">
        <v>1807</v>
      </c>
      <c r="H583" s="963" t="s">
        <v>1798</v>
      </c>
      <c r="I583" s="970" t="s">
        <v>1979</v>
      </c>
      <c r="J583" s="965" t="e">
        <f t="shared" si="1"/>
        <v>#VALUE!</v>
      </c>
      <c r="K583" s="60" t="s">
        <v>1800</v>
      </c>
    </row>
    <row r="584" spans="1:11" ht="24" x14ac:dyDescent="0.2">
      <c r="A584" s="919" t="s">
        <v>1980</v>
      </c>
      <c r="B584" s="919" t="s">
        <v>1802</v>
      </c>
      <c r="C584" s="971" t="s">
        <v>1941</v>
      </c>
      <c r="D584" s="919">
        <v>800</v>
      </c>
      <c r="E584" s="415"/>
      <c r="F584" s="968">
        <v>19929.900000000001</v>
      </c>
      <c r="G584" s="969" t="s">
        <v>1804</v>
      </c>
      <c r="H584" s="963" t="s">
        <v>1798</v>
      </c>
      <c r="I584" s="970" t="s">
        <v>1979</v>
      </c>
      <c r="J584" s="965" t="e">
        <f t="shared" ref="J584:J647" si="2">I584+15</f>
        <v>#VALUE!</v>
      </c>
      <c r="K584" s="60" t="s">
        <v>1800</v>
      </c>
    </row>
    <row r="585" spans="1:11" ht="24" x14ac:dyDescent="0.2">
      <c r="A585" s="919" t="s">
        <v>1801</v>
      </c>
      <c r="B585" s="919" t="s">
        <v>1802</v>
      </c>
      <c r="C585" s="971" t="s">
        <v>1941</v>
      </c>
      <c r="D585" s="919">
        <v>812</v>
      </c>
      <c r="E585" s="415"/>
      <c r="F585" s="968">
        <v>10037.280000000001</v>
      </c>
      <c r="G585" s="969" t="s">
        <v>1824</v>
      </c>
      <c r="H585" s="963" t="s">
        <v>1798</v>
      </c>
      <c r="I585" s="970" t="s">
        <v>1979</v>
      </c>
      <c r="J585" s="965" t="e">
        <f t="shared" si="2"/>
        <v>#VALUE!</v>
      </c>
      <c r="K585" s="60" t="s">
        <v>1800</v>
      </c>
    </row>
    <row r="586" spans="1:11" ht="24" x14ac:dyDescent="0.2">
      <c r="A586" s="919" t="s">
        <v>1981</v>
      </c>
      <c r="B586" s="917" t="s">
        <v>1796</v>
      </c>
      <c r="C586" s="917" t="s">
        <v>1238</v>
      </c>
      <c r="D586" s="919">
        <v>1804</v>
      </c>
      <c r="E586" s="415"/>
      <c r="F586" s="968">
        <v>10600</v>
      </c>
      <c r="G586" s="969" t="s">
        <v>1899</v>
      </c>
      <c r="H586" s="963" t="s">
        <v>1798</v>
      </c>
      <c r="I586" s="970" t="s">
        <v>1982</v>
      </c>
      <c r="J586" s="965">
        <f t="shared" si="2"/>
        <v>43851</v>
      </c>
      <c r="K586" s="60" t="s">
        <v>1800</v>
      </c>
    </row>
    <row r="587" spans="1:11" ht="48" x14ac:dyDescent="0.2">
      <c r="A587" s="919" t="s">
        <v>1983</v>
      </c>
      <c r="B587" s="917" t="s">
        <v>1796</v>
      </c>
      <c r="C587" s="917" t="s">
        <v>1238</v>
      </c>
      <c r="D587" s="919">
        <v>1811</v>
      </c>
      <c r="E587" s="415"/>
      <c r="F587" s="968">
        <v>33000</v>
      </c>
      <c r="G587" s="969" t="s">
        <v>1984</v>
      </c>
      <c r="H587" s="963" t="s">
        <v>1798</v>
      </c>
      <c r="I587" s="970" t="s">
        <v>1982</v>
      </c>
      <c r="J587" s="965">
        <f t="shared" si="2"/>
        <v>43851</v>
      </c>
      <c r="K587" s="60" t="s">
        <v>1800</v>
      </c>
    </row>
    <row r="588" spans="1:11" ht="24" x14ac:dyDescent="0.2">
      <c r="A588" s="919" t="s">
        <v>1985</v>
      </c>
      <c r="B588" s="917" t="s">
        <v>1796</v>
      </c>
      <c r="C588" s="917" t="s">
        <v>1238</v>
      </c>
      <c r="D588" s="919">
        <v>1812</v>
      </c>
      <c r="E588" s="415"/>
      <c r="F588" s="968">
        <v>34400</v>
      </c>
      <c r="G588" s="969" t="s">
        <v>1986</v>
      </c>
      <c r="H588" s="963" t="s">
        <v>1798</v>
      </c>
      <c r="I588" s="970" t="s">
        <v>1982</v>
      </c>
      <c r="J588" s="965">
        <f t="shared" si="2"/>
        <v>43851</v>
      </c>
      <c r="K588" s="60" t="s">
        <v>1800</v>
      </c>
    </row>
    <row r="589" spans="1:11" ht="24" x14ac:dyDescent="0.2">
      <c r="A589" s="919" t="s">
        <v>1987</v>
      </c>
      <c r="B589" s="917" t="s">
        <v>1796</v>
      </c>
      <c r="C589" s="917" t="s">
        <v>1238</v>
      </c>
      <c r="D589" s="919">
        <v>1813</v>
      </c>
      <c r="E589" s="415"/>
      <c r="F589" s="968">
        <v>13000</v>
      </c>
      <c r="G589" s="969" t="s">
        <v>1988</v>
      </c>
      <c r="H589" s="963" t="s">
        <v>1798</v>
      </c>
      <c r="I589" s="970" t="s">
        <v>1954</v>
      </c>
      <c r="J589" s="965">
        <f t="shared" si="2"/>
        <v>43882</v>
      </c>
      <c r="K589" s="60" t="s">
        <v>1800</v>
      </c>
    </row>
    <row r="590" spans="1:11" ht="24" x14ac:dyDescent="0.2">
      <c r="A590" s="919" t="s">
        <v>1989</v>
      </c>
      <c r="B590" s="917" t="s">
        <v>1796</v>
      </c>
      <c r="C590" s="917" t="s">
        <v>1238</v>
      </c>
      <c r="D590" s="919">
        <v>1945</v>
      </c>
      <c r="E590" s="415"/>
      <c r="F590" s="968">
        <v>27000</v>
      </c>
      <c r="G590" s="969" t="s">
        <v>1926</v>
      </c>
      <c r="H590" s="963" t="s">
        <v>1798</v>
      </c>
      <c r="I590" s="970" t="s">
        <v>1973</v>
      </c>
      <c r="J590" s="965">
        <f t="shared" si="2"/>
        <v>44186</v>
      </c>
      <c r="K590" s="60" t="s">
        <v>1800</v>
      </c>
    </row>
    <row r="591" spans="1:11" ht="24" x14ac:dyDescent="0.2">
      <c r="A591" s="917" t="s">
        <v>1909</v>
      </c>
      <c r="B591" s="917" t="s">
        <v>1802</v>
      </c>
      <c r="C591" s="917" t="s">
        <v>1910</v>
      </c>
      <c r="D591" s="917">
        <v>813</v>
      </c>
      <c r="E591" s="415"/>
      <c r="F591" s="961">
        <v>24508</v>
      </c>
      <c r="G591" s="962" t="s">
        <v>1911</v>
      </c>
      <c r="H591" s="963" t="s">
        <v>1798</v>
      </c>
      <c r="I591" s="964" t="s">
        <v>1284</v>
      </c>
      <c r="J591" s="965">
        <f t="shared" si="2"/>
        <v>43852</v>
      </c>
      <c r="K591" s="60" t="s">
        <v>1800</v>
      </c>
    </row>
    <row r="592" spans="1:11" ht="24" x14ac:dyDescent="0.2">
      <c r="A592" s="917" t="s">
        <v>1801</v>
      </c>
      <c r="B592" s="917" t="s">
        <v>1802</v>
      </c>
      <c r="C592" s="917" t="s">
        <v>1912</v>
      </c>
      <c r="D592" s="917">
        <v>814</v>
      </c>
      <c r="E592" s="415"/>
      <c r="F592" s="961">
        <v>17980.8</v>
      </c>
      <c r="G592" s="962" t="s">
        <v>1911</v>
      </c>
      <c r="H592" s="963" t="s">
        <v>1798</v>
      </c>
      <c r="I592" s="964" t="s">
        <v>1990</v>
      </c>
      <c r="J592" s="965">
        <f t="shared" si="2"/>
        <v>43883</v>
      </c>
      <c r="K592" s="60" t="s">
        <v>1800</v>
      </c>
    </row>
    <row r="593" spans="1:11" ht="24" x14ac:dyDescent="0.2">
      <c r="A593" s="917" t="s">
        <v>1909</v>
      </c>
      <c r="B593" s="917" t="s">
        <v>1802</v>
      </c>
      <c r="C593" s="917" t="s">
        <v>1912</v>
      </c>
      <c r="D593" s="917">
        <v>815</v>
      </c>
      <c r="E593" s="415"/>
      <c r="F593" s="961">
        <v>21478.6</v>
      </c>
      <c r="G593" s="962" t="s">
        <v>1913</v>
      </c>
      <c r="H593" s="963" t="s">
        <v>1798</v>
      </c>
      <c r="I593" s="964" t="s">
        <v>1990</v>
      </c>
      <c r="J593" s="965">
        <f t="shared" si="2"/>
        <v>43883</v>
      </c>
      <c r="K593" s="60" t="s">
        <v>1800</v>
      </c>
    </row>
    <row r="594" spans="1:11" ht="24" x14ac:dyDescent="0.2">
      <c r="A594" s="917" t="s">
        <v>1991</v>
      </c>
      <c r="B594" s="917" t="s">
        <v>1796</v>
      </c>
      <c r="C594" s="917" t="s">
        <v>1238</v>
      </c>
      <c r="D594" s="917">
        <v>817</v>
      </c>
      <c r="E594" s="415"/>
      <c r="F594" s="961">
        <v>12040</v>
      </c>
      <c r="G594" s="962" t="s">
        <v>1992</v>
      </c>
      <c r="H594" s="963" t="s">
        <v>1798</v>
      </c>
      <c r="I594" s="964" t="s">
        <v>1993</v>
      </c>
      <c r="J594" s="965">
        <f t="shared" si="2"/>
        <v>44004</v>
      </c>
      <c r="K594" s="60" t="s">
        <v>1800</v>
      </c>
    </row>
    <row r="595" spans="1:11" ht="24" x14ac:dyDescent="0.2">
      <c r="A595" s="917" t="s">
        <v>1801</v>
      </c>
      <c r="B595" s="917" t="s">
        <v>1802</v>
      </c>
      <c r="C595" s="917" t="s">
        <v>1941</v>
      </c>
      <c r="D595" s="917">
        <v>841</v>
      </c>
      <c r="E595" s="415"/>
      <c r="F595" s="961">
        <v>17493.52</v>
      </c>
      <c r="G595" s="962" t="s">
        <v>1804</v>
      </c>
      <c r="H595" s="963" t="s">
        <v>1798</v>
      </c>
      <c r="I595" s="964" t="s">
        <v>1994</v>
      </c>
      <c r="J595" s="965" t="e">
        <f t="shared" si="2"/>
        <v>#VALUE!</v>
      </c>
      <c r="K595" s="60" t="s">
        <v>1800</v>
      </c>
    </row>
    <row r="596" spans="1:11" ht="24" x14ac:dyDescent="0.2">
      <c r="A596" s="917" t="s">
        <v>1801</v>
      </c>
      <c r="B596" s="917" t="s">
        <v>1802</v>
      </c>
      <c r="C596" s="917" t="s">
        <v>1941</v>
      </c>
      <c r="D596" s="917">
        <v>842</v>
      </c>
      <c r="E596" s="415"/>
      <c r="F596" s="961">
        <v>19770.07</v>
      </c>
      <c r="G596" s="962" t="s">
        <v>1804</v>
      </c>
      <c r="H596" s="963" t="s">
        <v>1798</v>
      </c>
      <c r="I596" s="964" t="s">
        <v>1994</v>
      </c>
      <c r="J596" s="965" t="e">
        <f t="shared" si="2"/>
        <v>#VALUE!</v>
      </c>
      <c r="K596" s="60" t="s">
        <v>1800</v>
      </c>
    </row>
    <row r="597" spans="1:11" ht="24" x14ac:dyDescent="0.2">
      <c r="A597" s="917" t="s">
        <v>1801</v>
      </c>
      <c r="B597" s="917" t="s">
        <v>1802</v>
      </c>
      <c r="C597" s="917" t="s">
        <v>1995</v>
      </c>
      <c r="D597" s="917">
        <v>854</v>
      </c>
      <c r="E597" s="415"/>
      <c r="F597" s="961">
        <v>29843.4</v>
      </c>
      <c r="G597" s="962" t="s">
        <v>1996</v>
      </c>
      <c r="H597" s="963" t="s">
        <v>1798</v>
      </c>
      <c r="I597" s="964" t="s">
        <v>1997</v>
      </c>
      <c r="J597" s="965" t="e">
        <f t="shared" si="2"/>
        <v>#VALUE!</v>
      </c>
      <c r="K597" s="60" t="s">
        <v>1800</v>
      </c>
    </row>
    <row r="598" spans="1:11" ht="24" x14ac:dyDescent="0.2">
      <c r="A598" s="917" t="s">
        <v>1801</v>
      </c>
      <c r="B598" s="917" t="s">
        <v>1802</v>
      </c>
      <c r="C598" s="917" t="s">
        <v>1941</v>
      </c>
      <c r="D598" s="917">
        <v>865</v>
      </c>
      <c r="E598" s="415"/>
      <c r="F598" s="961">
        <v>11950.79</v>
      </c>
      <c r="G598" s="962" t="s">
        <v>1804</v>
      </c>
      <c r="H598" s="963" t="s">
        <v>1798</v>
      </c>
      <c r="I598" s="964" t="s">
        <v>1997</v>
      </c>
      <c r="J598" s="965" t="e">
        <f t="shared" si="2"/>
        <v>#VALUE!</v>
      </c>
      <c r="K598" s="60" t="s">
        <v>1800</v>
      </c>
    </row>
    <row r="599" spans="1:11" ht="24" x14ac:dyDescent="0.2">
      <c r="A599" s="917" t="s">
        <v>1998</v>
      </c>
      <c r="B599" s="917" t="s">
        <v>1796</v>
      </c>
      <c r="C599" s="917" t="s">
        <v>1238</v>
      </c>
      <c r="D599" s="917">
        <v>873</v>
      </c>
      <c r="E599" s="415"/>
      <c r="F599" s="961">
        <v>11684</v>
      </c>
      <c r="G599" s="962" t="s">
        <v>1999</v>
      </c>
      <c r="H599" s="963" t="s">
        <v>1798</v>
      </c>
      <c r="I599" s="964" t="s">
        <v>2000</v>
      </c>
      <c r="J599" s="965" t="e">
        <f t="shared" si="2"/>
        <v>#VALUE!</v>
      </c>
      <c r="K599" s="60" t="s">
        <v>1800</v>
      </c>
    </row>
    <row r="600" spans="1:11" ht="24" x14ac:dyDescent="0.2">
      <c r="A600" s="917" t="s">
        <v>1801</v>
      </c>
      <c r="B600" s="917" t="s">
        <v>1802</v>
      </c>
      <c r="C600" s="917" t="s">
        <v>1941</v>
      </c>
      <c r="D600" s="917">
        <v>879</v>
      </c>
      <c r="E600" s="415"/>
      <c r="F600" s="961">
        <v>10037.280000000001</v>
      </c>
      <c r="G600" s="962" t="s">
        <v>1824</v>
      </c>
      <c r="H600" s="963" t="s">
        <v>1798</v>
      </c>
      <c r="I600" s="964" t="s">
        <v>2001</v>
      </c>
      <c r="J600" s="965" t="e">
        <f t="shared" si="2"/>
        <v>#VALUE!</v>
      </c>
      <c r="K600" s="60" t="s">
        <v>1800</v>
      </c>
    </row>
    <row r="601" spans="1:11" ht="48" x14ac:dyDescent="0.2">
      <c r="A601" s="917" t="s">
        <v>2002</v>
      </c>
      <c r="B601" s="917" t="s">
        <v>1879</v>
      </c>
      <c r="C601" s="917" t="s">
        <v>2003</v>
      </c>
      <c r="D601" s="917">
        <v>887</v>
      </c>
      <c r="E601" s="415"/>
      <c r="F601" s="961">
        <v>480000</v>
      </c>
      <c r="G601" s="962" t="s">
        <v>1849</v>
      </c>
      <c r="H601" s="963" t="s">
        <v>1798</v>
      </c>
      <c r="I601" s="964" t="s">
        <v>1288</v>
      </c>
      <c r="J601" s="965" t="e">
        <f t="shared" si="2"/>
        <v>#VALUE!</v>
      </c>
      <c r="K601" s="60" t="s">
        <v>1800</v>
      </c>
    </row>
    <row r="602" spans="1:11" ht="24" x14ac:dyDescent="0.2">
      <c r="A602" s="917" t="s">
        <v>2004</v>
      </c>
      <c r="B602" s="917" t="s">
        <v>1796</v>
      </c>
      <c r="C602" s="917" t="s">
        <v>1238</v>
      </c>
      <c r="D602" s="917">
        <v>2188</v>
      </c>
      <c r="E602" s="415"/>
      <c r="F602" s="961">
        <v>23200</v>
      </c>
      <c r="G602" s="962" t="s">
        <v>2005</v>
      </c>
      <c r="H602" s="963" t="s">
        <v>1798</v>
      </c>
      <c r="I602" s="964" t="s">
        <v>1997</v>
      </c>
      <c r="J602" s="965" t="e">
        <f t="shared" si="2"/>
        <v>#VALUE!</v>
      </c>
      <c r="K602" s="60" t="s">
        <v>1800</v>
      </c>
    </row>
    <row r="603" spans="1:11" ht="36" x14ac:dyDescent="0.2">
      <c r="A603" s="917" t="s">
        <v>2006</v>
      </c>
      <c r="B603" s="917" t="s">
        <v>1879</v>
      </c>
      <c r="C603" s="917" t="s">
        <v>2007</v>
      </c>
      <c r="D603" s="917">
        <v>2207</v>
      </c>
      <c r="E603" s="415"/>
      <c r="F603" s="961">
        <v>55620</v>
      </c>
      <c r="G603" s="962" t="s">
        <v>2008</v>
      </c>
      <c r="H603" s="963" t="s">
        <v>1798</v>
      </c>
      <c r="I603" s="964" t="s">
        <v>2009</v>
      </c>
      <c r="J603" s="965" t="e">
        <f t="shared" si="2"/>
        <v>#VALUE!</v>
      </c>
      <c r="K603" s="60" t="s">
        <v>1800</v>
      </c>
    </row>
    <row r="604" spans="1:11" ht="24" x14ac:dyDescent="0.2">
      <c r="A604" s="917" t="s">
        <v>2010</v>
      </c>
      <c r="B604" s="917" t="s">
        <v>1796</v>
      </c>
      <c r="C604" s="917" t="s">
        <v>1238</v>
      </c>
      <c r="D604" s="917">
        <v>2282</v>
      </c>
      <c r="E604" s="415"/>
      <c r="F604" s="961">
        <v>23484</v>
      </c>
      <c r="G604" s="962" t="s">
        <v>1926</v>
      </c>
      <c r="H604" s="963" t="s">
        <v>1798</v>
      </c>
      <c r="I604" s="964" t="s">
        <v>1288</v>
      </c>
      <c r="J604" s="965" t="e">
        <f t="shared" si="2"/>
        <v>#VALUE!</v>
      </c>
      <c r="K604" s="60" t="s">
        <v>1800</v>
      </c>
    </row>
    <row r="605" spans="1:11" ht="24" x14ac:dyDescent="0.2">
      <c r="A605" s="918" t="s">
        <v>2011</v>
      </c>
      <c r="B605" s="918" t="s">
        <v>1879</v>
      </c>
      <c r="C605" s="918"/>
      <c r="D605" s="918">
        <v>903</v>
      </c>
      <c r="E605" s="415"/>
      <c r="F605" s="966">
        <v>333084.40000000002</v>
      </c>
      <c r="G605" s="967" t="s">
        <v>2012</v>
      </c>
      <c r="H605" s="963" t="s">
        <v>1661</v>
      </c>
      <c r="I605" s="964" t="s">
        <v>1291</v>
      </c>
      <c r="J605" s="965">
        <f t="shared" si="2"/>
        <v>44005</v>
      </c>
      <c r="K605" s="60" t="s">
        <v>1800</v>
      </c>
    </row>
    <row r="606" spans="1:11" ht="24" x14ac:dyDescent="0.2">
      <c r="A606" s="918" t="s">
        <v>2013</v>
      </c>
      <c r="B606" s="917" t="s">
        <v>1796</v>
      </c>
      <c r="C606" s="917" t="s">
        <v>1238</v>
      </c>
      <c r="D606" s="918">
        <v>904</v>
      </c>
      <c r="E606" s="415"/>
      <c r="F606" s="966">
        <v>20000</v>
      </c>
      <c r="G606" s="967" t="s">
        <v>2014</v>
      </c>
      <c r="H606" s="963" t="s">
        <v>1798</v>
      </c>
      <c r="I606" s="964" t="s">
        <v>2015</v>
      </c>
      <c r="J606" s="965">
        <f t="shared" si="2"/>
        <v>44127</v>
      </c>
      <c r="K606" s="60" t="s">
        <v>1800</v>
      </c>
    </row>
    <row r="607" spans="1:11" ht="24" x14ac:dyDescent="0.2">
      <c r="A607" s="918" t="s">
        <v>1971</v>
      </c>
      <c r="B607" s="918" t="s">
        <v>1809</v>
      </c>
      <c r="C607" s="917" t="s">
        <v>1238</v>
      </c>
      <c r="D607" s="918">
        <v>908</v>
      </c>
      <c r="E607" s="415"/>
      <c r="F607" s="966">
        <v>15639.88</v>
      </c>
      <c r="G607" s="967" t="s">
        <v>1918</v>
      </c>
      <c r="H607" s="963" t="s">
        <v>1798</v>
      </c>
      <c r="I607" s="964" t="s">
        <v>2016</v>
      </c>
      <c r="J607" s="965">
        <f t="shared" si="2"/>
        <v>44158</v>
      </c>
      <c r="K607" s="60" t="s">
        <v>1800</v>
      </c>
    </row>
    <row r="608" spans="1:11" ht="24" x14ac:dyDescent="0.2">
      <c r="A608" s="918" t="s">
        <v>2017</v>
      </c>
      <c r="B608" s="917" t="s">
        <v>1796</v>
      </c>
      <c r="C608" s="917" t="s">
        <v>1238</v>
      </c>
      <c r="D608" s="918">
        <v>912</v>
      </c>
      <c r="E608" s="415"/>
      <c r="F608" s="966">
        <v>32900</v>
      </c>
      <c r="G608" s="967" t="s">
        <v>2018</v>
      </c>
      <c r="H608" s="963" t="s">
        <v>1798</v>
      </c>
      <c r="I608" s="964" t="s">
        <v>2019</v>
      </c>
      <c r="J608" s="965">
        <f t="shared" si="2"/>
        <v>44188</v>
      </c>
      <c r="K608" s="60" t="s">
        <v>1800</v>
      </c>
    </row>
    <row r="609" spans="1:11" ht="24" x14ac:dyDescent="0.2">
      <c r="A609" s="918" t="s">
        <v>2020</v>
      </c>
      <c r="B609" s="917" t="s">
        <v>1796</v>
      </c>
      <c r="C609" s="917" t="s">
        <v>1238</v>
      </c>
      <c r="D609" s="918">
        <v>917</v>
      </c>
      <c r="E609" s="415"/>
      <c r="F609" s="966">
        <v>33152</v>
      </c>
      <c r="G609" s="967" t="s">
        <v>2021</v>
      </c>
      <c r="H609" s="963" t="s">
        <v>1798</v>
      </c>
      <c r="I609" s="964" t="s">
        <v>2022</v>
      </c>
      <c r="J609" s="965" t="e">
        <f t="shared" si="2"/>
        <v>#VALUE!</v>
      </c>
      <c r="K609" s="60" t="s">
        <v>1800</v>
      </c>
    </row>
    <row r="610" spans="1:11" ht="24" x14ac:dyDescent="0.2">
      <c r="A610" s="918" t="s">
        <v>1801</v>
      </c>
      <c r="B610" s="918" t="s">
        <v>1802</v>
      </c>
      <c r="C610" s="918" t="s">
        <v>1941</v>
      </c>
      <c r="D610" s="918">
        <v>932</v>
      </c>
      <c r="E610" s="415"/>
      <c r="F610" s="966">
        <v>18788.39</v>
      </c>
      <c r="G610" s="967" t="s">
        <v>1824</v>
      </c>
      <c r="H610" s="963" t="s">
        <v>1798</v>
      </c>
      <c r="I610" s="964" t="s">
        <v>2023</v>
      </c>
      <c r="J610" s="965" t="e">
        <f t="shared" si="2"/>
        <v>#VALUE!</v>
      </c>
      <c r="K610" s="60" t="s">
        <v>1800</v>
      </c>
    </row>
    <row r="611" spans="1:11" ht="24" x14ac:dyDescent="0.2">
      <c r="A611" s="918" t="s">
        <v>1801</v>
      </c>
      <c r="B611" s="918" t="s">
        <v>1802</v>
      </c>
      <c r="C611" s="918" t="s">
        <v>1941</v>
      </c>
      <c r="D611" s="918">
        <v>933</v>
      </c>
      <c r="E611" s="415"/>
      <c r="F611" s="966">
        <v>12525.59</v>
      </c>
      <c r="G611" s="967" t="s">
        <v>1824</v>
      </c>
      <c r="H611" s="963" t="s">
        <v>1798</v>
      </c>
      <c r="I611" s="964" t="s">
        <v>2023</v>
      </c>
      <c r="J611" s="965" t="e">
        <f t="shared" si="2"/>
        <v>#VALUE!</v>
      </c>
      <c r="K611" s="60" t="s">
        <v>1800</v>
      </c>
    </row>
    <row r="612" spans="1:11" ht="24" x14ac:dyDescent="0.2">
      <c r="A612" s="918" t="s">
        <v>1801</v>
      </c>
      <c r="B612" s="918" t="s">
        <v>1802</v>
      </c>
      <c r="C612" s="918" t="s">
        <v>1941</v>
      </c>
      <c r="D612" s="918">
        <v>941</v>
      </c>
      <c r="E612" s="415"/>
      <c r="F612" s="966">
        <v>14977.33</v>
      </c>
      <c r="G612" s="967" t="s">
        <v>1804</v>
      </c>
      <c r="H612" s="963" t="s">
        <v>1798</v>
      </c>
      <c r="I612" s="964" t="s">
        <v>2023</v>
      </c>
      <c r="J612" s="965" t="e">
        <f t="shared" si="2"/>
        <v>#VALUE!</v>
      </c>
      <c r="K612" s="60" t="s">
        <v>1800</v>
      </c>
    </row>
    <row r="613" spans="1:11" ht="24" x14ac:dyDescent="0.2">
      <c r="A613" s="918" t="s">
        <v>1801</v>
      </c>
      <c r="B613" s="918" t="s">
        <v>1802</v>
      </c>
      <c r="C613" s="918" t="s">
        <v>1941</v>
      </c>
      <c r="D613" s="918">
        <v>957</v>
      </c>
      <c r="E613" s="415"/>
      <c r="F613" s="966">
        <v>33800</v>
      </c>
      <c r="G613" s="967" t="s">
        <v>1962</v>
      </c>
      <c r="H613" s="963" t="s">
        <v>1798</v>
      </c>
      <c r="I613" s="964" t="s">
        <v>2023</v>
      </c>
      <c r="J613" s="965" t="e">
        <f t="shared" si="2"/>
        <v>#VALUE!</v>
      </c>
      <c r="K613" s="60" t="s">
        <v>1800</v>
      </c>
    </row>
    <row r="614" spans="1:11" ht="24" x14ac:dyDescent="0.2">
      <c r="A614" s="918" t="s">
        <v>1827</v>
      </c>
      <c r="B614" s="917" t="s">
        <v>1796</v>
      </c>
      <c r="C614" s="917" t="s">
        <v>1238</v>
      </c>
      <c r="D614" s="918">
        <v>969</v>
      </c>
      <c r="E614" s="415"/>
      <c r="F614" s="966">
        <v>13998.6</v>
      </c>
      <c r="G614" s="967" t="s">
        <v>1822</v>
      </c>
      <c r="H614" s="963" t="s">
        <v>1798</v>
      </c>
      <c r="I614" s="964" t="s">
        <v>2023</v>
      </c>
      <c r="J614" s="965" t="e">
        <f t="shared" si="2"/>
        <v>#VALUE!</v>
      </c>
      <c r="K614" s="60" t="s">
        <v>1800</v>
      </c>
    </row>
    <row r="615" spans="1:11" ht="24" x14ac:dyDescent="0.2">
      <c r="A615" s="918" t="s">
        <v>2024</v>
      </c>
      <c r="B615" s="917" t="s">
        <v>1796</v>
      </c>
      <c r="C615" s="917" t="s">
        <v>1238</v>
      </c>
      <c r="D615" s="918">
        <v>2314</v>
      </c>
      <c r="E615" s="415"/>
      <c r="F615" s="966">
        <v>18600</v>
      </c>
      <c r="G615" s="967" t="s">
        <v>2025</v>
      </c>
      <c r="H615" s="963" t="s">
        <v>1798</v>
      </c>
      <c r="I615" s="964" t="s">
        <v>2026</v>
      </c>
      <c r="J615" s="965">
        <f t="shared" si="2"/>
        <v>44035</v>
      </c>
      <c r="K615" s="60" t="s">
        <v>1800</v>
      </c>
    </row>
    <row r="616" spans="1:11" ht="24" x14ac:dyDescent="0.2">
      <c r="A616" s="919" t="s">
        <v>2027</v>
      </c>
      <c r="B616" s="917" t="s">
        <v>1796</v>
      </c>
      <c r="C616" s="917" t="s">
        <v>1238</v>
      </c>
      <c r="D616" s="919">
        <v>972</v>
      </c>
      <c r="E616" s="415"/>
      <c r="F616" s="968">
        <v>11560</v>
      </c>
      <c r="G616" s="969" t="s">
        <v>2028</v>
      </c>
      <c r="H616" s="963" t="s">
        <v>1798</v>
      </c>
      <c r="I616" s="970" t="s">
        <v>2029</v>
      </c>
      <c r="J616" s="965">
        <f t="shared" si="2"/>
        <v>43885</v>
      </c>
      <c r="K616" s="60" t="s">
        <v>1800</v>
      </c>
    </row>
    <row r="617" spans="1:11" ht="24" x14ac:dyDescent="0.2">
      <c r="A617" s="919" t="s">
        <v>1801</v>
      </c>
      <c r="B617" s="919" t="s">
        <v>1802</v>
      </c>
      <c r="C617" s="971" t="s">
        <v>1995</v>
      </c>
      <c r="D617" s="919">
        <v>973</v>
      </c>
      <c r="E617" s="415"/>
      <c r="F617" s="968">
        <v>29843.4</v>
      </c>
      <c r="G617" s="969" t="s">
        <v>1996</v>
      </c>
      <c r="H617" s="963" t="s">
        <v>1798</v>
      </c>
      <c r="I617" s="970" t="s">
        <v>2029</v>
      </c>
      <c r="J617" s="965">
        <f t="shared" si="2"/>
        <v>43885</v>
      </c>
      <c r="K617" s="60" t="s">
        <v>1800</v>
      </c>
    </row>
    <row r="618" spans="1:11" ht="24" x14ac:dyDescent="0.2">
      <c r="A618" s="919" t="s">
        <v>1816</v>
      </c>
      <c r="B618" s="917" t="s">
        <v>1796</v>
      </c>
      <c r="C618" s="917" t="s">
        <v>1238</v>
      </c>
      <c r="D618" s="919">
        <v>976</v>
      </c>
      <c r="E618" s="415"/>
      <c r="F618" s="968">
        <v>13155</v>
      </c>
      <c r="G618" s="969" t="s">
        <v>2030</v>
      </c>
      <c r="H618" s="963" t="s">
        <v>1798</v>
      </c>
      <c r="I618" s="970" t="s">
        <v>2031</v>
      </c>
      <c r="J618" s="965">
        <f t="shared" si="2"/>
        <v>43914</v>
      </c>
      <c r="K618" s="60" t="s">
        <v>1800</v>
      </c>
    </row>
    <row r="619" spans="1:11" ht="24" x14ac:dyDescent="0.2">
      <c r="A619" s="919" t="s">
        <v>2032</v>
      </c>
      <c r="B619" s="917" t="s">
        <v>1796</v>
      </c>
      <c r="C619" s="917" t="s">
        <v>1238</v>
      </c>
      <c r="D619" s="919">
        <v>979</v>
      </c>
      <c r="E619" s="415"/>
      <c r="F619" s="968">
        <v>12459.5</v>
      </c>
      <c r="G619" s="969" t="s">
        <v>2033</v>
      </c>
      <c r="H619" s="963" t="s">
        <v>1798</v>
      </c>
      <c r="I619" s="970" t="s">
        <v>2034</v>
      </c>
      <c r="J619" s="965">
        <f t="shared" si="2"/>
        <v>43945</v>
      </c>
      <c r="K619" s="60" t="s">
        <v>1800</v>
      </c>
    </row>
    <row r="620" spans="1:11" ht="24" x14ac:dyDescent="0.2">
      <c r="A620" s="919" t="s">
        <v>2035</v>
      </c>
      <c r="B620" s="917" t="s">
        <v>1796</v>
      </c>
      <c r="C620" s="917" t="s">
        <v>1238</v>
      </c>
      <c r="D620" s="919">
        <v>981</v>
      </c>
      <c r="E620" s="415"/>
      <c r="F620" s="968">
        <v>13990</v>
      </c>
      <c r="G620" s="969" t="s">
        <v>2036</v>
      </c>
      <c r="H620" s="963" t="s">
        <v>1798</v>
      </c>
      <c r="I620" s="970" t="s">
        <v>2034</v>
      </c>
      <c r="J620" s="965">
        <f t="shared" si="2"/>
        <v>43945</v>
      </c>
      <c r="K620" s="60" t="s">
        <v>1800</v>
      </c>
    </row>
    <row r="621" spans="1:11" ht="24" x14ac:dyDescent="0.2">
      <c r="A621" s="919" t="s">
        <v>2037</v>
      </c>
      <c r="B621" s="917" t="s">
        <v>1796</v>
      </c>
      <c r="C621" s="917" t="s">
        <v>1238</v>
      </c>
      <c r="D621" s="919">
        <v>982</v>
      </c>
      <c r="E621" s="415"/>
      <c r="F621" s="968">
        <v>27150</v>
      </c>
      <c r="G621" s="969" t="s">
        <v>1822</v>
      </c>
      <c r="H621" s="963" t="s">
        <v>1798</v>
      </c>
      <c r="I621" s="970" t="s">
        <v>2038</v>
      </c>
      <c r="J621" s="965">
        <f t="shared" si="2"/>
        <v>44036</v>
      </c>
      <c r="K621" s="60" t="s">
        <v>1800</v>
      </c>
    </row>
    <row r="622" spans="1:11" ht="24" x14ac:dyDescent="0.2">
      <c r="A622" s="919" t="s">
        <v>2039</v>
      </c>
      <c r="B622" s="917" t="s">
        <v>1796</v>
      </c>
      <c r="C622" s="917" t="s">
        <v>1238</v>
      </c>
      <c r="D622" s="919">
        <v>983</v>
      </c>
      <c r="E622" s="415"/>
      <c r="F622" s="968">
        <v>19995</v>
      </c>
      <c r="G622" s="969" t="s">
        <v>1838</v>
      </c>
      <c r="H622" s="963" t="s">
        <v>1798</v>
      </c>
      <c r="I622" s="970" t="s">
        <v>2038</v>
      </c>
      <c r="J622" s="965">
        <f t="shared" si="2"/>
        <v>44036</v>
      </c>
      <c r="K622" s="60" t="s">
        <v>1800</v>
      </c>
    </row>
    <row r="623" spans="1:11" ht="24" x14ac:dyDescent="0.2">
      <c r="A623" s="919" t="s">
        <v>2040</v>
      </c>
      <c r="B623" s="917" t="s">
        <v>1796</v>
      </c>
      <c r="C623" s="917" t="s">
        <v>1238</v>
      </c>
      <c r="D623" s="919">
        <v>987</v>
      </c>
      <c r="E623" s="415"/>
      <c r="F623" s="968">
        <v>14744.8</v>
      </c>
      <c r="G623" s="969" t="s">
        <v>2028</v>
      </c>
      <c r="H623" s="963" t="s">
        <v>1798</v>
      </c>
      <c r="I623" s="970" t="s">
        <v>2041</v>
      </c>
      <c r="J623" s="965">
        <f t="shared" si="2"/>
        <v>44067</v>
      </c>
      <c r="K623" s="60" t="s">
        <v>1800</v>
      </c>
    </row>
    <row r="624" spans="1:11" ht="24" x14ac:dyDescent="0.2">
      <c r="A624" s="919" t="s">
        <v>2042</v>
      </c>
      <c r="B624" s="917" t="s">
        <v>1796</v>
      </c>
      <c r="C624" s="917" t="s">
        <v>1238</v>
      </c>
      <c r="D624" s="919">
        <v>988</v>
      </c>
      <c r="E624" s="415"/>
      <c r="F624" s="968">
        <v>19415</v>
      </c>
      <c r="G624" s="969" t="s">
        <v>2021</v>
      </c>
      <c r="H624" s="963" t="s">
        <v>1798</v>
      </c>
      <c r="I624" s="970" t="s">
        <v>2041</v>
      </c>
      <c r="J624" s="965">
        <f t="shared" si="2"/>
        <v>44067</v>
      </c>
      <c r="K624" s="60" t="s">
        <v>1800</v>
      </c>
    </row>
    <row r="625" spans="1:11" ht="24" x14ac:dyDescent="0.2">
      <c r="A625" s="919" t="s">
        <v>2043</v>
      </c>
      <c r="B625" s="917" t="s">
        <v>1796</v>
      </c>
      <c r="C625" s="917" t="s">
        <v>1238</v>
      </c>
      <c r="D625" s="919">
        <v>990</v>
      </c>
      <c r="E625" s="415"/>
      <c r="F625" s="968">
        <v>11400</v>
      </c>
      <c r="G625" s="969" t="s">
        <v>2036</v>
      </c>
      <c r="H625" s="963" t="s">
        <v>1798</v>
      </c>
      <c r="I625" s="970" t="s">
        <v>2041</v>
      </c>
      <c r="J625" s="965">
        <f t="shared" si="2"/>
        <v>44067</v>
      </c>
      <c r="K625" s="60" t="s">
        <v>1800</v>
      </c>
    </row>
    <row r="626" spans="1:11" ht="24" x14ac:dyDescent="0.2">
      <c r="A626" s="919" t="s">
        <v>2044</v>
      </c>
      <c r="B626" s="917" t="s">
        <v>1796</v>
      </c>
      <c r="C626" s="917" t="s">
        <v>1238</v>
      </c>
      <c r="D626" s="919">
        <v>995</v>
      </c>
      <c r="E626" s="415"/>
      <c r="F626" s="968">
        <v>24993.33</v>
      </c>
      <c r="G626" s="969" t="s">
        <v>2045</v>
      </c>
      <c r="H626" s="963" t="s">
        <v>1798</v>
      </c>
      <c r="I626" s="970" t="s">
        <v>2046</v>
      </c>
      <c r="J626" s="965">
        <f t="shared" si="2"/>
        <v>44128</v>
      </c>
      <c r="K626" s="60" t="s">
        <v>1800</v>
      </c>
    </row>
    <row r="627" spans="1:11" ht="24" x14ac:dyDescent="0.2">
      <c r="A627" s="919" t="s">
        <v>1801</v>
      </c>
      <c r="B627" s="919" t="s">
        <v>1802</v>
      </c>
      <c r="C627" s="971" t="s">
        <v>1941</v>
      </c>
      <c r="D627" s="919">
        <v>998</v>
      </c>
      <c r="E627" s="415"/>
      <c r="F627" s="968">
        <v>23400</v>
      </c>
      <c r="G627" s="969" t="s">
        <v>1824</v>
      </c>
      <c r="H627" s="963" t="s">
        <v>1798</v>
      </c>
      <c r="I627" s="970" t="s">
        <v>2046</v>
      </c>
      <c r="J627" s="965">
        <f t="shared" si="2"/>
        <v>44128</v>
      </c>
      <c r="K627" s="60" t="s">
        <v>1800</v>
      </c>
    </row>
    <row r="628" spans="1:11" ht="24" x14ac:dyDescent="0.2">
      <c r="A628" s="919" t="s">
        <v>2047</v>
      </c>
      <c r="B628" s="917" t="s">
        <v>1796</v>
      </c>
      <c r="C628" s="917" t="s">
        <v>1238</v>
      </c>
      <c r="D628" s="919">
        <v>1051</v>
      </c>
      <c r="E628" s="415"/>
      <c r="F628" s="968">
        <v>16000</v>
      </c>
      <c r="G628" s="969" t="s">
        <v>2048</v>
      </c>
      <c r="H628" s="963" t="s">
        <v>1798</v>
      </c>
      <c r="I628" s="970" t="s">
        <v>2049</v>
      </c>
      <c r="J628" s="965" t="e">
        <f t="shared" si="2"/>
        <v>#VALUE!</v>
      </c>
      <c r="K628" s="60" t="s">
        <v>1800</v>
      </c>
    </row>
    <row r="629" spans="1:11" ht="24" x14ac:dyDescent="0.2">
      <c r="A629" s="919" t="s">
        <v>2050</v>
      </c>
      <c r="B629" s="917" t="s">
        <v>1796</v>
      </c>
      <c r="C629" s="917" t="s">
        <v>1238</v>
      </c>
      <c r="D629" s="919">
        <v>1084</v>
      </c>
      <c r="E629" s="415"/>
      <c r="F629" s="968">
        <v>34390</v>
      </c>
      <c r="G629" s="969" t="s">
        <v>1822</v>
      </c>
      <c r="H629" s="963" t="s">
        <v>1798</v>
      </c>
      <c r="I629" s="970" t="s">
        <v>2051</v>
      </c>
      <c r="J629" s="965" t="e">
        <f t="shared" si="2"/>
        <v>#VALUE!</v>
      </c>
      <c r="K629" s="60" t="s">
        <v>1800</v>
      </c>
    </row>
    <row r="630" spans="1:11" ht="24" x14ac:dyDescent="0.2">
      <c r="A630" s="919" t="s">
        <v>2052</v>
      </c>
      <c r="B630" s="917" t="s">
        <v>1796</v>
      </c>
      <c r="C630" s="917" t="s">
        <v>1238</v>
      </c>
      <c r="D630" s="919">
        <v>1085</v>
      </c>
      <c r="E630" s="415"/>
      <c r="F630" s="968">
        <v>14600</v>
      </c>
      <c r="G630" s="969" t="s">
        <v>2048</v>
      </c>
      <c r="H630" s="963" t="s">
        <v>1798</v>
      </c>
      <c r="I630" s="970" t="s">
        <v>2051</v>
      </c>
      <c r="J630" s="965" t="e">
        <f t="shared" si="2"/>
        <v>#VALUE!</v>
      </c>
      <c r="K630" s="60" t="s">
        <v>1800</v>
      </c>
    </row>
    <row r="631" spans="1:11" ht="24" x14ac:dyDescent="0.2">
      <c r="A631" s="919" t="s">
        <v>1971</v>
      </c>
      <c r="B631" s="919" t="s">
        <v>1972</v>
      </c>
      <c r="C631" s="919"/>
      <c r="D631" s="919">
        <v>1096</v>
      </c>
      <c r="E631" s="415"/>
      <c r="F631" s="968">
        <v>15002.82</v>
      </c>
      <c r="G631" s="969" t="s">
        <v>1918</v>
      </c>
      <c r="H631" s="963" t="s">
        <v>1798</v>
      </c>
      <c r="I631" s="970" t="s">
        <v>2053</v>
      </c>
      <c r="J631" s="965" t="e">
        <f t="shared" si="2"/>
        <v>#VALUE!</v>
      </c>
      <c r="K631" s="60" t="s">
        <v>1800</v>
      </c>
    </row>
    <row r="632" spans="1:11" ht="24" x14ac:dyDescent="0.2">
      <c r="A632" s="919" t="s">
        <v>1841</v>
      </c>
      <c r="B632" s="919" t="s">
        <v>1879</v>
      </c>
      <c r="C632" s="971" t="s">
        <v>2054</v>
      </c>
      <c r="D632" s="919">
        <v>1112</v>
      </c>
      <c r="E632" s="415"/>
      <c r="F632" s="968">
        <v>49400</v>
      </c>
      <c r="G632" s="969" t="s">
        <v>1842</v>
      </c>
      <c r="H632" s="963" t="s">
        <v>1798</v>
      </c>
      <c r="I632" s="970" t="s">
        <v>2055</v>
      </c>
      <c r="J632" s="965" t="e">
        <f t="shared" si="2"/>
        <v>#VALUE!</v>
      </c>
      <c r="K632" s="60" t="s">
        <v>1800</v>
      </c>
    </row>
    <row r="633" spans="1:11" ht="24" x14ac:dyDescent="0.2">
      <c r="A633" s="919" t="s">
        <v>2056</v>
      </c>
      <c r="B633" s="919" t="s">
        <v>1879</v>
      </c>
      <c r="C633" s="971" t="s">
        <v>2057</v>
      </c>
      <c r="D633" s="919">
        <v>1113</v>
      </c>
      <c r="E633" s="415"/>
      <c r="F633" s="968">
        <v>46500</v>
      </c>
      <c r="G633" s="969" t="s">
        <v>1818</v>
      </c>
      <c r="H633" s="963" t="s">
        <v>1798</v>
      </c>
      <c r="I633" s="970" t="s">
        <v>2055</v>
      </c>
      <c r="J633" s="965" t="e">
        <f t="shared" si="2"/>
        <v>#VALUE!</v>
      </c>
      <c r="K633" s="60" t="s">
        <v>1800</v>
      </c>
    </row>
    <row r="634" spans="1:11" ht="24" x14ac:dyDescent="0.2">
      <c r="A634" s="919" t="s">
        <v>1801</v>
      </c>
      <c r="B634" s="919" t="s">
        <v>1802</v>
      </c>
      <c r="C634" s="971" t="s">
        <v>1995</v>
      </c>
      <c r="D634" s="919">
        <v>1115</v>
      </c>
      <c r="E634" s="415"/>
      <c r="F634" s="968">
        <v>29843.4</v>
      </c>
      <c r="G634" s="969" t="s">
        <v>1996</v>
      </c>
      <c r="H634" s="963" t="s">
        <v>1798</v>
      </c>
      <c r="I634" s="970" t="s">
        <v>1299</v>
      </c>
      <c r="J634" s="965" t="e">
        <f t="shared" si="2"/>
        <v>#VALUE!</v>
      </c>
      <c r="K634" s="60" t="s">
        <v>1800</v>
      </c>
    </row>
    <row r="635" spans="1:11" ht="24" x14ac:dyDescent="0.2">
      <c r="A635" s="919" t="s">
        <v>1801</v>
      </c>
      <c r="B635" s="919" t="s">
        <v>1802</v>
      </c>
      <c r="C635" s="971" t="s">
        <v>1941</v>
      </c>
      <c r="D635" s="919">
        <v>1126</v>
      </c>
      <c r="E635" s="415"/>
      <c r="F635" s="968">
        <v>19929.900000000001</v>
      </c>
      <c r="G635" s="969" t="s">
        <v>1804</v>
      </c>
      <c r="H635" s="963" t="s">
        <v>1798</v>
      </c>
      <c r="I635" s="970" t="s">
        <v>1299</v>
      </c>
      <c r="J635" s="965" t="e">
        <f t="shared" si="2"/>
        <v>#VALUE!</v>
      </c>
      <c r="K635" s="60" t="s">
        <v>1800</v>
      </c>
    </row>
    <row r="636" spans="1:11" ht="24" x14ac:dyDescent="0.2">
      <c r="A636" s="919" t="s">
        <v>2058</v>
      </c>
      <c r="B636" s="919" t="s">
        <v>1879</v>
      </c>
      <c r="C636" s="971" t="s">
        <v>2059</v>
      </c>
      <c r="D636" s="919">
        <v>1138</v>
      </c>
      <c r="E636" s="415"/>
      <c r="F636" s="968">
        <v>43400</v>
      </c>
      <c r="G636" s="969" t="s">
        <v>2060</v>
      </c>
      <c r="H636" s="963" t="s">
        <v>1798</v>
      </c>
      <c r="I636" s="970" t="s">
        <v>2061</v>
      </c>
      <c r="J636" s="965" t="e">
        <f t="shared" si="2"/>
        <v>#VALUE!</v>
      </c>
      <c r="K636" s="60" t="s">
        <v>1800</v>
      </c>
    </row>
    <row r="637" spans="1:11" ht="24" x14ac:dyDescent="0.2">
      <c r="A637" s="919" t="s">
        <v>2062</v>
      </c>
      <c r="B637" s="919" t="s">
        <v>1879</v>
      </c>
      <c r="C637" s="971" t="s">
        <v>2059</v>
      </c>
      <c r="D637" s="919">
        <v>1141</v>
      </c>
      <c r="E637" s="415"/>
      <c r="F637" s="968">
        <v>49000</v>
      </c>
      <c r="G637" s="969" t="s">
        <v>1822</v>
      </c>
      <c r="H637" s="963" t="s">
        <v>1798</v>
      </c>
      <c r="I637" s="970" t="s">
        <v>2061</v>
      </c>
      <c r="J637" s="965" t="e">
        <f t="shared" si="2"/>
        <v>#VALUE!</v>
      </c>
      <c r="K637" s="60" t="s">
        <v>1800</v>
      </c>
    </row>
    <row r="638" spans="1:11" ht="24" x14ac:dyDescent="0.2">
      <c r="A638" s="919" t="s">
        <v>2063</v>
      </c>
      <c r="B638" s="919" t="s">
        <v>1879</v>
      </c>
      <c r="C638" s="971" t="s">
        <v>2064</v>
      </c>
      <c r="D638" s="919">
        <v>1142</v>
      </c>
      <c r="E638" s="415"/>
      <c r="F638" s="968">
        <v>90625</v>
      </c>
      <c r="G638" s="969" t="s">
        <v>1815</v>
      </c>
      <c r="H638" s="963" t="s">
        <v>1798</v>
      </c>
      <c r="I638" s="970" t="s">
        <v>2061</v>
      </c>
      <c r="J638" s="965" t="e">
        <f t="shared" si="2"/>
        <v>#VALUE!</v>
      </c>
      <c r="K638" s="60" t="s">
        <v>1800</v>
      </c>
    </row>
    <row r="639" spans="1:11" ht="24" x14ac:dyDescent="0.2">
      <c r="A639" s="919" t="s">
        <v>2065</v>
      </c>
      <c r="B639" s="917" t="s">
        <v>1796</v>
      </c>
      <c r="C639" s="917" t="s">
        <v>1238</v>
      </c>
      <c r="D639" s="919">
        <v>2526</v>
      </c>
      <c r="E639" s="415"/>
      <c r="F639" s="968">
        <v>11800</v>
      </c>
      <c r="G639" s="969" t="s">
        <v>1975</v>
      </c>
      <c r="H639" s="963" t="s">
        <v>1798</v>
      </c>
      <c r="I639" s="970" t="s">
        <v>1295</v>
      </c>
      <c r="J639" s="965">
        <f t="shared" si="2"/>
        <v>44159</v>
      </c>
      <c r="K639" s="60" t="s">
        <v>1800</v>
      </c>
    </row>
    <row r="640" spans="1:11" ht="24" x14ac:dyDescent="0.2">
      <c r="A640" s="919" t="s">
        <v>2066</v>
      </c>
      <c r="B640" s="917" t="s">
        <v>1796</v>
      </c>
      <c r="C640" s="917" t="s">
        <v>1238</v>
      </c>
      <c r="D640" s="919">
        <v>2527</v>
      </c>
      <c r="E640" s="415"/>
      <c r="F640" s="968">
        <v>18915</v>
      </c>
      <c r="G640" s="969" t="s">
        <v>1899</v>
      </c>
      <c r="H640" s="963" t="s">
        <v>1798</v>
      </c>
      <c r="I640" s="970" t="s">
        <v>1295</v>
      </c>
      <c r="J640" s="965">
        <f t="shared" si="2"/>
        <v>44159</v>
      </c>
      <c r="K640" s="60" t="s">
        <v>1800</v>
      </c>
    </row>
    <row r="641" spans="1:11" ht="36" x14ac:dyDescent="0.2">
      <c r="A641" s="919" t="s">
        <v>2067</v>
      </c>
      <c r="B641" s="917" t="s">
        <v>1796</v>
      </c>
      <c r="C641" s="917" t="s">
        <v>1238</v>
      </c>
      <c r="D641" s="919">
        <v>2531</v>
      </c>
      <c r="E641" s="415"/>
      <c r="F641" s="968">
        <v>30000</v>
      </c>
      <c r="G641" s="969" t="s">
        <v>2068</v>
      </c>
      <c r="H641" s="963" t="s">
        <v>1798</v>
      </c>
      <c r="I641" s="970" t="s">
        <v>1295</v>
      </c>
      <c r="J641" s="965">
        <f t="shared" si="2"/>
        <v>44159</v>
      </c>
      <c r="K641" s="60" t="s">
        <v>1800</v>
      </c>
    </row>
    <row r="642" spans="1:11" ht="24" x14ac:dyDescent="0.2">
      <c r="A642" s="919" t="s">
        <v>2069</v>
      </c>
      <c r="B642" s="917" t="s">
        <v>1796</v>
      </c>
      <c r="C642" s="917" t="s">
        <v>1238</v>
      </c>
      <c r="D642" s="919">
        <v>2617</v>
      </c>
      <c r="E642" s="415"/>
      <c r="F642" s="968">
        <v>24250.6</v>
      </c>
      <c r="G642" s="969" t="s">
        <v>1797</v>
      </c>
      <c r="H642" s="963" t="s">
        <v>1798</v>
      </c>
      <c r="I642" s="970" t="s">
        <v>2061</v>
      </c>
      <c r="J642" s="965"/>
      <c r="K642" s="60" t="s">
        <v>1800</v>
      </c>
    </row>
    <row r="643" spans="1:11" ht="24" x14ac:dyDescent="0.2">
      <c r="A643" s="919" t="s">
        <v>1795</v>
      </c>
      <c r="B643" s="917" t="s">
        <v>1796</v>
      </c>
      <c r="C643" s="917" t="s">
        <v>1238</v>
      </c>
      <c r="D643" s="919">
        <v>2618</v>
      </c>
      <c r="E643" s="415"/>
      <c r="F643" s="968">
        <v>15253.5</v>
      </c>
      <c r="G643" s="969" t="s">
        <v>1797</v>
      </c>
      <c r="H643" s="963" t="s">
        <v>1798</v>
      </c>
      <c r="I643" s="970" t="s">
        <v>2061</v>
      </c>
      <c r="J643" s="965"/>
      <c r="K643" s="60" t="s">
        <v>1800</v>
      </c>
    </row>
    <row r="644" spans="1:11" ht="24" x14ac:dyDescent="0.2">
      <c r="A644" s="919" t="s">
        <v>1795</v>
      </c>
      <c r="B644" s="917" t="s">
        <v>1796</v>
      </c>
      <c r="C644" s="917" t="s">
        <v>1238</v>
      </c>
      <c r="D644" s="919">
        <v>2619</v>
      </c>
      <c r="E644" s="415"/>
      <c r="F644" s="968">
        <v>32435.7</v>
      </c>
      <c r="G644" s="969" t="s">
        <v>1797</v>
      </c>
      <c r="H644" s="963" t="s">
        <v>1798</v>
      </c>
      <c r="I644" s="970" t="s">
        <v>2061</v>
      </c>
      <c r="J644" s="965"/>
      <c r="K644" s="60" t="s">
        <v>1800</v>
      </c>
    </row>
    <row r="645" spans="1:11" ht="24" x14ac:dyDescent="0.2">
      <c r="A645" s="919" t="s">
        <v>2070</v>
      </c>
      <c r="B645" s="917" t="s">
        <v>1796</v>
      </c>
      <c r="C645" s="917" t="s">
        <v>1238</v>
      </c>
      <c r="D645" s="919">
        <v>2623</v>
      </c>
      <c r="E645" s="415"/>
      <c r="F645" s="968">
        <v>22480</v>
      </c>
      <c r="G645" s="969" t="s">
        <v>2071</v>
      </c>
      <c r="H645" s="963" t="s">
        <v>1798</v>
      </c>
      <c r="I645" s="970" t="s">
        <v>2061</v>
      </c>
      <c r="J645" s="965" t="e">
        <f t="shared" si="2"/>
        <v>#VALUE!</v>
      </c>
      <c r="K645" s="60" t="s">
        <v>1800</v>
      </c>
    </row>
    <row r="646" spans="1:11" ht="24" x14ac:dyDescent="0.2">
      <c r="A646" s="919" t="s">
        <v>2072</v>
      </c>
      <c r="B646" s="917" t="s">
        <v>1796</v>
      </c>
      <c r="C646" s="917" t="s">
        <v>1238</v>
      </c>
      <c r="D646" s="919">
        <v>1151</v>
      </c>
      <c r="E646" s="415"/>
      <c r="F646" s="968">
        <v>25380</v>
      </c>
      <c r="G646" s="969" t="s">
        <v>2073</v>
      </c>
      <c r="H646" s="963" t="s">
        <v>1798</v>
      </c>
      <c r="I646" s="970" t="s">
        <v>2074</v>
      </c>
      <c r="J646" s="965">
        <f t="shared" si="2"/>
        <v>43855</v>
      </c>
      <c r="K646" s="60" t="s">
        <v>1800</v>
      </c>
    </row>
    <row r="647" spans="1:11" ht="24" x14ac:dyDescent="0.2">
      <c r="A647" s="919" t="s">
        <v>1812</v>
      </c>
      <c r="B647" s="919" t="s">
        <v>1802</v>
      </c>
      <c r="C647" s="971" t="s">
        <v>2075</v>
      </c>
      <c r="D647" s="919">
        <v>1162</v>
      </c>
      <c r="E647" s="415"/>
      <c r="F647" s="968">
        <v>281000</v>
      </c>
      <c r="G647" s="969" t="s">
        <v>2076</v>
      </c>
      <c r="H647" s="963" t="s">
        <v>1798</v>
      </c>
      <c r="I647" s="970" t="s">
        <v>2074</v>
      </c>
      <c r="J647" s="965">
        <f t="shared" si="2"/>
        <v>43855</v>
      </c>
      <c r="K647" s="60" t="s">
        <v>1800</v>
      </c>
    </row>
    <row r="648" spans="1:11" ht="24" x14ac:dyDescent="0.2">
      <c r="A648" s="919" t="s">
        <v>1801</v>
      </c>
      <c r="B648" s="919" t="s">
        <v>1802</v>
      </c>
      <c r="C648" s="971" t="s">
        <v>2077</v>
      </c>
      <c r="D648" s="919">
        <v>1164</v>
      </c>
      <c r="E648" s="415"/>
      <c r="F648" s="968">
        <v>13154.84</v>
      </c>
      <c r="G648" s="969" t="s">
        <v>1807</v>
      </c>
      <c r="H648" s="963" t="s">
        <v>1798</v>
      </c>
      <c r="I648" s="970" t="s">
        <v>2074</v>
      </c>
      <c r="J648" s="965">
        <f t="shared" ref="J648:J711" si="3">I648+15</f>
        <v>43855</v>
      </c>
      <c r="K648" s="60" t="s">
        <v>1800</v>
      </c>
    </row>
    <row r="649" spans="1:11" ht="24" x14ac:dyDescent="0.2">
      <c r="A649" s="919" t="s">
        <v>2078</v>
      </c>
      <c r="B649" s="919" t="s">
        <v>1802</v>
      </c>
      <c r="C649" s="971" t="s">
        <v>2077</v>
      </c>
      <c r="D649" s="919">
        <v>1165</v>
      </c>
      <c r="E649" s="415"/>
      <c r="F649" s="968">
        <v>13154.84</v>
      </c>
      <c r="G649" s="969" t="s">
        <v>1807</v>
      </c>
      <c r="H649" s="963" t="s">
        <v>1798</v>
      </c>
      <c r="I649" s="970" t="s">
        <v>2074</v>
      </c>
      <c r="J649" s="965">
        <f t="shared" si="3"/>
        <v>43855</v>
      </c>
      <c r="K649" s="60" t="s">
        <v>1800</v>
      </c>
    </row>
    <row r="650" spans="1:11" ht="24" x14ac:dyDescent="0.2">
      <c r="A650" s="919" t="s">
        <v>2062</v>
      </c>
      <c r="B650" s="919" t="s">
        <v>1879</v>
      </c>
      <c r="C650" s="971" t="s">
        <v>2079</v>
      </c>
      <c r="D650" s="919">
        <v>1175</v>
      </c>
      <c r="E650" s="415"/>
      <c r="F650" s="968">
        <v>64550</v>
      </c>
      <c r="G650" s="969" t="s">
        <v>2080</v>
      </c>
      <c r="H650" s="963" t="s">
        <v>1798</v>
      </c>
      <c r="I650" s="970" t="s">
        <v>2081</v>
      </c>
      <c r="J650" s="965">
        <f t="shared" si="3"/>
        <v>43886</v>
      </c>
      <c r="K650" s="60" t="s">
        <v>1800</v>
      </c>
    </row>
    <row r="651" spans="1:11" ht="24" x14ac:dyDescent="0.2">
      <c r="A651" s="919" t="s">
        <v>2082</v>
      </c>
      <c r="B651" s="917" t="s">
        <v>1796</v>
      </c>
      <c r="C651" s="917" t="s">
        <v>1238</v>
      </c>
      <c r="D651" s="919">
        <v>1179</v>
      </c>
      <c r="E651" s="415"/>
      <c r="F651" s="968">
        <v>10000</v>
      </c>
      <c r="G651" s="969" t="s">
        <v>2014</v>
      </c>
      <c r="H651" s="963" t="s">
        <v>1798</v>
      </c>
      <c r="I651" s="970" t="s">
        <v>2081</v>
      </c>
      <c r="J651" s="965">
        <f t="shared" si="3"/>
        <v>43886</v>
      </c>
      <c r="K651" s="60" t="s">
        <v>1800</v>
      </c>
    </row>
    <row r="652" spans="1:11" ht="24" x14ac:dyDescent="0.2">
      <c r="A652" s="919" t="s">
        <v>2047</v>
      </c>
      <c r="B652" s="917" t="s">
        <v>1796</v>
      </c>
      <c r="C652" s="917" t="s">
        <v>1238</v>
      </c>
      <c r="D652" s="919">
        <v>1184</v>
      </c>
      <c r="E652" s="415"/>
      <c r="F652" s="968">
        <v>14000</v>
      </c>
      <c r="G652" s="969" t="s">
        <v>2083</v>
      </c>
      <c r="H652" s="963" t="s">
        <v>1798</v>
      </c>
      <c r="I652" s="970" t="s">
        <v>2084</v>
      </c>
      <c r="J652" s="965">
        <f t="shared" si="3"/>
        <v>43976</v>
      </c>
      <c r="K652" s="60" t="s">
        <v>1800</v>
      </c>
    </row>
    <row r="653" spans="1:11" ht="24" x14ac:dyDescent="0.2">
      <c r="A653" s="919" t="s">
        <v>1971</v>
      </c>
      <c r="B653" s="919" t="s">
        <v>1972</v>
      </c>
      <c r="C653" s="919"/>
      <c r="D653" s="919">
        <v>1193</v>
      </c>
      <c r="E653" s="415"/>
      <c r="F653" s="968">
        <v>18405.650000000001</v>
      </c>
      <c r="G653" s="969" t="s">
        <v>1918</v>
      </c>
      <c r="H653" s="963" t="s">
        <v>1798</v>
      </c>
      <c r="I653" s="970" t="s">
        <v>2085</v>
      </c>
      <c r="J653" s="965">
        <f t="shared" si="3"/>
        <v>44007</v>
      </c>
      <c r="K653" s="60" t="s">
        <v>1800</v>
      </c>
    </row>
    <row r="654" spans="1:11" ht="24" x14ac:dyDescent="0.2">
      <c r="A654" s="919" t="s">
        <v>2086</v>
      </c>
      <c r="B654" s="917" t="s">
        <v>1796</v>
      </c>
      <c r="C654" s="917" t="s">
        <v>1238</v>
      </c>
      <c r="D654" s="919">
        <v>1195</v>
      </c>
      <c r="E654" s="415"/>
      <c r="F654" s="968">
        <v>10700</v>
      </c>
      <c r="G654" s="969" t="s">
        <v>2087</v>
      </c>
      <c r="H654" s="963" t="s">
        <v>1798</v>
      </c>
      <c r="I654" s="970" t="s">
        <v>2085</v>
      </c>
      <c r="J654" s="965">
        <f t="shared" si="3"/>
        <v>44007</v>
      </c>
      <c r="K654" s="60" t="s">
        <v>1800</v>
      </c>
    </row>
    <row r="655" spans="1:11" ht="24" x14ac:dyDescent="0.2">
      <c r="A655" s="919" t="s">
        <v>1971</v>
      </c>
      <c r="B655" s="919" t="s">
        <v>1972</v>
      </c>
      <c r="C655" s="919"/>
      <c r="D655" s="919">
        <v>1201</v>
      </c>
      <c r="E655" s="415"/>
      <c r="F655" s="968">
        <v>36823.5</v>
      </c>
      <c r="G655" s="969" t="s">
        <v>1918</v>
      </c>
      <c r="H655" s="963" t="s">
        <v>1798</v>
      </c>
      <c r="I655" s="970" t="s">
        <v>2088</v>
      </c>
      <c r="J655" s="965">
        <f t="shared" si="3"/>
        <v>44037</v>
      </c>
      <c r="K655" s="60" t="s">
        <v>1800</v>
      </c>
    </row>
    <row r="656" spans="1:11" ht="24" x14ac:dyDescent="0.2">
      <c r="A656" s="919" t="s">
        <v>2089</v>
      </c>
      <c r="B656" s="917" t="s">
        <v>1796</v>
      </c>
      <c r="C656" s="917" t="s">
        <v>1238</v>
      </c>
      <c r="D656" s="919">
        <v>1207</v>
      </c>
      <c r="E656" s="415"/>
      <c r="F656" s="968">
        <v>14940</v>
      </c>
      <c r="G656" s="969" t="s">
        <v>1888</v>
      </c>
      <c r="H656" s="963" t="s">
        <v>1798</v>
      </c>
      <c r="I656" s="970" t="s">
        <v>2090</v>
      </c>
      <c r="J656" s="965">
        <f t="shared" si="3"/>
        <v>44068</v>
      </c>
      <c r="K656" s="60" t="s">
        <v>1800</v>
      </c>
    </row>
    <row r="657" spans="1:11" ht="24" x14ac:dyDescent="0.2">
      <c r="A657" s="919" t="s">
        <v>2035</v>
      </c>
      <c r="B657" s="917" t="s">
        <v>1796</v>
      </c>
      <c r="C657" s="917" t="s">
        <v>1238</v>
      </c>
      <c r="D657" s="919">
        <v>1208</v>
      </c>
      <c r="E657" s="415"/>
      <c r="F657" s="968">
        <v>14390</v>
      </c>
      <c r="G657" s="969" t="s">
        <v>2036</v>
      </c>
      <c r="H657" s="963" t="s">
        <v>1798</v>
      </c>
      <c r="I657" s="970" t="s">
        <v>2090</v>
      </c>
      <c r="J657" s="965">
        <f t="shared" si="3"/>
        <v>44068</v>
      </c>
      <c r="K657" s="60" t="s">
        <v>1800</v>
      </c>
    </row>
    <row r="658" spans="1:11" ht="24" x14ac:dyDescent="0.2">
      <c r="A658" s="919" t="s">
        <v>1812</v>
      </c>
      <c r="B658" s="919" t="s">
        <v>1802</v>
      </c>
      <c r="C658" s="971" t="s">
        <v>2091</v>
      </c>
      <c r="D658" s="919">
        <v>1209</v>
      </c>
      <c r="E658" s="415"/>
      <c r="F658" s="968">
        <v>21739.439999999999</v>
      </c>
      <c r="G658" s="969" t="s">
        <v>1813</v>
      </c>
      <c r="H658" s="963" t="s">
        <v>1798</v>
      </c>
      <c r="I658" s="970" t="s">
        <v>2090</v>
      </c>
      <c r="J658" s="965">
        <f t="shared" si="3"/>
        <v>44068</v>
      </c>
      <c r="K658" s="60" t="s">
        <v>1800</v>
      </c>
    </row>
    <row r="659" spans="1:11" ht="24" x14ac:dyDescent="0.2">
      <c r="A659" s="919" t="s">
        <v>2092</v>
      </c>
      <c r="B659" s="919" t="s">
        <v>1879</v>
      </c>
      <c r="C659" s="971" t="s">
        <v>2093</v>
      </c>
      <c r="D659" s="919">
        <v>1211</v>
      </c>
      <c r="E659" s="415"/>
      <c r="F659" s="968">
        <v>130157.2</v>
      </c>
      <c r="G659" s="969" t="s">
        <v>1822</v>
      </c>
      <c r="H659" s="963" t="s">
        <v>1798</v>
      </c>
      <c r="I659" s="970" t="s">
        <v>2094</v>
      </c>
      <c r="J659" s="965">
        <f t="shared" si="3"/>
        <v>44099</v>
      </c>
      <c r="K659" s="60" t="s">
        <v>1800</v>
      </c>
    </row>
    <row r="660" spans="1:11" ht="24" x14ac:dyDescent="0.2">
      <c r="A660" s="919" t="s">
        <v>1858</v>
      </c>
      <c r="B660" s="919" t="s">
        <v>1879</v>
      </c>
      <c r="C660" s="971" t="s">
        <v>2095</v>
      </c>
      <c r="D660" s="919">
        <v>1212</v>
      </c>
      <c r="E660" s="415"/>
      <c r="F660" s="968">
        <v>118720</v>
      </c>
      <c r="G660" s="969" t="s">
        <v>1822</v>
      </c>
      <c r="H660" s="963" t="s">
        <v>1798</v>
      </c>
      <c r="I660" s="970" t="s">
        <v>2094</v>
      </c>
      <c r="J660" s="965">
        <f t="shared" si="3"/>
        <v>44099</v>
      </c>
      <c r="K660" s="60" t="s">
        <v>1800</v>
      </c>
    </row>
    <row r="661" spans="1:11" ht="24" x14ac:dyDescent="0.2">
      <c r="A661" s="919" t="s">
        <v>1858</v>
      </c>
      <c r="B661" s="919" t="s">
        <v>1879</v>
      </c>
      <c r="C661" s="971" t="s">
        <v>2095</v>
      </c>
      <c r="D661" s="919">
        <v>1213</v>
      </c>
      <c r="E661" s="415"/>
      <c r="F661" s="968">
        <v>104040</v>
      </c>
      <c r="G661" s="969" t="s">
        <v>1822</v>
      </c>
      <c r="H661" s="963" t="s">
        <v>1798</v>
      </c>
      <c r="I661" s="970" t="s">
        <v>2094</v>
      </c>
      <c r="J661" s="965">
        <f t="shared" si="3"/>
        <v>44099</v>
      </c>
      <c r="K661" s="60" t="s">
        <v>1800</v>
      </c>
    </row>
    <row r="662" spans="1:11" ht="24" x14ac:dyDescent="0.2">
      <c r="A662" s="919" t="s">
        <v>1909</v>
      </c>
      <c r="B662" s="919" t="s">
        <v>1802</v>
      </c>
      <c r="C662" s="971" t="s">
        <v>1912</v>
      </c>
      <c r="D662" s="919">
        <v>1229</v>
      </c>
      <c r="E662" s="415"/>
      <c r="F662" s="968">
        <v>18678</v>
      </c>
      <c r="G662" s="969" t="s">
        <v>1911</v>
      </c>
      <c r="H662" s="963" t="s">
        <v>1798</v>
      </c>
      <c r="I662" s="970" t="s">
        <v>2096</v>
      </c>
      <c r="J662" s="965" t="e">
        <f t="shared" si="3"/>
        <v>#VALUE!</v>
      </c>
      <c r="K662" s="60" t="s">
        <v>1800</v>
      </c>
    </row>
    <row r="663" spans="1:11" ht="24" x14ac:dyDescent="0.2">
      <c r="A663" s="919" t="s">
        <v>1858</v>
      </c>
      <c r="B663" s="919" t="s">
        <v>1879</v>
      </c>
      <c r="C663" s="971" t="s">
        <v>2097</v>
      </c>
      <c r="D663" s="919">
        <v>1231</v>
      </c>
      <c r="E663" s="415"/>
      <c r="F663" s="968">
        <v>177200</v>
      </c>
      <c r="G663" s="969" t="s">
        <v>2098</v>
      </c>
      <c r="H663" s="963" t="s">
        <v>1798</v>
      </c>
      <c r="I663" s="970" t="s">
        <v>2096</v>
      </c>
      <c r="J663" s="965" t="e">
        <f t="shared" si="3"/>
        <v>#VALUE!</v>
      </c>
      <c r="K663" s="60" t="s">
        <v>1800</v>
      </c>
    </row>
    <row r="664" spans="1:11" ht="24" x14ac:dyDescent="0.2">
      <c r="A664" s="919" t="s">
        <v>1858</v>
      </c>
      <c r="B664" s="919" t="s">
        <v>1879</v>
      </c>
      <c r="C664" s="971" t="s">
        <v>2099</v>
      </c>
      <c r="D664" s="919">
        <v>1232</v>
      </c>
      <c r="E664" s="415"/>
      <c r="F664" s="968">
        <v>282680</v>
      </c>
      <c r="G664" s="969" t="s">
        <v>1822</v>
      </c>
      <c r="H664" s="963" t="s">
        <v>1798</v>
      </c>
      <c r="I664" s="970" t="s">
        <v>2096</v>
      </c>
      <c r="J664" s="965" t="e">
        <f t="shared" si="3"/>
        <v>#VALUE!</v>
      </c>
      <c r="K664" s="60" t="s">
        <v>1800</v>
      </c>
    </row>
    <row r="665" spans="1:11" ht="24" x14ac:dyDescent="0.2">
      <c r="A665" s="919" t="s">
        <v>2100</v>
      </c>
      <c r="B665" s="919" t="s">
        <v>1802</v>
      </c>
      <c r="C665" s="971" t="s">
        <v>1912</v>
      </c>
      <c r="D665" s="919">
        <v>1234</v>
      </c>
      <c r="E665" s="415"/>
      <c r="F665" s="968">
        <v>22514</v>
      </c>
      <c r="G665" s="969" t="s">
        <v>1913</v>
      </c>
      <c r="H665" s="963" t="s">
        <v>1798</v>
      </c>
      <c r="I665" s="970" t="s">
        <v>2101</v>
      </c>
      <c r="J665" s="965" t="e">
        <f t="shared" si="3"/>
        <v>#VALUE!</v>
      </c>
      <c r="K665" s="60" t="s">
        <v>1800</v>
      </c>
    </row>
    <row r="666" spans="1:11" ht="24" x14ac:dyDescent="0.2">
      <c r="A666" s="919" t="s">
        <v>1801</v>
      </c>
      <c r="B666" s="919" t="s">
        <v>1802</v>
      </c>
      <c r="C666" s="971" t="s">
        <v>1995</v>
      </c>
      <c r="D666" s="919">
        <v>1236</v>
      </c>
      <c r="E666" s="415"/>
      <c r="F666" s="968">
        <v>29843.4</v>
      </c>
      <c r="G666" s="969" t="s">
        <v>1996</v>
      </c>
      <c r="H666" s="963" t="s">
        <v>1798</v>
      </c>
      <c r="I666" s="970" t="s">
        <v>2102</v>
      </c>
      <c r="J666" s="965" t="e">
        <f t="shared" si="3"/>
        <v>#VALUE!</v>
      </c>
      <c r="K666" s="60" t="s">
        <v>1800</v>
      </c>
    </row>
    <row r="667" spans="1:11" ht="24" x14ac:dyDescent="0.2">
      <c r="A667" s="919" t="s">
        <v>2103</v>
      </c>
      <c r="B667" s="919" t="s">
        <v>1802</v>
      </c>
      <c r="C667" s="971" t="s">
        <v>1941</v>
      </c>
      <c r="D667" s="919">
        <v>1247</v>
      </c>
      <c r="E667" s="415"/>
      <c r="F667" s="968">
        <v>17428.599999999999</v>
      </c>
      <c r="G667" s="969" t="s">
        <v>1942</v>
      </c>
      <c r="H667" s="963" t="s">
        <v>1798</v>
      </c>
      <c r="I667" s="970" t="s">
        <v>2102</v>
      </c>
      <c r="J667" s="965" t="e">
        <f t="shared" si="3"/>
        <v>#VALUE!</v>
      </c>
      <c r="K667" s="60" t="s">
        <v>1800</v>
      </c>
    </row>
    <row r="668" spans="1:11" ht="24" x14ac:dyDescent="0.2">
      <c r="A668" s="919" t="s">
        <v>1801</v>
      </c>
      <c r="B668" s="919" t="s">
        <v>1802</v>
      </c>
      <c r="C668" s="971" t="s">
        <v>1941</v>
      </c>
      <c r="D668" s="919">
        <v>1250</v>
      </c>
      <c r="E668" s="415"/>
      <c r="F668" s="968">
        <v>33800</v>
      </c>
      <c r="G668" s="969" t="s">
        <v>1962</v>
      </c>
      <c r="H668" s="963" t="s">
        <v>1798</v>
      </c>
      <c r="I668" s="970" t="s">
        <v>2102</v>
      </c>
      <c r="J668" s="965" t="e">
        <f t="shared" si="3"/>
        <v>#VALUE!</v>
      </c>
      <c r="K668" s="60" t="s">
        <v>1800</v>
      </c>
    </row>
    <row r="669" spans="1:11" ht="24" x14ac:dyDescent="0.2">
      <c r="A669" s="919" t="s">
        <v>1801</v>
      </c>
      <c r="B669" s="919" t="s">
        <v>1802</v>
      </c>
      <c r="C669" s="971" t="s">
        <v>1941</v>
      </c>
      <c r="D669" s="919">
        <v>1251</v>
      </c>
      <c r="E669" s="415"/>
      <c r="F669" s="968">
        <v>33800</v>
      </c>
      <c r="G669" s="969" t="s">
        <v>1962</v>
      </c>
      <c r="H669" s="963" t="s">
        <v>1798</v>
      </c>
      <c r="I669" s="970" t="s">
        <v>2102</v>
      </c>
      <c r="J669" s="965" t="e">
        <f t="shared" si="3"/>
        <v>#VALUE!</v>
      </c>
      <c r="K669" s="60" t="s">
        <v>1800</v>
      </c>
    </row>
    <row r="670" spans="1:11" ht="24" x14ac:dyDescent="0.2">
      <c r="A670" s="919" t="s">
        <v>1971</v>
      </c>
      <c r="B670" s="917" t="s">
        <v>1796</v>
      </c>
      <c r="C670" s="917" t="s">
        <v>1238</v>
      </c>
      <c r="D670" s="919">
        <v>1262</v>
      </c>
      <c r="E670" s="415"/>
      <c r="F670" s="968">
        <v>19988.349999999999</v>
      </c>
      <c r="G670" s="969" t="s">
        <v>2045</v>
      </c>
      <c r="H670" s="963" t="s">
        <v>1798</v>
      </c>
      <c r="I670" s="970" t="s">
        <v>2102</v>
      </c>
      <c r="J670" s="965" t="e">
        <f t="shared" si="3"/>
        <v>#VALUE!</v>
      </c>
      <c r="K670" s="60" t="s">
        <v>1800</v>
      </c>
    </row>
    <row r="671" spans="1:11" ht="24" x14ac:dyDescent="0.2">
      <c r="A671" s="919" t="s">
        <v>2104</v>
      </c>
      <c r="B671" s="917" t="s">
        <v>1796</v>
      </c>
      <c r="C671" s="917" t="s">
        <v>1238</v>
      </c>
      <c r="D671" s="919">
        <v>1264</v>
      </c>
      <c r="E671" s="415"/>
      <c r="F671" s="968">
        <v>30036</v>
      </c>
      <c r="G671" s="969" t="s">
        <v>2036</v>
      </c>
      <c r="H671" s="963" t="s">
        <v>1798</v>
      </c>
      <c r="I671" s="970" t="s">
        <v>2102</v>
      </c>
      <c r="J671" s="965" t="e">
        <f t="shared" si="3"/>
        <v>#VALUE!</v>
      </c>
      <c r="K671" s="60" t="s">
        <v>1800</v>
      </c>
    </row>
    <row r="672" spans="1:11" ht="24" x14ac:dyDescent="0.2">
      <c r="A672" s="919" t="s">
        <v>1801</v>
      </c>
      <c r="B672" s="919" t="s">
        <v>1802</v>
      </c>
      <c r="C672" s="971" t="s">
        <v>2077</v>
      </c>
      <c r="D672" s="919">
        <v>1346</v>
      </c>
      <c r="E672" s="415"/>
      <c r="F672" s="968">
        <v>15938.3</v>
      </c>
      <c r="G672" s="969" t="s">
        <v>1807</v>
      </c>
      <c r="H672" s="963" t="s">
        <v>1798</v>
      </c>
      <c r="I672" s="970" t="s">
        <v>2105</v>
      </c>
      <c r="J672" s="965" t="e">
        <f t="shared" si="3"/>
        <v>#VALUE!</v>
      </c>
      <c r="K672" s="60" t="s">
        <v>1800</v>
      </c>
    </row>
    <row r="673" spans="1:11" ht="24" x14ac:dyDescent="0.2">
      <c r="A673" s="919" t="s">
        <v>1801</v>
      </c>
      <c r="B673" s="919" t="s">
        <v>1802</v>
      </c>
      <c r="C673" s="971" t="s">
        <v>2077</v>
      </c>
      <c r="D673" s="919">
        <v>1348</v>
      </c>
      <c r="E673" s="415"/>
      <c r="F673" s="968">
        <v>18215.2</v>
      </c>
      <c r="G673" s="969" t="s">
        <v>1807</v>
      </c>
      <c r="H673" s="963" t="s">
        <v>1798</v>
      </c>
      <c r="I673" s="970" t="s">
        <v>2105</v>
      </c>
      <c r="J673" s="965" t="e">
        <f t="shared" si="3"/>
        <v>#VALUE!</v>
      </c>
      <c r="K673" s="60" t="s">
        <v>1800</v>
      </c>
    </row>
    <row r="674" spans="1:11" ht="24" x14ac:dyDescent="0.2">
      <c r="A674" s="919" t="s">
        <v>1801</v>
      </c>
      <c r="B674" s="919" t="s">
        <v>1802</v>
      </c>
      <c r="C674" s="971" t="s">
        <v>2077</v>
      </c>
      <c r="D674" s="919">
        <v>1351</v>
      </c>
      <c r="E674" s="415"/>
      <c r="F674" s="968">
        <v>16032</v>
      </c>
      <c r="G674" s="969" t="s">
        <v>1804</v>
      </c>
      <c r="H674" s="963" t="s">
        <v>1798</v>
      </c>
      <c r="I674" s="970" t="s">
        <v>2105</v>
      </c>
      <c r="J674" s="965" t="e">
        <f t="shared" si="3"/>
        <v>#VALUE!</v>
      </c>
      <c r="K674" s="60" t="s">
        <v>1800</v>
      </c>
    </row>
    <row r="675" spans="1:11" ht="24" x14ac:dyDescent="0.2">
      <c r="A675" s="919" t="s">
        <v>2070</v>
      </c>
      <c r="B675" s="917" t="s">
        <v>1796</v>
      </c>
      <c r="C675" s="917" t="s">
        <v>1238</v>
      </c>
      <c r="D675" s="919">
        <v>2680</v>
      </c>
      <c r="E675" s="415"/>
      <c r="F675" s="968">
        <v>22520</v>
      </c>
      <c r="G675" s="969" t="s">
        <v>2071</v>
      </c>
      <c r="H675" s="963" t="s">
        <v>1798</v>
      </c>
      <c r="I675" s="970" t="s">
        <v>2088</v>
      </c>
      <c r="J675" s="965">
        <f t="shared" si="3"/>
        <v>44037</v>
      </c>
      <c r="K675" s="60" t="s">
        <v>1800</v>
      </c>
    </row>
    <row r="676" spans="1:11" ht="24" x14ac:dyDescent="0.2">
      <c r="A676" s="919" t="s">
        <v>2106</v>
      </c>
      <c r="B676" s="917" t="s">
        <v>1796</v>
      </c>
      <c r="C676" s="917" t="s">
        <v>1238</v>
      </c>
      <c r="D676" s="919">
        <v>2763</v>
      </c>
      <c r="E676" s="415"/>
      <c r="F676" s="968">
        <v>19207.599999999999</v>
      </c>
      <c r="G676" s="969" t="s">
        <v>1797</v>
      </c>
      <c r="H676" s="963" t="s">
        <v>1798</v>
      </c>
      <c r="I676" s="970" t="s">
        <v>1297</v>
      </c>
      <c r="J676" s="965"/>
      <c r="K676" s="60" t="s">
        <v>1800</v>
      </c>
    </row>
    <row r="677" spans="1:11" ht="24" x14ac:dyDescent="0.2">
      <c r="A677" s="919" t="s">
        <v>2107</v>
      </c>
      <c r="B677" s="917" t="s">
        <v>1796</v>
      </c>
      <c r="C677" s="917" t="s">
        <v>1238</v>
      </c>
      <c r="D677" s="919">
        <v>2764</v>
      </c>
      <c r="E677" s="415"/>
      <c r="F677" s="968">
        <v>13129.34</v>
      </c>
      <c r="G677" s="969" t="s">
        <v>1797</v>
      </c>
      <c r="H677" s="963" t="s">
        <v>1798</v>
      </c>
      <c r="I677" s="970" t="s">
        <v>1297</v>
      </c>
      <c r="J677" s="965"/>
      <c r="K677" s="60" t="s">
        <v>1800</v>
      </c>
    </row>
    <row r="678" spans="1:11" ht="24" x14ac:dyDescent="0.2">
      <c r="A678" s="919" t="s">
        <v>2108</v>
      </c>
      <c r="B678" s="917" t="s">
        <v>1796</v>
      </c>
      <c r="C678" s="917" t="s">
        <v>1238</v>
      </c>
      <c r="D678" s="919">
        <v>2789</v>
      </c>
      <c r="E678" s="415"/>
      <c r="F678" s="968">
        <v>11018.08</v>
      </c>
      <c r="G678" s="969" t="s">
        <v>1797</v>
      </c>
      <c r="H678" s="963" t="s">
        <v>1798</v>
      </c>
      <c r="I678" s="970" t="s">
        <v>2109</v>
      </c>
      <c r="J678" s="965"/>
      <c r="K678" s="60" t="s">
        <v>1800</v>
      </c>
    </row>
    <row r="679" spans="1:11" ht="24" x14ac:dyDescent="0.2">
      <c r="A679" s="919" t="s">
        <v>2110</v>
      </c>
      <c r="B679" s="917" t="s">
        <v>1796</v>
      </c>
      <c r="C679" s="917" t="s">
        <v>1238</v>
      </c>
      <c r="D679" s="919">
        <v>2790</v>
      </c>
      <c r="E679" s="415"/>
      <c r="F679" s="968">
        <v>16260.28</v>
      </c>
      <c r="G679" s="969" t="s">
        <v>1797</v>
      </c>
      <c r="H679" s="963" t="s">
        <v>1798</v>
      </c>
      <c r="I679" s="970" t="s">
        <v>2109</v>
      </c>
      <c r="J679" s="965"/>
      <c r="K679" s="60" t="s">
        <v>1800</v>
      </c>
    </row>
    <row r="680" spans="1:11" ht="24" x14ac:dyDescent="0.2">
      <c r="A680" s="919" t="s">
        <v>1801</v>
      </c>
      <c r="B680" s="919" t="s">
        <v>1802</v>
      </c>
      <c r="C680" s="971" t="s">
        <v>2077</v>
      </c>
      <c r="D680" s="919">
        <v>1495</v>
      </c>
      <c r="E680" s="415"/>
      <c r="F680" s="968">
        <v>15869.59</v>
      </c>
      <c r="G680" s="969" t="s">
        <v>1804</v>
      </c>
      <c r="H680" s="963" t="s">
        <v>1798</v>
      </c>
      <c r="I680" s="970" t="s">
        <v>1313</v>
      </c>
      <c r="J680" s="965" t="e">
        <f t="shared" si="3"/>
        <v>#VALUE!</v>
      </c>
      <c r="K680" s="60" t="s">
        <v>1800</v>
      </c>
    </row>
    <row r="681" spans="1:11" ht="24" x14ac:dyDescent="0.2">
      <c r="A681" s="919" t="s">
        <v>1801</v>
      </c>
      <c r="B681" s="919" t="s">
        <v>1802</v>
      </c>
      <c r="C681" s="971" t="s">
        <v>2077</v>
      </c>
      <c r="D681" s="919">
        <v>1499</v>
      </c>
      <c r="E681" s="415"/>
      <c r="F681" s="968">
        <v>20492.099999999999</v>
      </c>
      <c r="G681" s="969" t="s">
        <v>1807</v>
      </c>
      <c r="H681" s="963" t="s">
        <v>1798</v>
      </c>
      <c r="I681" s="970" t="s">
        <v>1313</v>
      </c>
      <c r="J681" s="965" t="e">
        <f t="shared" si="3"/>
        <v>#VALUE!</v>
      </c>
      <c r="K681" s="60" t="s">
        <v>1800</v>
      </c>
    </row>
    <row r="682" spans="1:11" ht="24" x14ac:dyDescent="0.2">
      <c r="A682" s="919" t="s">
        <v>1801</v>
      </c>
      <c r="B682" s="919" t="s">
        <v>1802</v>
      </c>
      <c r="C682" s="971" t="s">
        <v>2077</v>
      </c>
      <c r="D682" s="919">
        <v>1503</v>
      </c>
      <c r="E682" s="415"/>
      <c r="F682" s="968">
        <v>13154.84</v>
      </c>
      <c r="G682" s="969" t="s">
        <v>1807</v>
      </c>
      <c r="H682" s="963" t="s">
        <v>1798</v>
      </c>
      <c r="I682" s="970" t="s">
        <v>1313</v>
      </c>
      <c r="J682" s="965" t="e">
        <f t="shared" si="3"/>
        <v>#VALUE!</v>
      </c>
      <c r="K682" s="60" t="s">
        <v>1800</v>
      </c>
    </row>
    <row r="683" spans="1:11" ht="24" x14ac:dyDescent="0.2">
      <c r="A683" s="919" t="s">
        <v>1801</v>
      </c>
      <c r="B683" s="919" t="s">
        <v>1802</v>
      </c>
      <c r="C683" s="971" t="s">
        <v>2111</v>
      </c>
      <c r="D683" s="919">
        <v>1510</v>
      </c>
      <c r="E683" s="415"/>
      <c r="F683" s="968">
        <v>13950.93</v>
      </c>
      <c r="G683" s="969" t="s">
        <v>1804</v>
      </c>
      <c r="H683" s="963" t="s">
        <v>1798</v>
      </c>
      <c r="I683" s="970" t="s">
        <v>1313</v>
      </c>
      <c r="J683" s="965" t="e">
        <f t="shared" si="3"/>
        <v>#VALUE!</v>
      </c>
      <c r="K683" s="60" t="s">
        <v>1800</v>
      </c>
    </row>
    <row r="684" spans="1:11" ht="24" x14ac:dyDescent="0.2">
      <c r="A684" s="919" t="s">
        <v>2112</v>
      </c>
      <c r="B684" s="919" t="s">
        <v>1879</v>
      </c>
      <c r="C684" s="971" t="s">
        <v>2113</v>
      </c>
      <c r="D684" s="919">
        <v>1540</v>
      </c>
      <c r="E684" s="415"/>
      <c r="F684" s="968">
        <v>118796</v>
      </c>
      <c r="G684" s="969" t="s">
        <v>2114</v>
      </c>
      <c r="H684" s="963" t="s">
        <v>1798</v>
      </c>
      <c r="I684" s="970" t="s">
        <v>2115</v>
      </c>
      <c r="J684" s="965" t="e">
        <f t="shared" si="3"/>
        <v>#VALUE!</v>
      </c>
      <c r="K684" s="60" t="s">
        <v>1800</v>
      </c>
    </row>
    <row r="685" spans="1:11" ht="24" x14ac:dyDescent="0.2">
      <c r="A685" s="919" t="s">
        <v>1858</v>
      </c>
      <c r="B685" s="919" t="s">
        <v>1879</v>
      </c>
      <c r="C685" s="971" t="s">
        <v>2116</v>
      </c>
      <c r="D685" s="919">
        <v>1542</v>
      </c>
      <c r="E685" s="415"/>
      <c r="F685" s="968">
        <v>138627.54</v>
      </c>
      <c r="G685" s="969" t="s">
        <v>1862</v>
      </c>
      <c r="H685" s="963" t="s">
        <v>1798</v>
      </c>
      <c r="I685" s="970" t="s">
        <v>2115</v>
      </c>
      <c r="J685" s="965" t="e">
        <f t="shared" si="3"/>
        <v>#VALUE!</v>
      </c>
      <c r="K685" s="60" t="s">
        <v>1800</v>
      </c>
    </row>
    <row r="686" spans="1:11" ht="24" x14ac:dyDescent="0.2">
      <c r="A686" s="919" t="s">
        <v>1821</v>
      </c>
      <c r="B686" s="919" t="s">
        <v>1879</v>
      </c>
      <c r="C686" s="971" t="s">
        <v>2117</v>
      </c>
      <c r="D686" s="919">
        <v>1543</v>
      </c>
      <c r="E686" s="415"/>
      <c r="F686" s="968">
        <v>115000</v>
      </c>
      <c r="G686" s="969" t="s">
        <v>2098</v>
      </c>
      <c r="H686" s="963" t="s">
        <v>1798</v>
      </c>
      <c r="I686" s="970" t="s">
        <v>2115</v>
      </c>
      <c r="J686" s="965" t="e">
        <f t="shared" si="3"/>
        <v>#VALUE!</v>
      </c>
      <c r="K686" s="60" t="s">
        <v>1800</v>
      </c>
    </row>
    <row r="687" spans="1:11" ht="24" x14ac:dyDescent="0.2">
      <c r="A687" s="919" t="s">
        <v>1858</v>
      </c>
      <c r="B687" s="919" t="s">
        <v>1879</v>
      </c>
      <c r="C687" s="971" t="s">
        <v>2118</v>
      </c>
      <c r="D687" s="919">
        <v>1545</v>
      </c>
      <c r="E687" s="415"/>
      <c r="F687" s="968">
        <v>67160</v>
      </c>
      <c r="G687" s="969" t="s">
        <v>1815</v>
      </c>
      <c r="H687" s="963" t="s">
        <v>1798</v>
      </c>
      <c r="I687" s="970" t="s">
        <v>2115</v>
      </c>
      <c r="J687" s="965" t="e">
        <f t="shared" si="3"/>
        <v>#VALUE!</v>
      </c>
      <c r="K687" s="60" t="s">
        <v>1800</v>
      </c>
    </row>
    <row r="688" spans="1:11" ht="24" x14ac:dyDescent="0.2">
      <c r="A688" s="919" t="s">
        <v>2119</v>
      </c>
      <c r="B688" s="917" t="s">
        <v>1796</v>
      </c>
      <c r="C688" s="917" t="s">
        <v>1238</v>
      </c>
      <c r="D688" s="919">
        <v>1565</v>
      </c>
      <c r="E688" s="415"/>
      <c r="F688" s="968">
        <v>15874.9</v>
      </c>
      <c r="G688" s="969" t="s">
        <v>2120</v>
      </c>
      <c r="H688" s="963" t="s">
        <v>1798</v>
      </c>
      <c r="I688" s="970" t="s">
        <v>2121</v>
      </c>
      <c r="J688" s="965" t="e">
        <f t="shared" si="3"/>
        <v>#VALUE!</v>
      </c>
      <c r="K688" s="60" t="s">
        <v>1800</v>
      </c>
    </row>
    <row r="689" spans="1:11" ht="24" x14ac:dyDescent="0.2">
      <c r="A689" s="919" t="s">
        <v>1801</v>
      </c>
      <c r="B689" s="919" t="s">
        <v>1879</v>
      </c>
      <c r="C689" s="971" t="s">
        <v>2122</v>
      </c>
      <c r="D689" s="919">
        <v>1576</v>
      </c>
      <c r="E689" s="415"/>
      <c r="F689" s="968">
        <v>135136</v>
      </c>
      <c r="G689" s="969" t="s">
        <v>2123</v>
      </c>
      <c r="H689" s="963" t="s">
        <v>1798</v>
      </c>
      <c r="I689" s="970" t="s">
        <v>1315</v>
      </c>
      <c r="J689" s="965" t="e">
        <f t="shared" si="3"/>
        <v>#VALUE!</v>
      </c>
      <c r="K689" s="60" t="s">
        <v>1800</v>
      </c>
    </row>
    <row r="690" spans="1:11" ht="24" x14ac:dyDescent="0.2">
      <c r="A690" s="919" t="s">
        <v>1801</v>
      </c>
      <c r="B690" s="919" t="s">
        <v>1802</v>
      </c>
      <c r="C690" s="971" t="s">
        <v>1941</v>
      </c>
      <c r="D690" s="919">
        <v>1577</v>
      </c>
      <c r="E690" s="415"/>
      <c r="F690" s="968">
        <v>44931.98</v>
      </c>
      <c r="G690" s="969" t="s">
        <v>1804</v>
      </c>
      <c r="H690" s="963" t="s">
        <v>1798</v>
      </c>
      <c r="I690" s="970" t="s">
        <v>2124</v>
      </c>
      <c r="J690" s="965" t="e">
        <f t="shared" si="3"/>
        <v>#VALUE!</v>
      </c>
      <c r="K690" s="60" t="s">
        <v>1800</v>
      </c>
    </row>
    <row r="691" spans="1:11" ht="24" x14ac:dyDescent="0.2">
      <c r="A691" s="919" t="s">
        <v>2125</v>
      </c>
      <c r="B691" s="917" t="s">
        <v>1796</v>
      </c>
      <c r="C691" s="917" t="s">
        <v>1238</v>
      </c>
      <c r="D691" s="919">
        <v>3267</v>
      </c>
      <c r="E691" s="415"/>
      <c r="F691" s="968">
        <v>13810</v>
      </c>
      <c r="G691" s="969" t="s">
        <v>1899</v>
      </c>
      <c r="H691" s="963" t="s">
        <v>1798</v>
      </c>
      <c r="I691" s="970" t="s">
        <v>2126</v>
      </c>
      <c r="J691" s="965" t="e">
        <f t="shared" si="3"/>
        <v>#VALUE!</v>
      </c>
      <c r="K691" s="60" t="s">
        <v>1800</v>
      </c>
    </row>
    <row r="692" spans="1:11" ht="24" x14ac:dyDescent="0.2">
      <c r="A692" s="919" t="s">
        <v>2127</v>
      </c>
      <c r="B692" s="917" t="s">
        <v>1796</v>
      </c>
      <c r="C692" s="917" t="s">
        <v>1238</v>
      </c>
      <c r="D692" s="919">
        <v>3418</v>
      </c>
      <c r="E692" s="415"/>
      <c r="F692" s="968">
        <v>12950</v>
      </c>
      <c r="G692" s="969" t="s">
        <v>2128</v>
      </c>
      <c r="H692" s="963" t="s">
        <v>1798</v>
      </c>
      <c r="I692" s="970" t="s">
        <v>2129</v>
      </c>
      <c r="J692" s="965" t="e">
        <f t="shared" si="3"/>
        <v>#VALUE!</v>
      </c>
      <c r="K692" s="60" t="s">
        <v>1800</v>
      </c>
    </row>
    <row r="693" spans="1:11" ht="24" x14ac:dyDescent="0.2">
      <c r="A693" s="919" t="s">
        <v>2106</v>
      </c>
      <c r="B693" s="917" t="s">
        <v>1796</v>
      </c>
      <c r="C693" s="917" t="s">
        <v>1238</v>
      </c>
      <c r="D693" s="919">
        <v>3428</v>
      </c>
      <c r="E693" s="415"/>
      <c r="F693" s="968">
        <v>17874.84</v>
      </c>
      <c r="G693" s="969" t="s">
        <v>1797</v>
      </c>
      <c r="H693" s="963" t="s">
        <v>1798</v>
      </c>
      <c r="I693" s="970" t="s">
        <v>2124</v>
      </c>
      <c r="J693" s="965"/>
      <c r="K693" s="60" t="s">
        <v>1800</v>
      </c>
    </row>
    <row r="694" spans="1:11" ht="24" x14ac:dyDescent="0.2">
      <c r="A694" s="919" t="s">
        <v>2106</v>
      </c>
      <c r="B694" s="917" t="s">
        <v>1796</v>
      </c>
      <c r="C694" s="917" t="s">
        <v>1238</v>
      </c>
      <c r="D694" s="919">
        <v>3429</v>
      </c>
      <c r="E694" s="415"/>
      <c r="F694" s="968">
        <v>22364.02</v>
      </c>
      <c r="G694" s="969" t="s">
        <v>1797</v>
      </c>
      <c r="H694" s="963" t="s">
        <v>1798</v>
      </c>
      <c r="I694" s="970" t="s">
        <v>2124</v>
      </c>
      <c r="J694" s="965"/>
      <c r="K694" s="60" t="s">
        <v>1800</v>
      </c>
    </row>
    <row r="695" spans="1:11" ht="24" x14ac:dyDescent="0.2">
      <c r="A695" s="919" t="s">
        <v>2107</v>
      </c>
      <c r="B695" s="917" t="s">
        <v>1796</v>
      </c>
      <c r="C695" s="917" t="s">
        <v>1238</v>
      </c>
      <c r="D695" s="919">
        <v>3430</v>
      </c>
      <c r="E695" s="415"/>
      <c r="F695" s="968">
        <v>15299.87</v>
      </c>
      <c r="G695" s="969" t="s">
        <v>1797</v>
      </c>
      <c r="H695" s="963" t="s">
        <v>1798</v>
      </c>
      <c r="I695" s="970" t="s">
        <v>2124</v>
      </c>
      <c r="J695" s="965"/>
      <c r="K695" s="60" t="s">
        <v>1800</v>
      </c>
    </row>
    <row r="696" spans="1:11" ht="24" x14ac:dyDescent="0.2">
      <c r="A696" s="919" t="s">
        <v>2069</v>
      </c>
      <c r="B696" s="917" t="s">
        <v>1796</v>
      </c>
      <c r="C696" s="917" t="s">
        <v>1238</v>
      </c>
      <c r="D696" s="919">
        <v>3431</v>
      </c>
      <c r="E696" s="415"/>
      <c r="F696" s="968">
        <v>10806.12</v>
      </c>
      <c r="G696" s="969" t="s">
        <v>1797</v>
      </c>
      <c r="H696" s="963" t="s">
        <v>1798</v>
      </c>
      <c r="I696" s="970" t="s">
        <v>2124</v>
      </c>
      <c r="J696" s="965"/>
      <c r="K696" s="60" t="s">
        <v>1800</v>
      </c>
    </row>
    <row r="697" spans="1:11" ht="24" x14ac:dyDescent="0.2">
      <c r="A697" s="919" t="s">
        <v>1795</v>
      </c>
      <c r="B697" s="917" t="s">
        <v>1796</v>
      </c>
      <c r="C697" s="917" t="s">
        <v>1238</v>
      </c>
      <c r="D697" s="919">
        <v>3432</v>
      </c>
      <c r="E697" s="415"/>
      <c r="F697" s="968">
        <v>25528.5</v>
      </c>
      <c r="G697" s="969" t="s">
        <v>1797</v>
      </c>
      <c r="H697" s="963" t="s">
        <v>1798</v>
      </c>
      <c r="I697" s="970" t="s">
        <v>2124</v>
      </c>
      <c r="J697" s="965"/>
      <c r="K697" s="60" t="s">
        <v>1800</v>
      </c>
    </row>
    <row r="698" spans="1:11" ht="24" x14ac:dyDescent="0.2">
      <c r="A698" s="919" t="s">
        <v>1795</v>
      </c>
      <c r="B698" s="917" t="s">
        <v>1796</v>
      </c>
      <c r="C698" s="917" t="s">
        <v>1238</v>
      </c>
      <c r="D698" s="919">
        <v>3433</v>
      </c>
      <c r="E698" s="415"/>
      <c r="F698" s="968">
        <v>15132.24</v>
      </c>
      <c r="G698" s="969" t="s">
        <v>1797</v>
      </c>
      <c r="H698" s="963" t="s">
        <v>1798</v>
      </c>
      <c r="I698" s="970" t="s">
        <v>2124</v>
      </c>
      <c r="J698" s="965"/>
      <c r="K698" s="60" t="s">
        <v>1800</v>
      </c>
    </row>
    <row r="699" spans="1:11" ht="24" x14ac:dyDescent="0.2">
      <c r="A699" s="919" t="s">
        <v>1795</v>
      </c>
      <c r="B699" s="917" t="s">
        <v>1796</v>
      </c>
      <c r="C699" s="917" t="s">
        <v>1238</v>
      </c>
      <c r="D699" s="919">
        <v>3434</v>
      </c>
      <c r="E699" s="415"/>
      <c r="F699" s="968">
        <v>11394.24</v>
      </c>
      <c r="G699" s="969" t="s">
        <v>1797</v>
      </c>
      <c r="H699" s="963" t="s">
        <v>1798</v>
      </c>
      <c r="I699" s="970" t="s">
        <v>2124</v>
      </c>
      <c r="J699" s="965"/>
      <c r="K699" s="60" t="s">
        <v>1800</v>
      </c>
    </row>
    <row r="700" spans="1:11" ht="24" x14ac:dyDescent="0.2">
      <c r="A700" s="919" t="s">
        <v>1808</v>
      </c>
      <c r="B700" s="919" t="s">
        <v>1972</v>
      </c>
      <c r="C700" s="919"/>
      <c r="D700" s="919">
        <v>1584</v>
      </c>
      <c r="E700" s="415"/>
      <c r="F700" s="968">
        <v>11302.49</v>
      </c>
      <c r="G700" s="969" t="s">
        <v>2130</v>
      </c>
      <c r="H700" s="963" t="s">
        <v>1798</v>
      </c>
      <c r="I700" s="970" t="s">
        <v>2131</v>
      </c>
      <c r="J700" s="965">
        <f t="shared" si="3"/>
        <v>43948</v>
      </c>
      <c r="K700" s="60" t="s">
        <v>1800</v>
      </c>
    </row>
    <row r="701" spans="1:11" ht="24" x14ac:dyDescent="0.2">
      <c r="A701" s="919" t="s">
        <v>1821</v>
      </c>
      <c r="B701" s="919" t="s">
        <v>1879</v>
      </c>
      <c r="C701" s="971" t="s">
        <v>2132</v>
      </c>
      <c r="D701" s="919">
        <v>1599</v>
      </c>
      <c r="E701" s="415"/>
      <c r="F701" s="968">
        <v>136992</v>
      </c>
      <c r="G701" s="969" t="s">
        <v>2133</v>
      </c>
      <c r="H701" s="963" t="s">
        <v>1798</v>
      </c>
      <c r="I701" s="970" t="s">
        <v>1329</v>
      </c>
      <c r="J701" s="965">
        <f t="shared" si="3"/>
        <v>44131</v>
      </c>
      <c r="K701" s="60" t="s">
        <v>1800</v>
      </c>
    </row>
    <row r="702" spans="1:11" ht="24" x14ac:dyDescent="0.2">
      <c r="A702" s="919" t="s">
        <v>1801</v>
      </c>
      <c r="B702" s="919" t="s">
        <v>1802</v>
      </c>
      <c r="C702" s="971" t="s">
        <v>1941</v>
      </c>
      <c r="D702" s="919">
        <v>1603</v>
      </c>
      <c r="E702" s="415"/>
      <c r="F702" s="968">
        <v>33800</v>
      </c>
      <c r="G702" s="969" t="s">
        <v>1962</v>
      </c>
      <c r="H702" s="963" t="s">
        <v>1798</v>
      </c>
      <c r="I702" s="970" t="s">
        <v>2134</v>
      </c>
      <c r="J702" s="965">
        <f t="shared" si="3"/>
        <v>44162</v>
      </c>
      <c r="K702" s="60" t="s">
        <v>1800</v>
      </c>
    </row>
    <row r="703" spans="1:11" ht="24" x14ac:dyDescent="0.2">
      <c r="A703" s="919" t="s">
        <v>1821</v>
      </c>
      <c r="B703" s="919" t="s">
        <v>1879</v>
      </c>
      <c r="C703" s="971" t="s">
        <v>2135</v>
      </c>
      <c r="D703" s="919">
        <v>1627</v>
      </c>
      <c r="E703" s="415"/>
      <c r="F703" s="968">
        <v>59595.82</v>
      </c>
      <c r="G703" s="969" t="s">
        <v>1815</v>
      </c>
      <c r="H703" s="963" t="s">
        <v>1798</v>
      </c>
      <c r="I703" s="970" t="s">
        <v>2136</v>
      </c>
      <c r="J703" s="965" t="e">
        <f t="shared" si="3"/>
        <v>#VALUE!</v>
      </c>
      <c r="K703" s="60" t="s">
        <v>1800</v>
      </c>
    </row>
    <row r="704" spans="1:11" ht="24" x14ac:dyDescent="0.2">
      <c r="A704" s="919" t="s">
        <v>1858</v>
      </c>
      <c r="B704" s="919" t="s">
        <v>1879</v>
      </c>
      <c r="C704" s="971" t="s">
        <v>2135</v>
      </c>
      <c r="D704" s="919">
        <v>1628</v>
      </c>
      <c r="E704" s="415"/>
      <c r="F704" s="968">
        <v>158775.79999999999</v>
      </c>
      <c r="G704" s="969" t="s">
        <v>1815</v>
      </c>
      <c r="H704" s="963" t="s">
        <v>1798</v>
      </c>
      <c r="I704" s="970" t="s">
        <v>2136</v>
      </c>
      <c r="J704" s="965" t="e">
        <f t="shared" si="3"/>
        <v>#VALUE!</v>
      </c>
      <c r="K704" s="60" t="s">
        <v>1800</v>
      </c>
    </row>
    <row r="705" spans="1:11" ht="24" x14ac:dyDescent="0.2">
      <c r="A705" s="919" t="s">
        <v>1858</v>
      </c>
      <c r="B705" s="919" t="s">
        <v>1879</v>
      </c>
      <c r="C705" s="971" t="s">
        <v>2135</v>
      </c>
      <c r="D705" s="919">
        <v>1629</v>
      </c>
      <c r="E705" s="415"/>
      <c r="F705" s="968">
        <v>78000</v>
      </c>
      <c r="G705" s="969" t="s">
        <v>1815</v>
      </c>
      <c r="H705" s="963" t="s">
        <v>1798</v>
      </c>
      <c r="I705" s="970" t="s">
        <v>2136</v>
      </c>
      <c r="J705" s="965" t="e">
        <f t="shared" si="3"/>
        <v>#VALUE!</v>
      </c>
      <c r="K705" s="60" t="s">
        <v>1800</v>
      </c>
    </row>
    <row r="706" spans="1:11" ht="24" x14ac:dyDescent="0.2">
      <c r="A706" s="919" t="s">
        <v>1858</v>
      </c>
      <c r="B706" s="919" t="s">
        <v>1879</v>
      </c>
      <c r="C706" s="971" t="s">
        <v>2135</v>
      </c>
      <c r="D706" s="919">
        <v>1630</v>
      </c>
      <c r="E706" s="415"/>
      <c r="F706" s="968">
        <v>83300</v>
      </c>
      <c r="G706" s="969" t="s">
        <v>1815</v>
      </c>
      <c r="H706" s="963" t="s">
        <v>1798</v>
      </c>
      <c r="I706" s="970" t="s">
        <v>1343</v>
      </c>
      <c r="J706" s="965" t="e">
        <f t="shared" si="3"/>
        <v>#VALUE!</v>
      </c>
      <c r="K706" s="60" t="s">
        <v>1800</v>
      </c>
    </row>
    <row r="707" spans="1:11" ht="24" x14ac:dyDescent="0.2">
      <c r="A707" s="919" t="s">
        <v>2137</v>
      </c>
      <c r="B707" s="917" t="s">
        <v>1796</v>
      </c>
      <c r="C707" s="917" t="s">
        <v>1238</v>
      </c>
      <c r="D707" s="919">
        <v>1634</v>
      </c>
      <c r="E707" s="415"/>
      <c r="F707" s="968">
        <v>29900</v>
      </c>
      <c r="G707" s="969" t="s">
        <v>2138</v>
      </c>
      <c r="H707" s="963" t="s">
        <v>1798</v>
      </c>
      <c r="I707" s="970" t="s">
        <v>2139</v>
      </c>
      <c r="J707" s="965" t="e">
        <f t="shared" si="3"/>
        <v>#VALUE!</v>
      </c>
      <c r="K707" s="60" t="s">
        <v>1800</v>
      </c>
    </row>
    <row r="708" spans="1:11" ht="24" x14ac:dyDescent="0.2">
      <c r="A708" s="919" t="s">
        <v>2140</v>
      </c>
      <c r="B708" s="917" t="s">
        <v>1796</v>
      </c>
      <c r="C708" s="917" t="s">
        <v>1238</v>
      </c>
      <c r="D708" s="919">
        <v>1635</v>
      </c>
      <c r="E708" s="415"/>
      <c r="F708" s="968">
        <v>33800</v>
      </c>
      <c r="G708" s="969" t="s">
        <v>1822</v>
      </c>
      <c r="H708" s="963" t="s">
        <v>1798</v>
      </c>
      <c r="I708" s="970" t="s">
        <v>2139</v>
      </c>
      <c r="J708" s="965" t="e">
        <f t="shared" si="3"/>
        <v>#VALUE!</v>
      </c>
      <c r="K708" s="60" t="s">
        <v>1800</v>
      </c>
    </row>
    <row r="709" spans="1:11" ht="24" x14ac:dyDescent="0.2">
      <c r="A709" s="919" t="s">
        <v>2141</v>
      </c>
      <c r="B709" s="917" t="s">
        <v>1796</v>
      </c>
      <c r="C709" s="917" t="s">
        <v>1238</v>
      </c>
      <c r="D709" s="919">
        <v>1636</v>
      </c>
      <c r="E709" s="415"/>
      <c r="F709" s="968">
        <v>13576</v>
      </c>
      <c r="G709" s="969" t="s">
        <v>1822</v>
      </c>
      <c r="H709" s="963" t="s">
        <v>1798</v>
      </c>
      <c r="I709" s="970" t="s">
        <v>2139</v>
      </c>
      <c r="J709" s="965" t="e">
        <f t="shared" si="3"/>
        <v>#VALUE!</v>
      </c>
      <c r="K709" s="60" t="s">
        <v>1800</v>
      </c>
    </row>
    <row r="710" spans="1:11" ht="24" x14ac:dyDescent="0.2">
      <c r="A710" s="919" t="s">
        <v>2142</v>
      </c>
      <c r="B710" s="919" t="s">
        <v>1879</v>
      </c>
      <c r="C710" s="971" t="s">
        <v>2143</v>
      </c>
      <c r="D710" s="919">
        <v>1637</v>
      </c>
      <c r="E710" s="415"/>
      <c r="F710" s="968">
        <v>184811.2</v>
      </c>
      <c r="G710" s="969" t="s">
        <v>2144</v>
      </c>
      <c r="H710" s="963" t="s">
        <v>1798</v>
      </c>
      <c r="I710" s="970" t="s">
        <v>2145</v>
      </c>
      <c r="J710" s="965" t="e">
        <f t="shared" si="3"/>
        <v>#VALUE!</v>
      </c>
      <c r="K710" s="60" t="s">
        <v>1800</v>
      </c>
    </row>
    <row r="711" spans="1:11" ht="24" x14ac:dyDescent="0.2">
      <c r="A711" s="919" t="s">
        <v>1801</v>
      </c>
      <c r="B711" s="919" t="s">
        <v>1879</v>
      </c>
      <c r="C711" s="971" t="s">
        <v>2146</v>
      </c>
      <c r="D711" s="919">
        <v>1643</v>
      </c>
      <c r="E711" s="415"/>
      <c r="F711" s="968">
        <v>34537.199999999997</v>
      </c>
      <c r="G711" s="969" t="s">
        <v>2098</v>
      </c>
      <c r="H711" s="963" t="s">
        <v>1798</v>
      </c>
      <c r="I711" s="970" t="s">
        <v>2145</v>
      </c>
      <c r="J711" s="965" t="e">
        <f t="shared" si="3"/>
        <v>#VALUE!</v>
      </c>
      <c r="K711" s="60" t="s">
        <v>1800</v>
      </c>
    </row>
    <row r="712" spans="1:11" ht="24" x14ac:dyDescent="0.2">
      <c r="A712" s="919" t="s">
        <v>1801</v>
      </c>
      <c r="B712" s="919" t="s">
        <v>1879</v>
      </c>
      <c r="C712" s="971" t="s">
        <v>2146</v>
      </c>
      <c r="D712" s="919">
        <v>1644</v>
      </c>
      <c r="E712" s="415"/>
      <c r="F712" s="968">
        <v>41795.599999999999</v>
      </c>
      <c r="G712" s="969" t="s">
        <v>2098</v>
      </c>
      <c r="H712" s="963" t="s">
        <v>1798</v>
      </c>
      <c r="I712" s="970" t="s">
        <v>2145</v>
      </c>
      <c r="J712" s="965" t="e">
        <f t="shared" ref="J712:J728" si="4">I712+15</f>
        <v>#VALUE!</v>
      </c>
      <c r="K712" s="60" t="s">
        <v>1800</v>
      </c>
    </row>
    <row r="713" spans="1:11" ht="24" x14ac:dyDescent="0.2">
      <c r="A713" s="919" t="s">
        <v>1801</v>
      </c>
      <c r="B713" s="919" t="s">
        <v>1879</v>
      </c>
      <c r="C713" s="971" t="s">
        <v>2146</v>
      </c>
      <c r="D713" s="919">
        <v>1645</v>
      </c>
      <c r="E713" s="415"/>
      <c r="F713" s="968">
        <v>30064</v>
      </c>
      <c r="G713" s="969" t="s">
        <v>2098</v>
      </c>
      <c r="H713" s="963" t="s">
        <v>1798</v>
      </c>
      <c r="I713" s="970" t="s">
        <v>2145</v>
      </c>
      <c r="J713" s="965" t="e">
        <f t="shared" si="4"/>
        <v>#VALUE!</v>
      </c>
      <c r="K713" s="60" t="s">
        <v>1800</v>
      </c>
    </row>
    <row r="714" spans="1:11" ht="24" x14ac:dyDescent="0.2">
      <c r="A714" s="919" t="s">
        <v>1801</v>
      </c>
      <c r="B714" s="919" t="s">
        <v>1879</v>
      </c>
      <c r="C714" s="971" t="s">
        <v>2146</v>
      </c>
      <c r="D714" s="919">
        <v>1646</v>
      </c>
      <c r="E714" s="415"/>
      <c r="F714" s="968">
        <v>21694.6</v>
      </c>
      <c r="G714" s="969" t="s">
        <v>2098</v>
      </c>
      <c r="H714" s="963" t="s">
        <v>1798</v>
      </c>
      <c r="I714" s="970" t="s">
        <v>2145</v>
      </c>
      <c r="J714" s="965" t="e">
        <f t="shared" si="4"/>
        <v>#VALUE!</v>
      </c>
      <c r="K714" s="60" t="s">
        <v>1800</v>
      </c>
    </row>
    <row r="715" spans="1:11" ht="24" x14ac:dyDescent="0.2">
      <c r="A715" s="919" t="s">
        <v>1801</v>
      </c>
      <c r="B715" s="919" t="s">
        <v>1879</v>
      </c>
      <c r="C715" s="971" t="s">
        <v>2146</v>
      </c>
      <c r="D715" s="919">
        <v>1647</v>
      </c>
      <c r="E715" s="415"/>
      <c r="F715" s="968">
        <v>11570.9</v>
      </c>
      <c r="G715" s="969" t="s">
        <v>2098</v>
      </c>
      <c r="H715" s="963" t="s">
        <v>1798</v>
      </c>
      <c r="I715" s="970" t="s">
        <v>2145</v>
      </c>
      <c r="J715" s="965" t="e">
        <f t="shared" si="4"/>
        <v>#VALUE!</v>
      </c>
      <c r="K715" s="60" t="s">
        <v>1800</v>
      </c>
    </row>
    <row r="716" spans="1:11" ht="24" x14ac:dyDescent="0.2">
      <c r="A716" s="919" t="s">
        <v>1801</v>
      </c>
      <c r="B716" s="919" t="s">
        <v>1879</v>
      </c>
      <c r="C716" s="971" t="s">
        <v>2146</v>
      </c>
      <c r="D716" s="919">
        <v>1651</v>
      </c>
      <c r="E716" s="415"/>
      <c r="F716" s="968">
        <v>90000</v>
      </c>
      <c r="G716" s="969" t="s">
        <v>2098</v>
      </c>
      <c r="H716" s="963" t="s">
        <v>1798</v>
      </c>
      <c r="I716" s="970" t="s">
        <v>2145</v>
      </c>
      <c r="J716" s="965" t="e">
        <f t="shared" si="4"/>
        <v>#VALUE!</v>
      </c>
      <c r="K716" s="60" t="s">
        <v>1800</v>
      </c>
    </row>
    <row r="717" spans="1:11" ht="24" x14ac:dyDescent="0.2">
      <c r="A717" s="919" t="s">
        <v>1801</v>
      </c>
      <c r="B717" s="919" t="s">
        <v>1879</v>
      </c>
      <c r="C717" s="971" t="s">
        <v>2146</v>
      </c>
      <c r="D717" s="919">
        <v>1652</v>
      </c>
      <c r="E717" s="415"/>
      <c r="F717" s="968">
        <v>21000</v>
      </c>
      <c r="G717" s="969" t="s">
        <v>2098</v>
      </c>
      <c r="H717" s="963" t="s">
        <v>1798</v>
      </c>
      <c r="I717" s="970" t="s">
        <v>2145</v>
      </c>
      <c r="J717" s="965" t="e">
        <f t="shared" si="4"/>
        <v>#VALUE!</v>
      </c>
      <c r="K717" s="60" t="s">
        <v>1800</v>
      </c>
    </row>
    <row r="718" spans="1:11" ht="24" x14ac:dyDescent="0.2">
      <c r="A718" s="919" t="s">
        <v>1971</v>
      </c>
      <c r="B718" s="919" t="s">
        <v>1879</v>
      </c>
      <c r="C718" s="919"/>
      <c r="D718" s="919">
        <v>1654</v>
      </c>
      <c r="E718" s="415"/>
      <c r="F718" s="968">
        <v>102600</v>
      </c>
      <c r="G718" s="969" t="s">
        <v>2123</v>
      </c>
      <c r="H718" s="963" t="s">
        <v>1798</v>
      </c>
      <c r="I718" s="970" t="s">
        <v>2147</v>
      </c>
      <c r="J718" s="965" t="e">
        <f t="shared" si="4"/>
        <v>#VALUE!</v>
      </c>
      <c r="K718" s="60" t="s">
        <v>1800</v>
      </c>
    </row>
    <row r="719" spans="1:11" ht="24" x14ac:dyDescent="0.2">
      <c r="A719" s="919" t="s">
        <v>1821</v>
      </c>
      <c r="B719" s="919" t="s">
        <v>1802</v>
      </c>
      <c r="C719" s="971" t="s">
        <v>2148</v>
      </c>
      <c r="D719" s="919">
        <v>1655</v>
      </c>
      <c r="E719" s="415"/>
      <c r="F719" s="968">
        <v>57303.45</v>
      </c>
      <c r="G719" s="969" t="s">
        <v>2098</v>
      </c>
      <c r="H719" s="963" t="s">
        <v>1798</v>
      </c>
      <c r="I719" s="970" t="s">
        <v>2147</v>
      </c>
      <c r="J719" s="965" t="e">
        <f t="shared" si="4"/>
        <v>#VALUE!</v>
      </c>
      <c r="K719" s="60" t="s">
        <v>1800</v>
      </c>
    </row>
    <row r="720" spans="1:11" ht="24" x14ac:dyDescent="0.2">
      <c r="A720" s="919" t="s">
        <v>1306</v>
      </c>
      <c r="B720" s="917" t="s">
        <v>1796</v>
      </c>
      <c r="C720" s="917" t="s">
        <v>1238</v>
      </c>
      <c r="D720" s="919">
        <v>1656</v>
      </c>
      <c r="E720" s="415"/>
      <c r="F720" s="968">
        <v>12081.28</v>
      </c>
      <c r="G720" s="969" t="s">
        <v>1918</v>
      </c>
      <c r="H720" s="963" t="s">
        <v>1798</v>
      </c>
      <c r="I720" s="970" t="s">
        <v>2147</v>
      </c>
      <c r="J720" s="965" t="e">
        <f t="shared" si="4"/>
        <v>#VALUE!</v>
      </c>
      <c r="K720" s="60" t="s">
        <v>1800</v>
      </c>
    </row>
    <row r="721" spans="1:11" ht="24" x14ac:dyDescent="0.2">
      <c r="A721" s="919" t="s">
        <v>1858</v>
      </c>
      <c r="B721" s="919" t="s">
        <v>1802</v>
      </c>
      <c r="C721" s="971" t="s">
        <v>2149</v>
      </c>
      <c r="D721" s="919">
        <v>1657</v>
      </c>
      <c r="E721" s="415"/>
      <c r="F721" s="968">
        <v>46910</v>
      </c>
      <c r="G721" s="969" t="s">
        <v>1822</v>
      </c>
      <c r="H721" s="963" t="s">
        <v>1798</v>
      </c>
      <c r="I721" s="970" t="s">
        <v>2147</v>
      </c>
      <c r="J721" s="965" t="e">
        <f t="shared" si="4"/>
        <v>#VALUE!</v>
      </c>
      <c r="K721" s="60" t="s">
        <v>1800</v>
      </c>
    </row>
    <row r="722" spans="1:11" ht="24" x14ac:dyDescent="0.2">
      <c r="A722" s="919" t="s">
        <v>2150</v>
      </c>
      <c r="B722" s="917" t="s">
        <v>1796</v>
      </c>
      <c r="C722" s="917" t="s">
        <v>1238</v>
      </c>
      <c r="D722" s="919">
        <v>1659</v>
      </c>
      <c r="E722" s="415"/>
      <c r="F722" s="968">
        <v>29000.1</v>
      </c>
      <c r="G722" s="969" t="s">
        <v>1804</v>
      </c>
      <c r="H722" s="963" t="s">
        <v>1798</v>
      </c>
      <c r="I722" s="970" t="s">
        <v>2147</v>
      </c>
      <c r="J722" s="965" t="e">
        <f t="shared" si="4"/>
        <v>#VALUE!</v>
      </c>
      <c r="K722" s="60" t="s">
        <v>1800</v>
      </c>
    </row>
    <row r="723" spans="1:11" ht="24" x14ac:dyDescent="0.2">
      <c r="A723" s="919" t="s">
        <v>1801</v>
      </c>
      <c r="B723" s="917" t="s">
        <v>1796</v>
      </c>
      <c r="C723" s="917" t="s">
        <v>1238</v>
      </c>
      <c r="D723" s="919">
        <v>1660</v>
      </c>
      <c r="E723" s="415"/>
      <c r="F723" s="968">
        <v>24918.28</v>
      </c>
      <c r="G723" s="969" t="s">
        <v>1804</v>
      </c>
      <c r="H723" s="963" t="s">
        <v>1798</v>
      </c>
      <c r="I723" s="970" t="s">
        <v>2147</v>
      </c>
      <c r="J723" s="965" t="e">
        <f t="shared" si="4"/>
        <v>#VALUE!</v>
      </c>
      <c r="K723" s="60" t="s">
        <v>1800</v>
      </c>
    </row>
    <row r="724" spans="1:11" ht="24" x14ac:dyDescent="0.2">
      <c r="A724" s="919" t="s">
        <v>1971</v>
      </c>
      <c r="B724" s="917" t="s">
        <v>1796</v>
      </c>
      <c r="C724" s="917" t="s">
        <v>1238</v>
      </c>
      <c r="D724" s="919">
        <v>1661</v>
      </c>
      <c r="E724" s="415"/>
      <c r="F724" s="968">
        <v>13800</v>
      </c>
      <c r="G724" s="969" t="s">
        <v>2151</v>
      </c>
      <c r="H724" s="963" t="s">
        <v>1798</v>
      </c>
      <c r="I724" s="970" t="s">
        <v>2147</v>
      </c>
      <c r="J724" s="965" t="e">
        <f t="shared" si="4"/>
        <v>#VALUE!</v>
      </c>
      <c r="K724" s="60" t="s">
        <v>1800</v>
      </c>
    </row>
    <row r="725" spans="1:11" ht="24" x14ac:dyDescent="0.2">
      <c r="A725" s="919" t="s">
        <v>1801</v>
      </c>
      <c r="B725" s="917" t="s">
        <v>1796</v>
      </c>
      <c r="C725" s="917" t="s">
        <v>1238</v>
      </c>
      <c r="D725" s="919">
        <v>1665</v>
      </c>
      <c r="E725" s="415"/>
      <c r="F725" s="968">
        <v>21087.09</v>
      </c>
      <c r="G725" s="969" t="s">
        <v>1807</v>
      </c>
      <c r="H725" s="963" t="s">
        <v>1798</v>
      </c>
      <c r="I725" s="970" t="s">
        <v>2152</v>
      </c>
      <c r="J725" s="965" t="e">
        <f t="shared" si="4"/>
        <v>#VALUE!</v>
      </c>
      <c r="K725" s="60" t="s">
        <v>1800</v>
      </c>
    </row>
    <row r="726" spans="1:11" ht="24" x14ac:dyDescent="0.2">
      <c r="A726" s="919" t="s">
        <v>2153</v>
      </c>
      <c r="B726" s="919" t="s">
        <v>1879</v>
      </c>
      <c r="C726" s="971" t="s">
        <v>2154</v>
      </c>
      <c r="D726" s="919">
        <v>3444</v>
      </c>
      <c r="E726" s="415"/>
      <c r="F726" s="968">
        <v>216000</v>
      </c>
      <c r="G726" s="969" t="s">
        <v>2155</v>
      </c>
      <c r="H726" s="963" t="s">
        <v>1798</v>
      </c>
      <c r="I726" s="970" t="s">
        <v>1317</v>
      </c>
      <c r="J726" s="965">
        <f t="shared" si="4"/>
        <v>43857</v>
      </c>
      <c r="K726" s="60" t="s">
        <v>1800</v>
      </c>
    </row>
    <row r="727" spans="1:11" ht="24" x14ac:dyDescent="0.2">
      <c r="A727" s="919" t="s">
        <v>2106</v>
      </c>
      <c r="B727" s="917" t="s">
        <v>1796</v>
      </c>
      <c r="C727" s="917" t="s">
        <v>1238</v>
      </c>
      <c r="D727" s="919">
        <v>4252</v>
      </c>
      <c r="E727" s="415"/>
      <c r="F727" s="968">
        <v>21016.2</v>
      </c>
      <c r="G727" s="969" t="s">
        <v>1797</v>
      </c>
      <c r="H727" s="963" t="s">
        <v>1798</v>
      </c>
      <c r="I727" s="970" t="s">
        <v>2156</v>
      </c>
      <c r="J727" s="965"/>
      <c r="K727" s="60" t="s">
        <v>1800</v>
      </c>
    </row>
    <row r="728" spans="1:11" ht="24" x14ac:dyDescent="0.2">
      <c r="A728" s="919" t="s">
        <v>2157</v>
      </c>
      <c r="B728" s="919" t="s">
        <v>1879</v>
      </c>
      <c r="C728" s="971" t="s">
        <v>2158</v>
      </c>
      <c r="D728" s="919">
        <v>4604</v>
      </c>
      <c r="E728" s="415"/>
      <c r="F728" s="968">
        <v>169000</v>
      </c>
      <c r="G728" s="969" t="s">
        <v>1933</v>
      </c>
      <c r="H728" s="963" t="s">
        <v>1798</v>
      </c>
      <c r="I728" s="970" t="s">
        <v>2147</v>
      </c>
      <c r="J728" s="965" t="e">
        <f t="shared" si="4"/>
        <v>#VALUE!</v>
      </c>
      <c r="K728" s="60" t="s">
        <v>1800</v>
      </c>
    </row>
    <row r="729" spans="1:11" ht="24" x14ac:dyDescent="0.2">
      <c r="A729" s="919" t="s">
        <v>2159</v>
      </c>
      <c r="B729" s="917" t="s">
        <v>1796</v>
      </c>
      <c r="C729" s="917" t="s">
        <v>1238</v>
      </c>
      <c r="D729" s="919">
        <v>4637</v>
      </c>
      <c r="E729" s="415"/>
      <c r="F729" s="968">
        <v>11127.4</v>
      </c>
      <c r="G729" s="969" t="s">
        <v>2160</v>
      </c>
      <c r="H729" s="963" t="s">
        <v>1798</v>
      </c>
      <c r="I729" s="970" t="s">
        <v>2152</v>
      </c>
      <c r="J729" s="965"/>
      <c r="K729" s="60" t="s">
        <v>1800</v>
      </c>
    </row>
    <row r="730" spans="1:11" ht="24" x14ac:dyDescent="0.2">
      <c r="A730" s="917" t="s">
        <v>2069</v>
      </c>
      <c r="B730" s="917" t="s">
        <v>1796</v>
      </c>
      <c r="C730" s="917" t="s">
        <v>1238</v>
      </c>
      <c r="D730" s="917">
        <v>76</v>
      </c>
      <c r="E730" s="415"/>
      <c r="F730" s="961">
        <v>27551</v>
      </c>
      <c r="G730" s="962" t="s">
        <v>1797</v>
      </c>
      <c r="H730" s="963" t="s">
        <v>1798</v>
      </c>
      <c r="I730" s="964" t="s">
        <v>2161</v>
      </c>
      <c r="J730" s="965"/>
      <c r="K730" s="60" t="s">
        <v>1800</v>
      </c>
    </row>
    <row r="731" spans="1:11" ht="24" x14ac:dyDescent="0.2">
      <c r="A731" s="917" t="s">
        <v>1795</v>
      </c>
      <c r="B731" s="917" t="s">
        <v>1796</v>
      </c>
      <c r="C731" s="917" t="s">
        <v>1238</v>
      </c>
      <c r="D731" s="917">
        <v>77</v>
      </c>
      <c r="E731" s="415"/>
      <c r="F731" s="961">
        <v>16008.41</v>
      </c>
      <c r="G731" s="962" t="s">
        <v>1797</v>
      </c>
      <c r="H731" s="963" t="s">
        <v>1798</v>
      </c>
      <c r="I731" s="964" t="s">
        <v>2161</v>
      </c>
      <c r="J731" s="965"/>
      <c r="K731" s="60" t="s">
        <v>1800</v>
      </c>
    </row>
    <row r="732" spans="1:11" ht="24" x14ac:dyDescent="0.2">
      <c r="A732" s="917" t="s">
        <v>1795</v>
      </c>
      <c r="B732" s="917" t="s">
        <v>1796</v>
      </c>
      <c r="C732" s="917" t="s">
        <v>1238</v>
      </c>
      <c r="D732" s="917">
        <v>78</v>
      </c>
      <c r="E732" s="415"/>
      <c r="F732" s="961">
        <v>11470.4</v>
      </c>
      <c r="G732" s="962" t="s">
        <v>1797</v>
      </c>
      <c r="H732" s="963" t="s">
        <v>1798</v>
      </c>
      <c r="I732" s="964" t="s">
        <v>2161</v>
      </c>
      <c r="J732" s="965"/>
      <c r="K732" s="60" t="s">
        <v>1800</v>
      </c>
    </row>
    <row r="733" spans="1:11" ht="24" x14ac:dyDescent="0.2">
      <c r="A733" s="918" t="s">
        <v>2106</v>
      </c>
      <c r="B733" s="917" t="s">
        <v>1796</v>
      </c>
      <c r="C733" s="917" t="s">
        <v>1238</v>
      </c>
      <c r="D733" s="918">
        <v>172</v>
      </c>
      <c r="E733" s="415"/>
      <c r="F733" s="966">
        <v>26754.2</v>
      </c>
      <c r="G733" s="967" t="s">
        <v>1797</v>
      </c>
      <c r="H733" s="963" t="s">
        <v>1798</v>
      </c>
      <c r="I733" s="964" t="s">
        <v>2162</v>
      </c>
      <c r="J733" s="965"/>
      <c r="K733" s="60" t="s">
        <v>1800</v>
      </c>
    </row>
    <row r="734" spans="1:11" ht="24" x14ac:dyDescent="0.2">
      <c r="A734" s="918" t="s">
        <v>2107</v>
      </c>
      <c r="B734" s="917" t="s">
        <v>1796</v>
      </c>
      <c r="C734" s="917" t="s">
        <v>1238</v>
      </c>
      <c r="D734" s="918">
        <v>173</v>
      </c>
      <c r="E734" s="415"/>
      <c r="F734" s="966">
        <v>15362.6</v>
      </c>
      <c r="G734" s="967" t="s">
        <v>1797</v>
      </c>
      <c r="H734" s="963" t="s">
        <v>1798</v>
      </c>
      <c r="I734" s="964" t="s">
        <v>2162</v>
      </c>
      <c r="J734" s="965"/>
      <c r="K734" s="60" t="s">
        <v>1800</v>
      </c>
    </row>
    <row r="735" spans="1:11" ht="24" x14ac:dyDescent="0.2">
      <c r="A735" s="918" t="s">
        <v>2108</v>
      </c>
      <c r="B735" s="917" t="s">
        <v>1796</v>
      </c>
      <c r="C735" s="917" t="s">
        <v>1238</v>
      </c>
      <c r="D735" s="918">
        <v>174</v>
      </c>
      <c r="E735" s="415"/>
      <c r="F735" s="966">
        <v>12845.6</v>
      </c>
      <c r="G735" s="967" t="s">
        <v>1797</v>
      </c>
      <c r="H735" s="963" t="s">
        <v>1798</v>
      </c>
      <c r="I735" s="964" t="s">
        <v>2162</v>
      </c>
      <c r="J735" s="965"/>
      <c r="K735" s="60" t="s">
        <v>1800</v>
      </c>
    </row>
    <row r="736" spans="1:11" ht="24" x14ac:dyDescent="0.2">
      <c r="A736" s="918" t="s">
        <v>2163</v>
      </c>
      <c r="B736" s="917" t="s">
        <v>1796</v>
      </c>
      <c r="C736" s="917" t="s">
        <v>1238</v>
      </c>
      <c r="D736" s="918">
        <v>23</v>
      </c>
      <c r="E736" s="415"/>
      <c r="F736" s="966">
        <v>17060.5</v>
      </c>
      <c r="G736" s="967" t="s">
        <v>1913</v>
      </c>
      <c r="H736" s="963" t="s">
        <v>1798</v>
      </c>
      <c r="I736" s="964" t="s">
        <v>2164</v>
      </c>
      <c r="J736" s="965">
        <f t="shared" ref="J736:J792" si="5">I736+3</f>
        <v>44233</v>
      </c>
      <c r="K736" s="60" t="s">
        <v>1800</v>
      </c>
    </row>
    <row r="737" spans="1:11" ht="24" x14ac:dyDescent="0.2">
      <c r="A737" s="918" t="s">
        <v>2163</v>
      </c>
      <c r="B737" s="917" t="s">
        <v>1796</v>
      </c>
      <c r="C737" s="917" t="s">
        <v>1238</v>
      </c>
      <c r="D737" s="918">
        <v>25</v>
      </c>
      <c r="E737" s="415"/>
      <c r="F737" s="966">
        <v>10632.4</v>
      </c>
      <c r="G737" s="967" t="s">
        <v>1913</v>
      </c>
      <c r="H737" s="963" t="s">
        <v>1798</v>
      </c>
      <c r="I737" s="964" t="s">
        <v>2164</v>
      </c>
      <c r="J737" s="965">
        <f t="shared" si="5"/>
        <v>44233</v>
      </c>
      <c r="K737" s="60" t="s">
        <v>1800</v>
      </c>
    </row>
    <row r="738" spans="1:11" ht="24" x14ac:dyDescent="0.2">
      <c r="A738" s="918" t="s">
        <v>2163</v>
      </c>
      <c r="B738" s="917" t="s">
        <v>1796</v>
      </c>
      <c r="C738" s="917" t="s">
        <v>1238</v>
      </c>
      <c r="D738" s="918">
        <v>27</v>
      </c>
      <c r="E738" s="415"/>
      <c r="F738" s="966">
        <v>18610</v>
      </c>
      <c r="G738" s="967" t="s">
        <v>1913</v>
      </c>
      <c r="H738" s="963" t="s">
        <v>1798</v>
      </c>
      <c r="I738" s="964" t="s">
        <v>2164</v>
      </c>
      <c r="J738" s="965">
        <f t="shared" si="5"/>
        <v>44233</v>
      </c>
      <c r="K738" s="60" t="s">
        <v>1800</v>
      </c>
    </row>
    <row r="739" spans="1:11" ht="24" x14ac:dyDescent="0.2">
      <c r="A739" s="972" t="s">
        <v>2165</v>
      </c>
      <c r="B739" s="917" t="s">
        <v>1796</v>
      </c>
      <c r="C739" s="917" t="s">
        <v>1238</v>
      </c>
      <c r="D739" s="918">
        <v>39</v>
      </c>
      <c r="E739" s="415"/>
      <c r="F739" s="966">
        <v>30700</v>
      </c>
      <c r="G739" s="967" t="s">
        <v>2166</v>
      </c>
      <c r="H739" s="963" t="s">
        <v>1798</v>
      </c>
      <c r="I739" s="964" t="s">
        <v>2167</v>
      </c>
      <c r="J739" s="965">
        <f t="shared" si="5"/>
        <v>44536</v>
      </c>
      <c r="K739" s="60" t="s">
        <v>1800</v>
      </c>
    </row>
    <row r="740" spans="1:11" ht="24" x14ac:dyDescent="0.2">
      <c r="A740" s="972" t="s">
        <v>2165</v>
      </c>
      <c r="B740" s="917" t="s">
        <v>1796</v>
      </c>
      <c r="C740" s="917" t="s">
        <v>1238</v>
      </c>
      <c r="D740" s="918">
        <v>40</v>
      </c>
      <c r="E740" s="415"/>
      <c r="F740" s="966">
        <v>28200</v>
      </c>
      <c r="G740" s="967" t="s">
        <v>2168</v>
      </c>
      <c r="H740" s="963" t="s">
        <v>1798</v>
      </c>
      <c r="I740" s="964" t="s">
        <v>2167</v>
      </c>
      <c r="J740" s="965">
        <f t="shared" si="5"/>
        <v>44536</v>
      </c>
      <c r="K740" s="60" t="s">
        <v>1800</v>
      </c>
    </row>
    <row r="741" spans="1:11" ht="24" x14ac:dyDescent="0.2">
      <c r="A741" s="972" t="s">
        <v>2169</v>
      </c>
      <c r="B741" s="917" t="s">
        <v>1796</v>
      </c>
      <c r="C741" s="917" t="s">
        <v>1238</v>
      </c>
      <c r="D741" s="918">
        <v>41</v>
      </c>
      <c r="E741" s="415"/>
      <c r="F741" s="966">
        <v>24900</v>
      </c>
      <c r="G741" s="967" t="s">
        <v>2170</v>
      </c>
      <c r="H741" s="963" t="s">
        <v>1798</v>
      </c>
      <c r="I741" s="964" t="s">
        <v>2167</v>
      </c>
      <c r="J741" s="965">
        <f t="shared" si="5"/>
        <v>44536</v>
      </c>
      <c r="K741" s="60" t="s">
        <v>1800</v>
      </c>
    </row>
    <row r="742" spans="1:11" ht="24" x14ac:dyDescent="0.2">
      <c r="A742" s="972" t="s">
        <v>2165</v>
      </c>
      <c r="B742" s="917" t="s">
        <v>1796</v>
      </c>
      <c r="C742" s="917" t="s">
        <v>1238</v>
      </c>
      <c r="D742" s="918">
        <v>47</v>
      </c>
      <c r="E742" s="415"/>
      <c r="F742" s="966">
        <v>18289</v>
      </c>
      <c r="G742" s="967" t="s">
        <v>2166</v>
      </c>
      <c r="H742" s="973" t="s">
        <v>1661</v>
      </c>
      <c r="I742" s="964" t="s">
        <v>2167</v>
      </c>
      <c r="J742" s="965">
        <f t="shared" si="5"/>
        <v>44536</v>
      </c>
      <c r="K742" s="60" t="s">
        <v>1800</v>
      </c>
    </row>
    <row r="743" spans="1:11" ht="24" x14ac:dyDescent="0.2">
      <c r="A743" s="918" t="s">
        <v>2171</v>
      </c>
      <c r="B743" s="917" t="s">
        <v>1796</v>
      </c>
      <c r="C743" s="917" t="s">
        <v>1238</v>
      </c>
      <c r="D743" s="918">
        <v>58</v>
      </c>
      <c r="E743" s="415"/>
      <c r="F743" s="966">
        <v>19620</v>
      </c>
      <c r="G743" s="967" t="s">
        <v>2151</v>
      </c>
      <c r="H743" s="973" t="s">
        <v>1798</v>
      </c>
      <c r="I743" s="964" t="s">
        <v>2172</v>
      </c>
      <c r="J743" s="965" t="e">
        <f t="shared" si="5"/>
        <v>#VALUE!</v>
      </c>
      <c r="K743" s="60" t="s">
        <v>1800</v>
      </c>
    </row>
    <row r="744" spans="1:11" ht="24" x14ac:dyDescent="0.2">
      <c r="A744" s="918" t="s">
        <v>1801</v>
      </c>
      <c r="B744" s="918" t="s">
        <v>1879</v>
      </c>
      <c r="C744" s="918" t="s">
        <v>2173</v>
      </c>
      <c r="D744" s="918">
        <v>85</v>
      </c>
      <c r="E744" s="415"/>
      <c r="F744" s="966">
        <v>77485.05</v>
      </c>
      <c r="G744" s="967" t="s">
        <v>2138</v>
      </c>
      <c r="H744" s="973" t="s">
        <v>1798</v>
      </c>
      <c r="I744" s="964" t="s">
        <v>2174</v>
      </c>
      <c r="J744" s="965" t="e">
        <f t="shared" si="5"/>
        <v>#VALUE!</v>
      </c>
      <c r="K744" s="60" t="s">
        <v>1800</v>
      </c>
    </row>
    <row r="745" spans="1:11" ht="24" x14ac:dyDescent="0.2">
      <c r="A745" s="918" t="s">
        <v>1801</v>
      </c>
      <c r="B745" s="918" t="s">
        <v>1879</v>
      </c>
      <c r="C745" s="918" t="s">
        <v>2173</v>
      </c>
      <c r="D745" s="918">
        <v>86</v>
      </c>
      <c r="E745" s="415"/>
      <c r="F745" s="966">
        <v>122924.95</v>
      </c>
      <c r="G745" s="967" t="s">
        <v>2138</v>
      </c>
      <c r="H745" s="973" t="s">
        <v>1798</v>
      </c>
      <c r="I745" s="964" t="s">
        <v>2174</v>
      </c>
      <c r="J745" s="965" t="e">
        <f t="shared" si="5"/>
        <v>#VALUE!</v>
      </c>
      <c r="K745" s="60" t="s">
        <v>1800</v>
      </c>
    </row>
    <row r="746" spans="1:11" ht="24" x14ac:dyDescent="0.2">
      <c r="A746" s="972" t="s">
        <v>1808</v>
      </c>
      <c r="B746" s="918" t="s">
        <v>1809</v>
      </c>
      <c r="C746" s="917" t="s">
        <v>1238</v>
      </c>
      <c r="D746" s="918">
        <v>99</v>
      </c>
      <c r="E746" s="415"/>
      <c r="F746" s="966">
        <v>12930</v>
      </c>
      <c r="G746" s="967" t="s">
        <v>2175</v>
      </c>
      <c r="H746" s="973" t="s">
        <v>1798</v>
      </c>
      <c r="I746" s="964" t="s">
        <v>2176</v>
      </c>
      <c r="J746" s="965" t="e">
        <f t="shared" si="5"/>
        <v>#VALUE!</v>
      </c>
      <c r="K746" s="60" t="s">
        <v>1800</v>
      </c>
    </row>
    <row r="747" spans="1:11" ht="24" x14ac:dyDescent="0.2">
      <c r="A747" s="972" t="s">
        <v>1846</v>
      </c>
      <c r="B747" s="918" t="s">
        <v>1809</v>
      </c>
      <c r="C747" s="917" t="s">
        <v>1238</v>
      </c>
      <c r="D747" s="918">
        <v>107</v>
      </c>
      <c r="E747" s="415"/>
      <c r="F747" s="966">
        <v>14260</v>
      </c>
      <c r="G747" s="967" t="s">
        <v>2175</v>
      </c>
      <c r="H747" s="973" t="s">
        <v>1798</v>
      </c>
      <c r="I747" s="964" t="s">
        <v>2176</v>
      </c>
      <c r="J747" s="965" t="e">
        <f t="shared" si="5"/>
        <v>#VALUE!</v>
      </c>
      <c r="K747" s="60" t="s">
        <v>1800</v>
      </c>
    </row>
    <row r="748" spans="1:11" ht="24" x14ac:dyDescent="0.2">
      <c r="A748" s="972" t="s">
        <v>2177</v>
      </c>
      <c r="B748" s="917" t="s">
        <v>1796</v>
      </c>
      <c r="C748" s="917" t="s">
        <v>1238</v>
      </c>
      <c r="D748" s="918">
        <v>381</v>
      </c>
      <c r="E748" s="415"/>
      <c r="F748" s="966">
        <v>30000</v>
      </c>
      <c r="G748" s="967" t="s">
        <v>1838</v>
      </c>
      <c r="H748" s="973" t="s">
        <v>1798</v>
      </c>
      <c r="I748" s="964" t="s">
        <v>2167</v>
      </c>
      <c r="J748" s="965">
        <f t="shared" si="5"/>
        <v>44536</v>
      </c>
      <c r="K748" s="60" t="s">
        <v>1800</v>
      </c>
    </row>
    <row r="749" spans="1:11" ht="24" x14ac:dyDescent="0.2">
      <c r="A749" s="918" t="s">
        <v>2178</v>
      </c>
      <c r="B749" s="917" t="s">
        <v>1796</v>
      </c>
      <c r="C749" s="917" t="s">
        <v>1238</v>
      </c>
      <c r="D749" s="918">
        <v>417</v>
      </c>
      <c r="E749" s="415"/>
      <c r="F749" s="966">
        <v>11101.5</v>
      </c>
      <c r="G749" s="967" t="s">
        <v>2179</v>
      </c>
      <c r="H749" s="973" t="s">
        <v>1798</v>
      </c>
      <c r="I749" s="964" t="s">
        <v>2180</v>
      </c>
      <c r="J749" s="965" t="e">
        <f t="shared" si="5"/>
        <v>#VALUE!</v>
      </c>
      <c r="K749" s="60" t="s">
        <v>1800</v>
      </c>
    </row>
    <row r="750" spans="1:11" ht="24" x14ac:dyDescent="0.2">
      <c r="A750" s="917" t="s">
        <v>1801</v>
      </c>
      <c r="B750" s="917" t="s">
        <v>1802</v>
      </c>
      <c r="C750" s="917" t="s">
        <v>2077</v>
      </c>
      <c r="D750" s="917">
        <v>124</v>
      </c>
      <c r="E750" s="415"/>
      <c r="F750" s="961">
        <v>10523.87</v>
      </c>
      <c r="G750" s="962" t="s">
        <v>1807</v>
      </c>
      <c r="H750" s="973" t="s">
        <v>1798</v>
      </c>
      <c r="I750" s="964" t="s">
        <v>2181</v>
      </c>
      <c r="J750" s="965">
        <f t="shared" si="5"/>
        <v>44323</v>
      </c>
      <c r="K750" s="60" t="s">
        <v>1800</v>
      </c>
    </row>
    <row r="751" spans="1:11" ht="24" x14ac:dyDescent="0.2">
      <c r="A751" s="917" t="s">
        <v>2182</v>
      </c>
      <c r="B751" s="917" t="s">
        <v>1802</v>
      </c>
      <c r="C751" s="917" t="s">
        <v>2077</v>
      </c>
      <c r="D751" s="917">
        <v>125</v>
      </c>
      <c r="E751" s="415"/>
      <c r="F751" s="961">
        <v>10523.87</v>
      </c>
      <c r="G751" s="962" t="s">
        <v>1807</v>
      </c>
      <c r="H751" s="973" t="s">
        <v>1798</v>
      </c>
      <c r="I751" s="964" t="s">
        <v>2181</v>
      </c>
      <c r="J751" s="965">
        <f t="shared" si="5"/>
        <v>44323</v>
      </c>
      <c r="K751" s="60" t="s">
        <v>1800</v>
      </c>
    </row>
    <row r="752" spans="1:11" ht="24" x14ac:dyDescent="0.2">
      <c r="A752" s="917" t="s">
        <v>1801</v>
      </c>
      <c r="B752" s="917" t="s">
        <v>1802</v>
      </c>
      <c r="C752" s="917" t="s">
        <v>2077</v>
      </c>
      <c r="D752" s="917">
        <v>133</v>
      </c>
      <c r="E752" s="415"/>
      <c r="F752" s="961">
        <v>13139.99</v>
      </c>
      <c r="G752" s="962" t="s">
        <v>2183</v>
      </c>
      <c r="H752" s="973" t="s">
        <v>1798</v>
      </c>
      <c r="I752" s="964" t="s">
        <v>2181</v>
      </c>
      <c r="J752" s="965">
        <f t="shared" si="5"/>
        <v>44323</v>
      </c>
      <c r="K752" s="60" t="s">
        <v>1800</v>
      </c>
    </row>
    <row r="753" spans="1:11" ht="24" x14ac:dyDescent="0.2">
      <c r="A753" s="917" t="s">
        <v>2062</v>
      </c>
      <c r="B753" s="917" t="s">
        <v>1809</v>
      </c>
      <c r="C753" s="917" t="s">
        <v>1238</v>
      </c>
      <c r="D753" s="917">
        <v>170</v>
      </c>
      <c r="E753" s="415"/>
      <c r="F753" s="961">
        <v>14560</v>
      </c>
      <c r="G753" s="962" t="s">
        <v>2175</v>
      </c>
      <c r="H753" s="973" t="s">
        <v>1798</v>
      </c>
      <c r="I753" s="964" t="s">
        <v>2184</v>
      </c>
      <c r="J753" s="965">
        <f t="shared" si="5"/>
        <v>44354</v>
      </c>
      <c r="K753" s="60" t="s">
        <v>1800</v>
      </c>
    </row>
    <row r="754" spans="1:11" ht="24" x14ac:dyDescent="0.2">
      <c r="A754" s="917" t="s">
        <v>2062</v>
      </c>
      <c r="B754" s="917" t="s">
        <v>1809</v>
      </c>
      <c r="C754" s="917" t="s">
        <v>1238</v>
      </c>
      <c r="D754" s="917">
        <v>171</v>
      </c>
      <c r="E754" s="415"/>
      <c r="F754" s="961">
        <v>20400</v>
      </c>
      <c r="G754" s="962" t="s">
        <v>2175</v>
      </c>
      <c r="H754" s="973" t="s">
        <v>1798</v>
      </c>
      <c r="I754" s="964" t="s">
        <v>2184</v>
      </c>
      <c r="J754" s="965">
        <f t="shared" si="5"/>
        <v>44354</v>
      </c>
      <c r="K754" s="60" t="s">
        <v>1800</v>
      </c>
    </row>
    <row r="755" spans="1:11" ht="24" x14ac:dyDescent="0.2">
      <c r="A755" s="917" t="s">
        <v>2185</v>
      </c>
      <c r="B755" s="917" t="s">
        <v>1796</v>
      </c>
      <c r="C755" s="917" t="s">
        <v>1238</v>
      </c>
      <c r="D755" s="917">
        <v>174</v>
      </c>
      <c r="E755" s="415"/>
      <c r="F755" s="961">
        <v>33330</v>
      </c>
      <c r="G755" s="962" t="s">
        <v>2123</v>
      </c>
      <c r="H755" s="973" t="s">
        <v>1798</v>
      </c>
      <c r="I755" s="964" t="s">
        <v>2184</v>
      </c>
      <c r="J755" s="965">
        <f t="shared" si="5"/>
        <v>44354</v>
      </c>
      <c r="K755" s="60" t="s">
        <v>1800</v>
      </c>
    </row>
    <row r="756" spans="1:11" ht="24" x14ac:dyDescent="0.2">
      <c r="A756" s="917" t="s">
        <v>2186</v>
      </c>
      <c r="B756" s="917" t="s">
        <v>1796</v>
      </c>
      <c r="C756" s="917" t="s">
        <v>1238</v>
      </c>
      <c r="D756" s="917">
        <v>175</v>
      </c>
      <c r="E756" s="415"/>
      <c r="F756" s="961">
        <v>33330</v>
      </c>
      <c r="G756" s="962" t="s">
        <v>2123</v>
      </c>
      <c r="H756" s="973" t="s">
        <v>1798</v>
      </c>
      <c r="I756" s="964" t="s">
        <v>2184</v>
      </c>
      <c r="J756" s="965">
        <f t="shared" si="5"/>
        <v>44354</v>
      </c>
      <c r="K756" s="60" t="s">
        <v>1800</v>
      </c>
    </row>
    <row r="757" spans="1:11" ht="24" x14ac:dyDescent="0.2">
      <c r="A757" s="917" t="s">
        <v>2186</v>
      </c>
      <c r="B757" s="917" t="s">
        <v>1796</v>
      </c>
      <c r="C757" s="917" t="s">
        <v>1238</v>
      </c>
      <c r="D757" s="917">
        <v>176</v>
      </c>
      <c r="E757" s="415"/>
      <c r="F757" s="961">
        <v>33330</v>
      </c>
      <c r="G757" s="962" t="s">
        <v>2123</v>
      </c>
      <c r="H757" s="973" t="s">
        <v>1798</v>
      </c>
      <c r="I757" s="964" t="s">
        <v>2184</v>
      </c>
      <c r="J757" s="965">
        <f t="shared" si="5"/>
        <v>44354</v>
      </c>
      <c r="K757" s="60" t="s">
        <v>1800</v>
      </c>
    </row>
    <row r="758" spans="1:11" ht="24" x14ac:dyDescent="0.2">
      <c r="A758" s="917" t="s">
        <v>2187</v>
      </c>
      <c r="B758" s="917" t="s">
        <v>1796</v>
      </c>
      <c r="C758" s="917" t="s">
        <v>1238</v>
      </c>
      <c r="D758" s="917">
        <v>189</v>
      </c>
      <c r="E758" s="415"/>
      <c r="F758" s="961">
        <v>16635</v>
      </c>
      <c r="G758" s="962" t="s">
        <v>2188</v>
      </c>
      <c r="H758" s="973" t="s">
        <v>1798</v>
      </c>
      <c r="I758" s="964" t="s">
        <v>1362</v>
      </c>
      <c r="J758" s="965">
        <f t="shared" si="5"/>
        <v>44446</v>
      </c>
      <c r="K758" s="60" t="s">
        <v>1800</v>
      </c>
    </row>
    <row r="759" spans="1:11" ht="24" x14ac:dyDescent="0.2">
      <c r="A759" s="917" t="s">
        <v>1858</v>
      </c>
      <c r="B759" s="917" t="s">
        <v>1802</v>
      </c>
      <c r="C759" s="917" t="s">
        <v>2189</v>
      </c>
      <c r="D759" s="917">
        <v>191</v>
      </c>
      <c r="E759" s="415"/>
      <c r="F759" s="961">
        <v>15150</v>
      </c>
      <c r="G759" s="962" t="s">
        <v>1807</v>
      </c>
      <c r="H759" s="973" t="s">
        <v>1798</v>
      </c>
      <c r="I759" s="964" t="s">
        <v>1362</v>
      </c>
      <c r="J759" s="965">
        <f t="shared" si="5"/>
        <v>44446</v>
      </c>
      <c r="K759" s="60" t="s">
        <v>1800</v>
      </c>
    </row>
    <row r="760" spans="1:11" ht="24" x14ac:dyDescent="0.2">
      <c r="A760" s="917" t="s">
        <v>1858</v>
      </c>
      <c r="B760" s="917" t="s">
        <v>1802</v>
      </c>
      <c r="C760" s="917" t="s">
        <v>2189</v>
      </c>
      <c r="D760" s="917">
        <v>193</v>
      </c>
      <c r="E760" s="415"/>
      <c r="F760" s="961">
        <v>17740</v>
      </c>
      <c r="G760" s="962" t="s">
        <v>1807</v>
      </c>
      <c r="H760" s="973" t="s">
        <v>1798</v>
      </c>
      <c r="I760" s="964" t="s">
        <v>1362</v>
      </c>
      <c r="J760" s="965">
        <f t="shared" si="5"/>
        <v>44446</v>
      </c>
      <c r="K760" s="60" t="s">
        <v>1800</v>
      </c>
    </row>
    <row r="761" spans="1:11" ht="24" x14ac:dyDescent="0.2">
      <c r="A761" s="917" t="s">
        <v>2187</v>
      </c>
      <c r="B761" s="917" t="s">
        <v>1796</v>
      </c>
      <c r="C761" s="917" t="s">
        <v>1238</v>
      </c>
      <c r="D761" s="917">
        <v>203</v>
      </c>
      <c r="E761" s="415"/>
      <c r="F761" s="961">
        <v>11090</v>
      </c>
      <c r="G761" s="962" t="s">
        <v>2166</v>
      </c>
      <c r="H761" s="973" t="s">
        <v>1798</v>
      </c>
      <c r="I761" s="964" t="s">
        <v>1362</v>
      </c>
      <c r="J761" s="965">
        <f t="shared" si="5"/>
        <v>44446</v>
      </c>
      <c r="K761" s="60" t="s">
        <v>1800</v>
      </c>
    </row>
    <row r="762" spans="1:11" ht="24" x14ac:dyDescent="0.2">
      <c r="A762" s="917" t="s">
        <v>2062</v>
      </c>
      <c r="B762" s="917" t="s">
        <v>1796</v>
      </c>
      <c r="C762" s="917" t="s">
        <v>1238</v>
      </c>
      <c r="D762" s="917">
        <v>204</v>
      </c>
      <c r="E762" s="415"/>
      <c r="F762" s="961">
        <v>30336</v>
      </c>
      <c r="G762" s="962" t="s">
        <v>2166</v>
      </c>
      <c r="H762" s="963" t="s">
        <v>1661</v>
      </c>
      <c r="I762" s="964" t="s">
        <v>1362</v>
      </c>
      <c r="J762" s="965">
        <f t="shared" si="5"/>
        <v>44446</v>
      </c>
      <c r="K762" s="60" t="s">
        <v>1800</v>
      </c>
    </row>
    <row r="763" spans="1:11" ht="24" x14ac:dyDescent="0.2">
      <c r="A763" s="917" t="s">
        <v>1801</v>
      </c>
      <c r="B763" s="917" t="s">
        <v>1802</v>
      </c>
      <c r="C763" s="917" t="s">
        <v>2077</v>
      </c>
      <c r="D763" s="917">
        <v>226</v>
      </c>
      <c r="E763" s="415"/>
      <c r="F763" s="961">
        <v>18215.2</v>
      </c>
      <c r="G763" s="962" t="s">
        <v>1807</v>
      </c>
      <c r="H763" s="963" t="s">
        <v>1798</v>
      </c>
      <c r="I763" s="964" t="s">
        <v>1362</v>
      </c>
      <c r="J763" s="965">
        <f t="shared" si="5"/>
        <v>44446</v>
      </c>
      <c r="K763" s="60" t="s">
        <v>1800</v>
      </c>
    </row>
    <row r="764" spans="1:11" ht="24" x14ac:dyDescent="0.2">
      <c r="A764" s="917" t="s">
        <v>1801</v>
      </c>
      <c r="B764" s="917" t="s">
        <v>1802</v>
      </c>
      <c r="C764" s="917" t="s">
        <v>2077</v>
      </c>
      <c r="D764" s="917">
        <v>227</v>
      </c>
      <c r="E764" s="415"/>
      <c r="F764" s="961">
        <v>15938.3</v>
      </c>
      <c r="G764" s="962" t="s">
        <v>1807</v>
      </c>
      <c r="H764" s="963" t="s">
        <v>1798</v>
      </c>
      <c r="I764" s="964" t="s">
        <v>1362</v>
      </c>
      <c r="J764" s="965">
        <f t="shared" si="5"/>
        <v>44446</v>
      </c>
      <c r="K764" s="60" t="s">
        <v>1800</v>
      </c>
    </row>
    <row r="765" spans="1:11" ht="24" x14ac:dyDescent="0.2">
      <c r="A765" s="917" t="s">
        <v>1801</v>
      </c>
      <c r="B765" s="917" t="s">
        <v>1802</v>
      </c>
      <c r="C765" s="917" t="s">
        <v>2077</v>
      </c>
      <c r="D765" s="917">
        <v>250</v>
      </c>
      <c r="E765" s="415"/>
      <c r="F765" s="961">
        <v>18170.32</v>
      </c>
      <c r="G765" s="962" t="s">
        <v>1804</v>
      </c>
      <c r="H765" s="963" t="s">
        <v>1798</v>
      </c>
      <c r="I765" s="964" t="s">
        <v>2190</v>
      </c>
      <c r="J765" s="965">
        <f t="shared" si="5"/>
        <v>44537</v>
      </c>
      <c r="K765" s="60" t="s">
        <v>1800</v>
      </c>
    </row>
    <row r="766" spans="1:11" ht="24" x14ac:dyDescent="0.2">
      <c r="A766" s="917" t="s">
        <v>1801</v>
      </c>
      <c r="B766" s="917" t="s">
        <v>1802</v>
      </c>
      <c r="C766" s="917" t="s">
        <v>2077</v>
      </c>
      <c r="D766" s="917">
        <v>266</v>
      </c>
      <c r="E766" s="415"/>
      <c r="F766" s="961">
        <v>15869.59</v>
      </c>
      <c r="G766" s="962" t="s">
        <v>1804</v>
      </c>
      <c r="H766" s="963" t="s">
        <v>1798</v>
      </c>
      <c r="I766" s="964" t="s">
        <v>2190</v>
      </c>
      <c r="J766" s="965">
        <f t="shared" si="5"/>
        <v>44537</v>
      </c>
      <c r="K766" s="60" t="s">
        <v>1800</v>
      </c>
    </row>
    <row r="767" spans="1:11" ht="24" x14ac:dyDescent="0.2">
      <c r="A767" s="917" t="s">
        <v>1858</v>
      </c>
      <c r="B767" s="917" t="s">
        <v>1802</v>
      </c>
      <c r="C767" s="917" t="s">
        <v>2189</v>
      </c>
      <c r="D767" s="917">
        <v>276</v>
      </c>
      <c r="E767" s="415"/>
      <c r="F767" s="961">
        <v>14470</v>
      </c>
      <c r="G767" s="962" t="s">
        <v>1965</v>
      </c>
      <c r="H767" s="963" t="s">
        <v>1798</v>
      </c>
      <c r="I767" s="964" t="s">
        <v>2190</v>
      </c>
      <c r="J767" s="965">
        <f t="shared" si="5"/>
        <v>44537</v>
      </c>
      <c r="K767" s="60" t="s">
        <v>1800</v>
      </c>
    </row>
    <row r="768" spans="1:11" ht="24" x14ac:dyDescent="0.2">
      <c r="A768" s="917" t="s">
        <v>1801</v>
      </c>
      <c r="B768" s="917" t="s">
        <v>1802</v>
      </c>
      <c r="C768" s="917" t="s">
        <v>2189</v>
      </c>
      <c r="D768" s="917">
        <v>277</v>
      </c>
      <c r="E768" s="415"/>
      <c r="F768" s="961">
        <v>14470</v>
      </c>
      <c r="G768" s="962" t="s">
        <v>1965</v>
      </c>
      <c r="H768" s="963" t="s">
        <v>1798</v>
      </c>
      <c r="I768" s="964" t="s">
        <v>2190</v>
      </c>
      <c r="J768" s="965">
        <f t="shared" si="5"/>
        <v>44537</v>
      </c>
      <c r="K768" s="60" t="s">
        <v>1800</v>
      </c>
    </row>
    <row r="769" spans="1:11" ht="24" x14ac:dyDescent="0.2">
      <c r="A769" s="917" t="s">
        <v>1858</v>
      </c>
      <c r="B769" s="917" t="s">
        <v>1802</v>
      </c>
      <c r="C769" s="917" t="s">
        <v>2189</v>
      </c>
      <c r="D769" s="917">
        <v>292</v>
      </c>
      <c r="E769" s="415"/>
      <c r="F769" s="961">
        <v>10000</v>
      </c>
      <c r="G769" s="962" t="s">
        <v>2191</v>
      </c>
      <c r="H769" s="963" t="s">
        <v>1798</v>
      </c>
      <c r="I769" s="964" t="s">
        <v>2192</v>
      </c>
      <c r="J769" s="965" t="e">
        <f t="shared" si="5"/>
        <v>#VALUE!</v>
      </c>
      <c r="K769" s="60" t="s">
        <v>1800</v>
      </c>
    </row>
    <row r="770" spans="1:11" ht="24" x14ac:dyDescent="0.2">
      <c r="A770" s="917" t="s">
        <v>2193</v>
      </c>
      <c r="B770" s="917" t="s">
        <v>1796</v>
      </c>
      <c r="C770" s="917" t="s">
        <v>1238</v>
      </c>
      <c r="D770" s="917">
        <v>306</v>
      </c>
      <c r="E770" s="415"/>
      <c r="F770" s="961">
        <v>35000</v>
      </c>
      <c r="G770" s="962" t="s">
        <v>1838</v>
      </c>
      <c r="H770" s="963" t="s">
        <v>1798</v>
      </c>
      <c r="I770" s="964" t="s">
        <v>2192</v>
      </c>
      <c r="J770" s="965" t="e">
        <f t="shared" si="5"/>
        <v>#VALUE!</v>
      </c>
      <c r="K770" s="60" t="s">
        <v>1800</v>
      </c>
    </row>
    <row r="771" spans="1:11" ht="24" x14ac:dyDescent="0.2">
      <c r="A771" s="917" t="s">
        <v>2194</v>
      </c>
      <c r="B771" s="917" t="s">
        <v>1796</v>
      </c>
      <c r="C771" s="917" t="s">
        <v>1238</v>
      </c>
      <c r="D771" s="917">
        <v>310</v>
      </c>
      <c r="E771" s="415"/>
      <c r="F771" s="961">
        <v>10000</v>
      </c>
      <c r="G771" s="962" t="s">
        <v>1975</v>
      </c>
      <c r="H771" s="963" t="s">
        <v>1798</v>
      </c>
      <c r="I771" s="964" t="s">
        <v>2192</v>
      </c>
      <c r="J771" s="965" t="e">
        <f t="shared" si="5"/>
        <v>#VALUE!</v>
      </c>
      <c r="K771" s="60" t="s">
        <v>1800</v>
      </c>
    </row>
    <row r="772" spans="1:11" ht="24" x14ac:dyDescent="0.2">
      <c r="A772" s="917" t="s">
        <v>1971</v>
      </c>
      <c r="B772" s="917" t="s">
        <v>1796</v>
      </c>
      <c r="C772" s="917" t="s">
        <v>1238</v>
      </c>
      <c r="D772" s="917">
        <v>313</v>
      </c>
      <c r="E772" s="415"/>
      <c r="F772" s="961">
        <v>29634</v>
      </c>
      <c r="G772" s="962" t="s">
        <v>1975</v>
      </c>
      <c r="H772" s="963" t="s">
        <v>1661</v>
      </c>
      <c r="I772" s="964" t="s">
        <v>2195</v>
      </c>
      <c r="J772" s="965" t="e">
        <f t="shared" si="5"/>
        <v>#VALUE!</v>
      </c>
      <c r="K772" s="60" t="s">
        <v>1800</v>
      </c>
    </row>
    <row r="773" spans="1:11" ht="24" x14ac:dyDescent="0.2">
      <c r="A773" s="917" t="s">
        <v>2062</v>
      </c>
      <c r="B773" s="917" t="s">
        <v>1796</v>
      </c>
      <c r="C773" s="917" t="s">
        <v>1238</v>
      </c>
      <c r="D773" s="917">
        <v>323</v>
      </c>
      <c r="E773" s="415"/>
      <c r="F773" s="961">
        <v>20840</v>
      </c>
      <c r="G773" s="962" t="s">
        <v>2166</v>
      </c>
      <c r="H773" s="963" t="s">
        <v>1798</v>
      </c>
      <c r="I773" s="964" t="s">
        <v>2195</v>
      </c>
      <c r="J773" s="965" t="e">
        <f t="shared" si="5"/>
        <v>#VALUE!</v>
      </c>
      <c r="K773" s="60" t="s">
        <v>1800</v>
      </c>
    </row>
    <row r="774" spans="1:11" ht="24" x14ac:dyDescent="0.2">
      <c r="A774" s="917" t="s">
        <v>2062</v>
      </c>
      <c r="B774" s="917" t="s">
        <v>1796</v>
      </c>
      <c r="C774" s="917" t="s">
        <v>1238</v>
      </c>
      <c r="D774" s="917">
        <v>324</v>
      </c>
      <c r="E774" s="415"/>
      <c r="F774" s="961">
        <v>34000</v>
      </c>
      <c r="G774" s="962" t="s">
        <v>2166</v>
      </c>
      <c r="H774" s="963" t="s">
        <v>1798</v>
      </c>
      <c r="I774" s="964" t="s">
        <v>2195</v>
      </c>
      <c r="J774" s="965" t="e">
        <f t="shared" si="5"/>
        <v>#VALUE!</v>
      </c>
      <c r="K774" s="60" t="s">
        <v>1800</v>
      </c>
    </row>
    <row r="775" spans="1:11" ht="24" x14ac:dyDescent="0.2">
      <c r="A775" s="917" t="s">
        <v>1858</v>
      </c>
      <c r="B775" s="917" t="s">
        <v>1796</v>
      </c>
      <c r="C775" s="917" t="s">
        <v>1238</v>
      </c>
      <c r="D775" s="917">
        <v>325</v>
      </c>
      <c r="E775" s="415"/>
      <c r="F775" s="961">
        <v>19200</v>
      </c>
      <c r="G775" s="962" t="s">
        <v>1862</v>
      </c>
      <c r="H775" s="963" t="s">
        <v>1798</v>
      </c>
      <c r="I775" s="964" t="s">
        <v>2195</v>
      </c>
      <c r="J775" s="965" t="e">
        <f t="shared" si="5"/>
        <v>#VALUE!</v>
      </c>
      <c r="K775" s="60" t="s">
        <v>1800</v>
      </c>
    </row>
    <row r="776" spans="1:11" ht="24" x14ac:dyDescent="0.2">
      <c r="A776" s="917" t="s">
        <v>2196</v>
      </c>
      <c r="B776" s="917" t="s">
        <v>1809</v>
      </c>
      <c r="C776" s="917" t="s">
        <v>1238</v>
      </c>
      <c r="D776" s="917">
        <v>345</v>
      </c>
      <c r="E776" s="415"/>
      <c r="F776" s="961">
        <v>22498.38</v>
      </c>
      <c r="G776" s="962" t="s">
        <v>1918</v>
      </c>
      <c r="H776" s="963" t="s">
        <v>1798</v>
      </c>
      <c r="I776" s="964" t="s">
        <v>1364</v>
      </c>
      <c r="J776" s="965" t="e">
        <f t="shared" si="5"/>
        <v>#VALUE!</v>
      </c>
      <c r="K776" s="60" t="s">
        <v>1800</v>
      </c>
    </row>
    <row r="777" spans="1:11" ht="24" x14ac:dyDescent="0.2">
      <c r="A777" s="917" t="s">
        <v>2196</v>
      </c>
      <c r="B777" s="917" t="s">
        <v>1809</v>
      </c>
      <c r="C777" s="917" t="s">
        <v>1238</v>
      </c>
      <c r="D777" s="917">
        <v>347</v>
      </c>
      <c r="E777" s="415"/>
      <c r="F777" s="961">
        <v>17899.62</v>
      </c>
      <c r="G777" s="962" t="s">
        <v>1918</v>
      </c>
      <c r="H777" s="963" t="s">
        <v>1798</v>
      </c>
      <c r="I777" s="964" t="s">
        <v>1364</v>
      </c>
      <c r="J777" s="965" t="e">
        <f t="shared" si="5"/>
        <v>#VALUE!</v>
      </c>
      <c r="K777" s="60" t="s">
        <v>1800</v>
      </c>
    </row>
    <row r="778" spans="1:11" ht="24" x14ac:dyDescent="0.2">
      <c r="A778" s="917" t="s">
        <v>2196</v>
      </c>
      <c r="B778" s="917" t="s">
        <v>1809</v>
      </c>
      <c r="C778" s="917" t="s">
        <v>1238</v>
      </c>
      <c r="D778" s="917">
        <v>348</v>
      </c>
      <c r="E778" s="415"/>
      <c r="F778" s="961">
        <v>17999.05</v>
      </c>
      <c r="G778" s="962" t="s">
        <v>2130</v>
      </c>
      <c r="H778" s="963" t="s">
        <v>1798</v>
      </c>
      <c r="I778" s="964" t="s">
        <v>1364</v>
      </c>
      <c r="J778" s="965" t="e">
        <f t="shared" si="5"/>
        <v>#VALUE!</v>
      </c>
      <c r="K778" s="60" t="s">
        <v>1800</v>
      </c>
    </row>
    <row r="779" spans="1:11" ht="24" x14ac:dyDescent="0.2">
      <c r="A779" s="917" t="s">
        <v>1909</v>
      </c>
      <c r="B779" s="917" t="s">
        <v>1796</v>
      </c>
      <c r="C779" s="917" t="s">
        <v>1238</v>
      </c>
      <c r="D779" s="917">
        <v>351</v>
      </c>
      <c r="E779" s="415"/>
      <c r="F779" s="961">
        <v>12937</v>
      </c>
      <c r="G779" s="962" t="s">
        <v>1913</v>
      </c>
      <c r="H779" s="963" t="s">
        <v>1798</v>
      </c>
      <c r="I779" s="964" t="s">
        <v>1364</v>
      </c>
      <c r="J779" s="965" t="e">
        <f t="shared" si="5"/>
        <v>#VALUE!</v>
      </c>
      <c r="K779" s="60" t="s">
        <v>1800</v>
      </c>
    </row>
    <row r="780" spans="1:11" ht="24" x14ac:dyDescent="0.2">
      <c r="A780" s="917" t="s">
        <v>1909</v>
      </c>
      <c r="B780" s="917" t="s">
        <v>1796</v>
      </c>
      <c r="C780" s="917" t="s">
        <v>1238</v>
      </c>
      <c r="D780" s="917">
        <v>352</v>
      </c>
      <c r="E780" s="415"/>
      <c r="F780" s="961">
        <v>16800</v>
      </c>
      <c r="G780" s="962" t="s">
        <v>1913</v>
      </c>
      <c r="H780" s="963" t="s">
        <v>1798</v>
      </c>
      <c r="I780" s="964" t="s">
        <v>1364</v>
      </c>
      <c r="J780" s="965" t="e">
        <f t="shared" si="5"/>
        <v>#VALUE!</v>
      </c>
      <c r="K780" s="60" t="s">
        <v>1800</v>
      </c>
    </row>
    <row r="781" spans="1:11" ht="24" x14ac:dyDescent="0.2">
      <c r="A781" s="917" t="s">
        <v>1909</v>
      </c>
      <c r="B781" s="917" t="s">
        <v>1796</v>
      </c>
      <c r="C781" s="917" t="s">
        <v>1238</v>
      </c>
      <c r="D781" s="917">
        <v>357</v>
      </c>
      <c r="E781" s="415"/>
      <c r="F781" s="961">
        <v>11789</v>
      </c>
      <c r="G781" s="962" t="s">
        <v>1913</v>
      </c>
      <c r="H781" s="963" t="s">
        <v>1798</v>
      </c>
      <c r="I781" s="964" t="s">
        <v>1364</v>
      </c>
      <c r="J781" s="965" t="e">
        <f t="shared" si="5"/>
        <v>#VALUE!</v>
      </c>
      <c r="K781" s="60" t="s">
        <v>1800</v>
      </c>
    </row>
    <row r="782" spans="1:11" ht="24" x14ac:dyDescent="0.2">
      <c r="A782" s="917" t="s">
        <v>2062</v>
      </c>
      <c r="B782" s="917" t="s">
        <v>1796</v>
      </c>
      <c r="C782" s="917" t="s">
        <v>1238</v>
      </c>
      <c r="D782" s="917">
        <v>358</v>
      </c>
      <c r="E782" s="415"/>
      <c r="F782" s="961">
        <v>20310</v>
      </c>
      <c r="G782" s="962" t="s">
        <v>2197</v>
      </c>
      <c r="H782" s="963" t="s">
        <v>1798</v>
      </c>
      <c r="I782" s="964" t="s">
        <v>1364</v>
      </c>
      <c r="J782" s="965" t="e">
        <f t="shared" si="5"/>
        <v>#VALUE!</v>
      </c>
      <c r="K782" s="60" t="s">
        <v>1800</v>
      </c>
    </row>
    <row r="783" spans="1:11" ht="24" x14ac:dyDescent="0.2">
      <c r="A783" s="917" t="s">
        <v>2062</v>
      </c>
      <c r="B783" s="917" t="s">
        <v>1796</v>
      </c>
      <c r="C783" s="917" t="s">
        <v>1238</v>
      </c>
      <c r="D783" s="917">
        <v>364</v>
      </c>
      <c r="E783" s="415"/>
      <c r="F783" s="961">
        <v>12884</v>
      </c>
      <c r="G783" s="962" t="s">
        <v>2197</v>
      </c>
      <c r="H783" s="963" t="s">
        <v>1798</v>
      </c>
      <c r="I783" s="964" t="s">
        <v>1364</v>
      </c>
      <c r="J783" s="965" t="e">
        <f t="shared" si="5"/>
        <v>#VALUE!</v>
      </c>
      <c r="K783" s="60" t="s">
        <v>1800</v>
      </c>
    </row>
    <row r="784" spans="1:11" ht="24" x14ac:dyDescent="0.2">
      <c r="A784" s="917" t="s">
        <v>2198</v>
      </c>
      <c r="B784" s="917" t="s">
        <v>1796</v>
      </c>
      <c r="C784" s="917" t="s">
        <v>1238</v>
      </c>
      <c r="D784" s="917">
        <v>384</v>
      </c>
      <c r="E784" s="415"/>
      <c r="F784" s="961">
        <v>14999.76</v>
      </c>
      <c r="G784" s="962" t="s">
        <v>2199</v>
      </c>
      <c r="H784" s="963" t="s">
        <v>1798</v>
      </c>
      <c r="I784" s="964" t="s">
        <v>2200</v>
      </c>
      <c r="J784" s="965" t="e">
        <f t="shared" si="5"/>
        <v>#VALUE!</v>
      </c>
      <c r="K784" s="60" t="s">
        <v>1800</v>
      </c>
    </row>
    <row r="785" spans="1:11" ht="24" x14ac:dyDescent="0.2">
      <c r="A785" s="917" t="s">
        <v>2201</v>
      </c>
      <c r="B785" s="917" t="s">
        <v>1796</v>
      </c>
      <c r="C785" s="917" t="s">
        <v>1238</v>
      </c>
      <c r="D785" s="917">
        <v>385</v>
      </c>
      <c r="E785" s="415"/>
      <c r="F785" s="961">
        <v>18610.900000000001</v>
      </c>
      <c r="G785" s="962" t="s">
        <v>2168</v>
      </c>
      <c r="H785" s="963" t="s">
        <v>1798</v>
      </c>
      <c r="I785" s="964" t="s">
        <v>2200</v>
      </c>
      <c r="J785" s="965" t="e">
        <f t="shared" si="5"/>
        <v>#VALUE!</v>
      </c>
      <c r="K785" s="60" t="s">
        <v>1800</v>
      </c>
    </row>
    <row r="786" spans="1:11" ht="24" x14ac:dyDescent="0.2">
      <c r="A786" s="917" t="s">
        <v>2202</v>
      </c>
      <c r="B786" s="917" t="s">
        <v>1796</v>
      </c>
      <c r="C786" s="917" t="s">
        <v>1238</v>
      </c>
      <c r="D786" s="917">
        <v>388</v>
      </c>
      <c r="E786" s="415"/>
      <c r="F786" s="961">
        <v>30332.799999999999</v>
      </c>
      <c r="G786" s="962" t="s">
        <v>2203</v>
      </c>
      <c r="H786" s="963" t="s">
        <v>1798</v>
      </c>
      <c r="I786" s="964" t="s">
        <v>2200</v>
      </c>
      <c r="J786" s="965" t="e">
        <f t="shared" si="5"/>
        <v>#VALUE!</v>
      </c>
      <c r="K786" s="60" t="s">
        <v>1800</v>
      </c>
    </row>
    <row r="787" spans="1:11" ht="24" x14ac:dyDescent="0.2">
      <c r="A787" s="917" t="s">
        <v>2204</v>
      </c>
      <c r="B787" s="917" t="s">
        <v>1796</v>
      </c>
      <c r="C787" s="917" t="s">
        <v>1238</v>
      </c>
      <c r="D787" s="917">
        <v>401</v>
      </c>
      <c r="E787" s="415"/>
      <c r="F787" s="961">
        <v>11000</v>
      </c>
      <c r="G787" s="962" t="s">
        <v>1838</v>
      </c>
      <c r="H787" s="963" t="s">
        <v>1798</v>
      </c>
      <c r="I787" s="964" t="s">
        <v>2205</v>
      </c>
      <c r="J787" s="965" t="e">
        <f t="shared" si="5"/>
        <v>#VALUE!</v>
      </c>
      <c r="K787" s="60" t="s">
        <v>1800</v>
      </c>
    </row>
    <row r="788" spans="1:11" ht="24" x14ac:dyDescent="0.2">
      <c r="A788" s="917" t="s">
        <v>2204</v>
      </c>
      <c r="B788" s="917" t="s">
        <v>1796</v>
      </c>
      <c r="C788" s="917" t="s">
        <v>1238</v>
      </c>
      <c r="D788" s="917">
        <v>402</v>
      </c>
      <c r="E788" s="415"/>
      <c r="F788" s="961">
        <v>11200</v>
      </c>
      <c r="G788" s="962" t="s">
        <v>1838</v>
      </c>
      <c r="H788" s="963" t="s">
        <v>1798</v>
      </c>
      <c r="I788" s="964" t="s">
        <v>2205</v>
      </c>
      <c r="J788" s="965" t="e">
        <f t="shared" si="5"/>
        <v>#VALUE!</v>
      </c>
      <c r="K788" s="60" t="s">
        <v>1800</v>
      </c>
    </row>
    <row r="789" spans="1:11" ht="24" x14ac:dyDescent="0.2">
      <c r="A789" s="917" t="s">
        <v>1909</v>
      </c>
      <c r="B789" s="917" t="s">
        <v>1796</v>
      </c>
      <c r="C789" s="917" t="s">
        <v>1238</v>
      </c>
      <c r="D789" s="917">
        <v>407</v>
      </c>
      <c r="E789" s="415"/>
      <c r="F789" s="961">
        <v>11789</v>
      </c>
      <c r="G789" s="962" t="s">
        <v>1913</v>
      </c>
      <c r="H789" s="963" t="s">
        <v>1798</v>
      </c>
      <c r="I789" s="964" t="s">
        <v>2205</v>
      </c>
      <c r="J789" s="965" t="e">
        <f t="shared" si="5"/>
        <v>#VALUE!</v>
      </c>
      <c r="K789" s="60" t="s">
        <v>1800</v>
      </c>
    </row>
    <row r="790" spans="1:11" ht="24" x14ac:dyDescent="0.2">
      <c r="A790" s="917" t="s">
        <v>1909</v>
      </c>
      <c r="B790" s="917" t="s">
        <v>1796</v>
      </c>
      <c r="C790" s="917" t="s">
        <v>1238</v>
      </c>
      <c r="D790" s="917">
        <v>408</v>
      </c>
      <c r="E790" s="415"/>
      <c r="F790" s="961">
        <v>12937</v>
      </c>
      <c r="G790" s="962" t="s">
        <v>1913</v>
      </c>
      <c r="H790" s="963" t="s">
        <v>1798</v>
      </c>
      <c r="I790" s="964" t="s">
        <v>2205</v>
      </c>
      <c r="J790" s="965" t="e">
        <f t="shared" si="5"/>
        <v>#VALUE!</v>
      </c>
      <c r="K790" s="60" t="s">
        <v>1800</v>
      </c>
    </row>
    <row r="791" spans="1:11" ht="24" x14ac:dyDescent="0.2">
      <c r="A791" s="917" t="s">
        <v>1909</v>
      </c>
      <c r="B791" s="917" t="s">
        <v>1796</v>
      </c>
      <c r="C791" s="917" t="s">
        <v>1238</v>
      </c>
      <c r="D791" s="917">
        <v>409</v>
      </c>
      <c r="E791" s="415"/>
      <c r="F791" s="961">
        <v>16800</v>
      </c>
      <c r="G791" s="962" t="s">
        <v>1913</v>
      </c>
      <c r="H791" s="963" t="s">
        <v>1798</v>
      </c>
      <c r="I791" s="964" t="s">
        <v>2205</v>
      </c>
      <c r="J791" s="965" t="e">
        <f t="shared" si="5"/>
        <v>#VALUE!</v>
      </c>
      <c r="K791" s="60" t="s">
        <v>1800</v>
      </c>
    </row>
    <row r="792" spans="1:11" ht="24" x14ac:dyDescent="0.2">
      <c r="A792" s="917" t="s">
        <v>2206</v>
      </c>
      <c r="B792" s="917" t="s">
        <v>1796</v>
      </c>
      <c r="C792" s="917" t="s">
        <v>1238</v>
      </c>
      <c r="D792" s="917">
        <v>584</v>
      </c>
      <c r="E792" s="415"/>
      <c r="F792" s="961">
        <v>18015</v>
      </c>
      <c r="G792" s="962" t="s">
        <v>2008</v>
      </c>
      <c r="H792" s="963" t="s">
        <v>1798</v>
      </c>
      <c r="I792" s="964" t="s">
        <v>1362</v>
      </c>
      <c r="J792" s="965">
        <f t="shared" si="5"/>
        <v>44446</v>
      </c>
      <c r="K792" s="60" t="s">
        <v>1800</v>
      </c>
    </row>
    <row r="793" spans="1:11" ht="24" x14ac:dyDescent="0.2">
      <c r="A793" s="917" t="s">
        <v>2207</v>
      </c>
      <c r="B793" s="917" t="s">
        <v>1796</v>
      </c>
      <c r="C793" s="917" t="s">
        <v>1238</v>
      </c>
      <c r="D793" s="917">
        <v>608</v>
      </c>
      <c r="E793" s="415"/>
      <c r="F793" s="961">
        <v>24736</v>
      </c>
      <c r="G793" s="962" t="s">
        <v>1797</v>
      </c>
      <c r="H793" s="963" t="s">
        <v>1798</v>
      </c>
      <c r="I793" s="964" t="s">
        <v>2192</v>
      </c>
      <c r="J793" s="965"/>
      <c r="K793" s="60" t="s">
        <v>1800</v>
      </c>
    </row>
    <row r="794" spans="1:11" ht="24" x14ac:dyDescent="0.2">
      <c r="A794" s="917" t="s">
        <v>2107</v>
      </c>
      <c r="B794" s="917" t="s">
        <v>1796</v>
      </c>
      <c r="C794" s="917" t="s">
        <v>1238</v>
      </c>
      <c r="D794" s="917">
        <v>609</v>
      </c>
      <c r="E794" s="415"/>
      <c r="F794" s="961">
        <v>12890.9</v>
      </c>
      <c r="G794" s="962" t="s">
        <v>1797</v>
      </c>
      <c r="H794" s="963" t="s">
        <v>1798</v>
      </c>
      <c r="I794" s="964" t="s">
        <v>2192</v>
      </c>
      <c r="J794" s="965"/>
      <c r="K794" s="60" t="s">
        <v>1800</v>
      </c>
    </row>
    <row r="795" spans="1:11" ht="24" x14ac:dyDescent="0.2">
      <c r="A795" s="917" t="s">
        <v>2108</v>
      </c>
      <c r="B795" s="917" t="s">
        <v>1796</v>
      </c>
      <c r="C795" s="917" t="s">
        <v>1238</v>
      </c>
      <c r="D795" s="917">
        <v>610</v>
      </c>
      <c r="E795" s="415"/>
      <c r="F795" s="961">
        <v>11553.1</v>
      </c>
      <c r="G795" s="962" t="s">
        <v>1797</v>
      </c>
      <c r="H795" s="963" t="s">
        <v>1798</v>
      </c>
      <c r="I795" s="964" t="s">
        <v>2192</v>
      </c>
      <c r="J795" s="965"/>
      <c r="K795" s="60" t="s">
        <v>1800</v>
      </c>
    </row>
    <row r="796" spans="1:11" ht="24" x14ac:dyDescent="0.2">
      <c r="A796" s="917" t="s">
        <v>2178</v>
      </c>
      <c r="B796" s="917" t="s">
        <v>1796</v>
      </c>
      <c r="C796" s="917" t="s">
        <v>1238</v>
      </c>
      <c r="D796" s="917">
        <v>739</v>
      </c>
      <c r="E796" s="415"/>
      <c r="F796" s="961">
        <v>15639.84</v>
      </c>
      <c r="G796" s="962" t="s">
        <v>2179</v>
      </c>
      <c r="H796" s="963" t="s">
        <v>1661</v>
      </c>
      <c r="I796" s="964" t="s">
        <v>2208</v>
      </c>
      <c r="J796" s="965" t="e">
        <f t="shared" ref="J796:J840" si="6">I796+3</f>
        <v>#VALUE!</v>
      </c>
      <c r="K796" s="60" t="s">
        <v>1800</v>
      </c>
    </row>
    <row r="797" spans="1:11" ht="24" x14ac:dyDescent="0.2">
      <c r="A797" s="917" t="s">
        <v>2177</v>
      </c>
      <c r="B797" s="917" t="s">
        <v>1796</v>
      </c>
      <c r="C797" s="917" t="s">
        <v>1238</v>
      </c>
      <c r="D797" s="917">
        <v>740</v>
      </c>
      <c r="E797" s="415"/>
      <c r="F797" s="961">
        <v>25000</v>
      </c>
      <c r="G797" s="962" t="s">
        <v>1838</v>
      </c>
      <c r="H797" s="963" t="s">
        <v>1798</v>
      </c>
      <c r="I797" s="964" t="s">
        <v>2208</v>
      </c>
      <c r="J797" s="965" t="e">
        <f t="shared" si="6"/>
        <v>#VALUE!</v>
      </c>
      <c r="K797" s="60" t="s">
        <v>1800</v>
      </c>
    </row>
    <row r="798" spans="1:11" ht="24" x14ac:dyDescent="0.2">
      <c r="A798" s="917" t="s">
        <v>2209</v>
      </c>
      <c r="B798" s="917" t="s">
        <v>1796</v>
      </c>
      <c r="C798" s="917" t="s">
        <v>1238</v>
      </c>
      <c r="D798" s="917">
        <v>741</v>
      </c>
      <c r="E798" s="415"/>
      <c r="F798" s="961">
        <v>14400</v>
      </c>
      <c r="G798" s="962" t="s">
        <v>2008</v>
      </c>
      <c r="H798" s="963" t="s">
        <v>1798</v>
      </c>
      <c r="I798" s="964" t="s">
        <v>2208</v>
      </c>
      <c r="J798" s="965" t="e">
        <f t="shared" si="6"/>
        <v>#VALUE!</v>
      </c>
      <c r="K798" s="60" t="s">
        <v>1800</v>
      </c>
    </row>
    <row r="799" spans="1:11" ht="24" x14ac:dyDescent="0.2">
      <c r="A799" s="917" t="s">
        <v>2178</v>
      </c>
      <c r="B799" s="917" t="s">
        <v>1796</v>
      </c>
      <c r="C799" s="917" t="s">
        <v>1238</v>
      </c>
      <c r="D799" s="917">
        <v>742</v>
      </c>
      <c r="E799" s="415"/>
      <c r="F799" s="961">
        <v>13606.92</v>
      </c>
      <c r="G799" s="962" t="s">
        <v>2179</v>
      </c>
      <c r="H799" s="963" t="s">
        <v>1798</v>
      </c>
      <c r="I799" s="964" t="s">
        <v>2208</v>
      </c>
      <c r="J799" s="965" t="e">
        <f t="shared" si="6"/>
        <v>#VALUE!</v>
      </c>
      <c r="K799" s="60" t="s">
        <v>1800</v>
      </c>
    </row>
    <row r="800" spans="1:11" ht="24" x14ac:dyDescent="0.2">
      <c r="A800" s="917" t="s">
        <v>2209</v>
      </c>
      <c r="B800" s="917" t="s">
        <v>1796</v>
      </c>
      <c r="C800" s="917" t="s">
        <v>1238</v>
      </c>
      <c r="D800" s="917">
        <v>786</v>
      </c>
      <c r="E800" s="415"/>
      <c r="F800" s="961">
        <v>15000</v>
      </c>
      <c r="G800" s="962" t="s">
        <v>2008</v>
      </c>
      <c r="H800" s="963" t="s">
        <v>1798</v>
      </c>
      <c r="I800" s="964" t="s">
        <v>1364</v>
      </c>
      <c r="J800" s="965" t="e">
        <f t="shared" si="6"/>
        <v>#VALUE!</v>
      </c>
      <c r="K800" s="60" t="s">
        <v>1800</v>
      </c>
    </row>
    <row r="801" spans="1:11" ht="24" x14ac:dyDescent="0.2">
      <c r="A801" s="917" t="s">
        <v>2207</v>
      </c>
      <c r="B801" s="917" t="s">
        <v>1796</v>
      </c>
      <c r="C801" s="917" t="s">
        <v>1238</v>
      </c>
      <c r="D801" s="917">
        <v>818</v>
      </c>
      <c r="E801" s="415"/>
      <c r="F801" s="961">
        <v>28080.5</v>
      </c>
      <c r="G801" s="962" t="s">
        <v>1797</v>
      </c>
      <c r="H801" s="963" t="s">
        <v>1798</v>
      </c>
      <c r="I801" s="964" t="s">
        <v>2200</v>
      </c>
      <c r="J801" s="965"/>
      <c r="K801" s="60" t="s">
        <v>1800</v>
      </c>
    </row>
    <row r="802" spans="1:11" ht="24" x14ac:dyDescent="0.2">
      <c r="A802" s="917" t="s">
        <v>2107</v>
      </c>
      <c r="B802" s="917" t="s">
        <v>1796</v>
      </c>
      <c r="C802" s="917" t="s">
        <v>1238</v>
      </c>
      <c r="D802" s="917">
        <v>819</v>
      </c>
      <c r="E802" s="415"/>
      <c r="F802" s="961">
        <v>11986.9</v>
      </c>
      <c r="G802" s="962" t="s">
        <v>1797</v>
      </c>
      <c r="H802" s="963" t="s">
        <v>1798</v>
      </c>
      <c r="I802" s="964" t="s">
        <v>2200</v>
      </c>
      <c r="J802" s="965"/>
      <c r="K802" s="60" t="s">
        <v>1800</v>
      </c>
    </row>
    <row r="803" spans="1:11" ht="24" x14ac:dyDescent="0.2">
      <c r="A803" s="917" t="s">
        <v>2108</v>
      </c>
      <c r="B803" s="917" t="s">
        <v>1796</v>
      </c>
      <c r="C803" s="917" t="s">
        <v>1238</v>
      </c>
      <c r="D803" s="917">
        <v>820</v>
      </c>
      <c r="E803" s="415"/>
      <c r="F803" s="961">
        <v>11324.9</v>
      </c>
      <c r="G803" s="962" t="s">
        <v>1797</v>
      </c>
      <c r="H803" s="963" t="s">
        <v>1798</v>
      </c>
      <c r="I803" s="964" t="s">
        <v>2200</v>
      </c>
      <c r="J803" s="965"/>
      <c r="K803" s="60" t="s">
        <v>1800</v>
      </c>
    </row>
    <row r="804" spans="1:11" ht="24" x14ac:dyDescent="0.2">
      <c r="A804" s="917" t="s">
        <v>2210</v>
      </c>
      <c r="B804" s="917" t="s">
        <v>1796</v>
      </c>
      <c r="C804" s="917" t="s">
        <v>1238</v>
      </c>
      <c r="D804" s="917">
        <v>846</v>
      </c>
      <c r="E804" s="415"/>
      <c r="F804" s="961">
        <v>18750</v>
      </c>
      <c r="G804" s="962" t="s">
        <v>2211</v>
      </c>
      <c r="H804" s="963" t="s">
        <v>1798</v>
      </c>
      <c r="I804" s="964" t="s">
        <v>2205</v>
      </c>
      <c r="J804" s="965" t="e">
        <f t="shared" si="6"/>
        <v>#VALUE!</v>
      </c>
      <c r="K804" s="60" t="s">
        <v>1800</v>
      </c>
    </row>
    <row r="805" spans="1:11" ht="24" x14ac:dyDescent="0.2">
      <c r="A805" s="917" t="s">
        <v>2212</v>
      </c>
      <c r="B805" s="917" t="s">
        <v>1796</v>
      </c>
      <c r="C805" s="917" t="s">
        <v>1238</v>
      </c>
      <c r="D805" s="917">
        <v>905</v>
      </c>
      <c r="E805" s="415"/>
      <c r="F805" s="961">
        <v>11000</v>
      </c>
      <c r="G805" s="962" t="s">
        <v>2213</v>
      </c>
      <c r="H805" s="963" t="s">
        <v>1798</v>
      </c>
      <c r="I805" s="964" t="s">
        <v>2214</v>
      </c>
      <c r="J805" s="965" t="e">
        <f t="shared" si="6"/>
        <v>#VALUE!</v>
      </c>
      <c r="K805" s="60" t="s">
        <v>1800</v>
      </c>
    </row>
    <row r="806" spans="1:11" ht="24" x14ac:dyDescent="0.2">
      <c r="A806" s="918" t="s">
        <v>2215</v>
      </c>
      <c r="B806" s="918" t="s">
        <v>1879</v>
      </c>
      <c r="C806" s="918" t="s">
        <v>2216</v>
      </c>
      <c r="D806" s="918">
        <v>428</v>
      </c>
      <c r="E806" s="415"/>
      <c r="F806" s="966">
        <v>392300</v>
      </c>
      <c r="G806" s="967" t="s">
        <v>2138</v>
      </c>
      <c r="H806" s="963" t="s">
        <v>1798</v>
      </c>
      <c r="I806" s="964" t="s">
        <v>2217</v>
      </c>
      <c r="J806" s="965">
        <f t="shared" si="6"/>
        <v>44263</v>
      </c>
      <c r="K806" s="60" t="s">
        <v>1800</v>
      </c>
    </row>
    <row r="807" spans="1:11" ht="24" x14ac:dyDescent="0.2">
      <c r="A807" s="918" t="s">
        <v>2218</v>
      </c>
      <c r="B807" s="917" t="s">
        <v>1796</v>
      </c>
      <c r="C807" s="917" t="s">
        <v>1238</v>
      </c>
      <c r="D807" s="918">
        <v>436</v>
      </c>
      <c r="E807" s="415"/>
      <c r="F807" s="966">
        <v>35150</v>
      </c>
      <c r="G807" s="967" t="s">
        <v>2219</v>
      </c>
      <c r="H807" s="963" t="s">
        <v>1798</v>
      </c>
      <c r="I807" s="964" t="s">
        <v>2220</v>
      </c>
      <c r="J807" s="965">
        <f t="shared" si="6"/>
        <v>44324</v>
      </c>
      <c r="K807" s="60" t="s">
        <v>1800</v>
      </c>
    </row>
    <row r="808" spans="1:11" ht="24" x14ac:dyDescent="0.2">
      <c r="A808" s="918" t="s">
        <v>2221</v>
      </c>
      <c r="B808" s="917" t="s">
        <v>1796</v>
      </c>
      <c r="C808" s="917" t="s">
        <v>1238</v>
      </c>
      <c r="D808" s="918">
        <v>440</v>
      </c>
      <c r="E808" s="415"/>
      <c r="F808" s="966">
        <v>25850</v>
      </c>
      <c r="G808" s="967" t="s">
        <v>2222</v>
      </c>
      <c r="H808" s="963" t="s">
        <v>1798</v>
      </c>
      <c r="I808" s="964" t="s">
        <v>2220</v>
      </c>
      <c r="J808" s="965">
        <f t="shared" si="6"/>
        <v>44324</v>
      </c>
      <c r="K808" s="60" t="s">
        <v>1800</v>
      </c>
    </row>
    <row r="809" spans="1:11" ht="24" x14ac:dyDescent="0.2">
      <c r="A809" s="918" t="s">
        <v>2223</v>
      </c>
      <c r="B809" s="917" t="s">
        <v>1796</v>
      </c>
      <c r="C809" s="917" t="s">
        <v>1238</v>
      </c>
      <c r="D809" s="918">
        <v>441</v>
      </c>
      <c r="E809" s="415"/>
      <c r="F809" s="966">
        <v>29634</v>
      </c>
      <c r="G809" s="967" t="s">
        <v>1975</v>
      </c>
      <c r="H809" s="963" t="s">
        <v>1798</v>
      </c>
      <c r="I809" s="964" t="s">
        <v>2220</v>
      </c>
      <c r="J809" s="965">
        <f t="shared" si="6"/>
        <v>44324</v>
      </c>
      <c r="K809" s="60" t="s">
        <v>1800</v>
      </c>
    </row>
    <row r="810" spans="1:11" ht="24" x14ac:dyDescent="0.2">
      <c r="A810" s="918" t="s">
        <v>1333</v>
      </c>
      <c r="B810" s="918" t="s">
        <v>1809</v>
      </c>
      <c r="C810" s="917" t="s">
        <v>1238</v>
      </c>
      <c r="D810" s="918">
        <v>459</v>
      </c>
      <c r="E810" s="415"/>
      <c r="F810" s="966">
        <v>19800</v>
      </c>
      <c r="G810" s="967" t="s">
        <v>2175</v>
      </c>
      <c r="H810" s="963" t="s">
        <v>1798</v>
      </c>
      <c r="I810" s="964" t="s">
        <v>2224</v>
      </c>
      <c r="J810" s="965">
        <f t="shared" si="6"/>
        <v>44538</v>
      </c>
      <c r="K810" s="60" t="s">
        <v>1800</v>
      </c>
    </row>
    <row r="811" spans="1:11" ht="24" x14ac:dyDescent="0.2">
      <c r="A811" s="918" t="s">
        <v>2225</v>
      </c>
      <c r="B811" s="917" t="s">
        <v>1796</v>
      </c>
      <c r="C811" s="917" t="s">
        <v>1238</v>
      </c>
      <c r="D811" s="918">
        <v>470</v>
      </c>
      <c r="E811" s="415"/>
      <c r="F811" s="966">
        <v>10000</v>
      </c>
      <c r="G811" s="967" t="s">
        <v>2226</v>
      </c>
      <c r="H811" s="963" t="s">
        <v>1798</v>
      </c>
      <c r="I811" s="964" t="s">
        <v>2224</v>
      </c>
      <c r="J811" s="965">
        <f t="shared" si="6"/>
        <v>44538</v>
      </c>
      <c r="K811" s="60" t="s">
        <v>1800</v>
      </c>
    </row>
    <row r="812" spans="1:11" ht="24" x14ac:dyDescent="0.2">
      <c r="A812" s="972" t="s">
        <v>2082</v>
      </c>
      <c r="B812" s="917" t="s">
        <v>1796</v>
      </c>
      <c r="C812" s="917" t="s">
        <v>1238</v>
      </c>
      <c r="D812" s="918">
        <v>471</v>
      </c>
      <c r="E812" s="415"/>
      <c r="F812" s="966">
        <v>11956.5</v>
      </c>
      <c r="G812" s="967" t="s">
        <v>1920</v>
      </c>
      <c r="H812" s="963" t="s">
        <v>1798</v>
      </c>
      <c r="I812" s="964" t="s">
        <v>2224</v>
      </c>
      <c r="J812" s="965">
        <f t="shared" si="6"/>
        <v>44538</v>
      </c>
      <c r="K812" s="60" t="s">
        <v>1800</v>
      </c>
    </row>
    <row r="813" spans="1:11" ht="24" x14ac:dyDescent="0.2">
      <c r="A813" s="918" t="s">
        <v>2227</v>
      </c>
      <c r="B813" s="917" t="s">
        <v>1796</v>
      </c>
      <c r="C813" s="917" t="s">
        <v>1238</v>
      </c>
      <c r="D813" s="918">
        <v>476</v>
      </c>
      <c r="E813" s="415"/>
      <c r="F813" s="966">
        <v>22260</v>
      </c>
      <c r="G813" s="967" t="s">
        <v>1862</v>
      </c>
      <c r="H813" s="963" t="s">
        <v>1798</v>
      </c>
      <c r="I813" s="964" t="s">
        <v>2224</v>
      </c>
      <c r="J813" s="965">
        <f t="shared" si="6"/>
        <v>44538</v>
      </c>
      <c r="K813" s="60" t="s">
        <v>1800</v>
      </c>
    </row>
    <row r="814" spans="1:11" ht="24" x14ac:dyDescent="0.2">
      <c r="A814" s="972" t="s">
        <v>1858</v>
      </c>
      <c r="B814" s="917" t="s">
        <v>1796</v>
      </c>
      <c r="C814" s="917" t="s">
        <v>1238</v>
      </c>
      <c r="D814" s="918">
        <v>478</v>
      </c>
      <c r="E814" s="415"/>
      <c r="F814" s="966">
        <v>35199</v>
      </c>
      <c r="G814" s="967" t="s">
        <v>1822</v>
      </c>
      <c r="H814" s="963" t="s">
        <v>1798</v>
      </c>
      <c r="I814" s="964" t="s">
        <v>2224</v>
      </c>
      <c r="J814" s="965">
        <f t="shared" si="6"/>
        <v>44538</v>
      </c>
      <c r="K814" s="60" t="s">
        <v>1800</v>
      </c>
    </row>
    <row r="815" spans="1:11" ht="24" x14ac:dyDescent="0.2">
      <c r="A815" s="918" t="s">
        <v>2228</v>
      </c>
      <c r="B815" s="917" t="s">
        <v>1796</v>
      </c>
      <c r="C815" s="917" t="s">
        <v>1238</v>
      </c>
      <c r="D815" s="918">
        <v>479</v>
      </c>
      <c r="E815" s="415"/>
      <c r="F815" s="966">
        <v>22400</v>
      </c>
      <c r="G815" s="967" t="s">
        <v>1822</v>
      </c>
      <c r="H815" s="963" t="s">
        <v>1798</v>
      </c>
      <c r="I815" s="964" t="s">
        <v>2224</v>
      </c>
      <c r="J815" s="965">
        <f t="shared" si="6"/>
        <v>44538</v>
      </c>
      <c r="K815" s="60" t="s">
        <v>1800</v>
      </c>
    </row>
    <row r="816" spans="1:11" ht="24" x14ac:dyDescent="0.2">
      <c r="A816" s="918" t="s">
        <v>1306</v>
      </c>
      <c r="B816" s="918" t="s">
        <v>1809</v>
      </c>
      <c r="C816" s="917" t="s">
        <v>1238</v>
      </c>
      <c r="D816" s="918">
        <v>480</v>
      </c>
      <c r="E816" s="415"/>
      <c r="F816" s="966">
        <v>46219.51</v>
      </c>
      <c r="G816" s="967" t="s">
        <v>1918</v>
      </c>
      <c r="H816" s="963" t="s">
        <v>1798</v>
      </c>
      <c r="I816" s="964" t="s">
        <v>2224</v>
      </c>
      <c r="J816" s="965">
        <f t="shared" si="6"/>
        <v>44538</v>
      </c>
      <c r="K816" s="60" t="s">
        <v>1800</v>
      </c>
    </row>
    <row r="817" spans="1:11" ht="24" x14ac:dyDescent="0.2">
      <c r="A817" s="918" t="s">
        <v>2229</v>
      </c>
      <c r="B817" s="917" t="s">
        <v>1796</v>
      </c>
      <c r="C817" s="917" t="s">
        <v>1238</v>
      </c>
      <c r="D817" s="918">
        <v>485</v>
      </c>
      <c r="E817" s="415"/>
      <c r="F817" s="966">
        <v>29950</v>
      </c>
      <c r="G817" s="967" t="s">
        <v>2230</v>
      </c>
      <c r="H817" s="963" t="s">
        <v>1798</v>
      </c>
      <c r="I817" s="964" t="s">
        <v>2231</v>
      </c>
      <c r="J817" s="965" t="e">
        <f t="shared" si="6"/>
        <v>#VALUE!</v>
      </c>
      <c r="K817" s="60" t="s">
        <v>1800</v>
      </c>
    </row>
    <row r="818" spans="1:11" ht="24" x14ac:dyDescent="0.2">
      <c r="A818" s="918" t="s">
        <v>2232</v>
      </c>
      <c r="B818" s="917" t="s">
        <v>1796</v>
      </c>
      <c r="C818" s="917" t="s">
        <v>1238</v>
      </c>
      <c r="D818" s="918">
        <v>498</v>
      </c>
      <c r="E818" s="415"/>
      <c r="F818" s="966">
        <v>17000</v>
      </c>
      <c r="G818" s="967" t="s">
        <v>2233</v>
      </c>
      <c r="H818" s="963" t="s">
        <v>1798</v>
      </c>
      <c r="I818" s="964" t="s">
        <v>2234</v>
      </c>
      <c r="J818" s="965" t="e">
        <f t="shared" si="6"/>
        <v>#VALUE!</v>
      </c>
      <c r="K818" s="60" t="s">
        <v>1800</v>
      </c>
    </row>
    <row r="819" spans="1:11" ht="24" x14ac:dyDescent="0.2">
      <c r="A819" s="918" t="s">
        <v>1971</v>
      </c>
      <c r="B819" s="918" t="s">
        <v>1809</v>
      </c>
      <c r="C819" s="917" t="s">
        <v>1238</v>
      </c>
      <c r="D819" s="918">
        <v>499</v>
      </c>
      <c r="E819" s="415"/>
      <c r="F819" s="966">
        <v>10456.540000000001</v>
      </c>
      <c r="G819" s="967" t="s">
        <v>1918</v>
      </c>
      <c r="H819" s="963" t="s">
        <v>1798</v>
      </c>
      <c r="I819" s="964" t="s">
        <v>2235</v>
      </c>
      <c r="J819" s="965" t="e">
        <f t="shared" si="6"/>
        <v>#VALUE!</v>
      </c>
      <c r="K819" s="60" t="s">
        <v>1800</v>
      </c>
    </row>
    <row r="820" spans="1:11" ht="24" x14ac:dyDescent="0.2">
      <c r="A820" s="918" t="s">
        <v>1801</v>
      </c>
      <c r="B820" s="918" t="s">
        <v>1802</v>
      </c>
      <c r="C820" s="918" t="s">
        <v>2077</v>
      </c>
      <c r="D820" s="918">
        <v>522</v>
      </c>
      <c r="E820" s="415"/>
      <c r="F820" s="966">
        <v>15938.3</v>
      </c>
      <c r="G820" s="967" t="s">
        <v>1807</v>
      </c>
      <c r="H820" s="963" t="s">
        <v>1798</v>
      </c>
      <c r="I820" s="964" t="s">
        <v>2236</v>
      </c>
      <c r="J820" s="965" t="e">
        <f t="shared" si="6"/>
        <v>#VALUE!</v>
      </c>
      <c r="K820" s="60" t="s">
        <v>1800</v>
      </c>
    </row>
    <row r="821" spans="1:11" ht="24" x14ac:dyDescent="0.2">
      <c r="A821" s="918" t="s">
        <v>1801</v>
      </c>
      <c r="B821" s="918" t="s">
        <v>1802</v>
      </c>
      <c r="C821" s="918" t="s">
        <v>2077</v>
      </c>
      <c r="D821" s="918">
        <v>523</v>
      </c>
      <c r="E821" s="415"/>
      <c r="F821" s="966">
        <v>18831.3</v>
      </c>
      <c r="G821" s="967" t="s">
        <v>1807</v>
      </c>
      <c r="H821" s="963" t="s">
        <v>1798</v>
      </c>
      <c r="I821" s="964" t="s">
        <v>2236</v>
      </c>
      <c r="J821" s="965" t="e">
        <f t="shared" si="6"/>
        <v>#VALUE!</v>
      </c>
      <c r="K821" s="60" t="s">
        <v>1800</v>
      </c>
    </row>
    <row r="822" spans="1:11" ht="24" x14ac:dyDescent="0.2">
      <c r="A822" s="918" t="s">
        <v>1801</v>
      </c>
      <c r="B822" s="918" t="s">
        <v>1802</v>
      </c>
      <c r="C822" s="918" t="s">
        <v>2077</v>
      </c>
      <c r="D822" s="918">
        <v>524</v>
      </c>
      <c r="E822" s="415"/>
      <c r="F822" s="966">
        <v>37662.6</v>
      </c>
      <c r="G822" s="967" t="s">
        <v>1807</v>
      </c>
      <c r="H822" s="963" t="s">
        <v>1798</v>
      </c>
      <c r="I822" s="964" t="s">
        <v>2236</v>
      </c>
      <c r="J822" s="965" t="e">
        <f t="shared" si="6"/>
        <v>#VALUE!</v>
      </c>
      <c r="K822" s="60" t="s">
        <v>1800</v>
      </c>
    </row>
    <row r="823" spans="1:11" ht="24" x14ac:dyDescent="0.2">
      <c r="A823" s="918" t="s">
        <v>1801</v>
      </c>
      <c r="B823" s="918" t="s">
        <v>1802</v>
      </c>
      <c r="C823" s="918" t="s">
        <v>2077</v>
      </c>
      <c r="D823" s="918">
        <v>525</v>
      </c>
      <c r="E823" s="415"/>
      <c r="F823" s="966">
        <v>37662.6</v>
      </c>
      <c r="G823" s="967" t="s">
        <v>1807</v>
      </c>
      <c r="H823" s="963" t="s">
        <v>1798</v>
      </c>
      <c r="I823" s="964" t="s">
        <v>2236</v>
      </c>
      <c r="J823" s="965" t="e">
        <f t="shared" si="6"/>
        <v>#VALUE!</v>
      </c>
      <c r="K823" s="60" t="s">
        <v>1800</v>
      </c>
    </row>
    <row r="824" spans="1:11" ht="24" x14ac:dyDescent="0.2">
      <c r="A824" s="918" t="s">
        <v>1801</v>
      </c>
      <c r="B824" s="918" t="s">
        <v>1802</v>
      </c>
      <c r="C824" s="918" t="s">
        <v>2077</v>
      </c>
      <c r="D824" s="918">
        <v>535</v>
      </c>
      <c r="E824" s="415"/>
      <c r="F824" s="966">
        <v>18170.32</v>
      </c>
      <c r="G824" s="967" t="s">
        <v>1804</v>
      </c>
      <c r="H824" s="963" t="s">
        <v>1798</v>
      </c>
      <c r="I824" s="964" t="s">
        <v>2236</v>
      </c>
      <c r="J824" s="965" t="e">
        <f t="shared" si="6"/>
        <v>#VALUE!</v>
      </c>
      <c r="K824" s="60" t="s">
        <v>1800</v>
      </c>
    </row>
    <row r="825" spans="1:11" ht="24" x14ac:dyDescent="0.2">
      <c r="A825" s="918" t="s">
        <v>1801</v>
      </c>
      <c r="B825" s="918" t="s">
        <v>1802</v>
      </c>
      <c r="C825" s="918" t="s">
        <v>2077</v>
      </c>
      <c r="D825" s="918">
        <v>537</v>
      </c>
      <c r="E825" s="415"/>
      <c r="F825" s="966">
        <v>16032</v>
      </c>
      <c r="G825" s="967" t="s">
        <v>1804</v>
      </c>
      <c r="H825" s="963" t="s">
        <v>1798</v>
      </c>
      <c r="I825" s="964" t="s">
        <v>2236</v>
      </c>
      <c r="J825" s="965" t="e">
        <f t="shared" si="6"/>
        <v>#VALUE!</v>
      </c>
      <c r="K825" s="60" t="s">
        <v>1800</v>
      </c>
    </row>
    <row r="826" spans="1:11" ht="24" x14ac:dyDescent="0.2">
      <c r="A826" s="918" t="s">
        <v>1801</v>
      </c>
      <c r="B826" s="918" t="s">
        <v>1802</v>
      </c>
      <c r="C826" s="918" t="s">
        <v>2237</v>
      </c>
      <c r="D826" s="918">
        <v>544</v>
      </c>
      <c r="E826" s="415"/>
      <c r="F826" s="966">
        <v>31080</v>
      </c>
      <c r="G826" s="967" t="s">
        <v>1996</v>
      </c>
      <c r="H826" s="963" t="s">
        <v>1798</v>
      </c>
      <c r="I826" s="964" t="s">
        <v>2236</v>
      </c>
      <c r="J826" s="965" t="e">
        <f t="shared" si="6"/>
        <v>#VALUE!</v>
      </c>
      <c r="K826" s="60" t="s">
        <v>1800</v>
      </c>
    </row>
    <row r="827" spans="1:11" ht="24" x14ac:dyDescent="0.2">
      <c r="A827" s="918" t="s">
        <v>2062</v>
      </c>
      <c r="B827" s="917" t="s">
        <v>1796</v>
      </c>
      <c r="C827" s="917" t="s">
        <v>1238</v>
      </c>
      <c r="D827" s="918">
        <v>549</v>
      </c>
      <c r="E827" s="415"/>
      <c r="F827" s="966">
        <v>30982.5</v>
      </c>
      <c r="G827" s="967" t="s">
        <v>2199</v>
      </c>
      <c r="H827" s="963" t="s">
        <v>1798</v>
      </c>
      <c r="I827" s="964" t="s">
        <v>2236</v>
      </c>
      <c r="J827" s="965" t="e">
        <f t="shared" si="6"/>
        <v>#VALUE!</v>
      </c>
      <c r="K827" s="60" t="s">
        <v>1800</v>
      </c>
    </row>
    <row r="828" spans="1:11" ht="24" x14ac:dyDescent="0.2">
      <c r="A828" s="918" t="s">
        <v>2238</v>
      </c>
      <c r="B828" s="917" t="s">
        <v>1796</v>
      </c>
      <c r="C828" s="917" t="s">
        <v>1238</v>
      </c>
      <c r="D828" s="918">
        <v>550</v>
      </c>
      <c r="E828" s="415"/>
      <c r="F828" s="966">
        <v>26015</v>
      </c>
      <c r="G828" s="967" t="s">
        <v>2199</v>
      </c>
      <c r="H828" s="963" t="s">
        <v>1798</v>
      </c>
      <c r="I828" s="964" t="s">
        <v>2236</v>
      </c>
      <c r="J828" s="965" t="e">
        <f t="shared" si="6"/>
        <v>#VALUE!</v>
      </c>
      <c r="K828" s="60" t="s">
        <v>1800</v>
      </c>
    </row>
    <row r="829" spans="1:11" ht="24" x14ac:dyDescent="0.2">
      <c r="A829" s="918" t="s">
        <v>1812</v>
      </c>
      <c r="B829" s="917" t="s">
        <v>1796</v>
      </c>
      <c r="C829" s="917" t="s">
        <v>1238</v>
      </c>
      <c r="D829" s="918">
        <v>560</v>
      </c>
      <c r="E829" s="415"/>
      <c r="F829" s="966">
        <v>14988.05</v>
      </c>
      <c r="G829" s="967" t="s">
        <v>2239</v>
      </c>
      <c r="H829" s="963" t="s">
        <v>1798</v>
      </c>
      <c r="I829" s="964" t="s">
        <v>2240</v>
      </c>
      <c r="J829" s="965" t="e">
        <f t="shared" si="6"/>
        <v>#VALUE!</v>
      </c>
      <c r="K829" s="60" t="s">
        <v>1800</v>
      </c>
    </row>
    <row r="830" spans="1:11" ht="24" x14ac:dyDescent="0.2">
      <c r="A830" s="918" t="s">
        <v>2241</v>
      </c>
      <c r="B830" s="917" t="s">
        <v>1796</v>
      </c>
      <c r="C830" s="917" t="s">
        <v>1238</v>
      </c>
      <c r="D830" s="918">
        <v>561</v>
      </c>
      <c r="E830" s="415"/>
      <c r="F830" s="966">
        <v>10398</v>
      </c>
      <c r="G830" s="967" t="s">
        <v>2036</v>
      </c>
      <c r="H830" s="963" t="s">
        <v>1798</v>
      </c>
      <c r="I830" s="964" t="s">
        <v>2240</v>
      </c>
      <c r="J830" s="965" t="e">
        <f t="shared" si="6"/>
        <v>#VALUE!</v>
      </c>
      <c r="K830" s="60" t="s">
        <v>1800</v>
      </c>
    </row>
    <row r="831" spans="1:11" ht="24" x14ac:dyDescent="0.2">
      <c r="A831" s="918" t="s">
        <v>1858</v>
      </c>
      <c r="B831" s="918" t="s">
        <v>1802</v>
      </c>
      <c r="C831" s="918" t="s">
        <v>2189</v>
      </c>
      <c r="D831" s="918">
        <v>570</v>
      </c>
      <c r="E831" s="415"/>
      <c r="F831" s="966">
        <v>12698</v>
      </c>
      <c r="G831" s="967" t="s">
        <v>2242</v>
      </c>
      <c r="H831" s="963" t="s">
        <v>1798</v>
      </c>
      <c r="I831" s="964" t="s">
        <v>2236</v>
      </c>
      <c r="J831" s="965" t="e">
        <f t="shared" si="6"/>
        <v>#VALUE!</v>
      </c>
      <c r="K831" s="60" t="s">
        <v>1800</v>
      </c>
    </row>
    <row r="832" spans="1:11" ht="24" x14ac:dyDescent="0.2">
      <c r="A832" s="918" t="s">
        <v>1858</v>
      </c>
      <c r="B832" s="918" t="s">
        <v>1802</v>
      </c>
      <c r="C832" s="918" t="s">
        <v>2189</v>
      </c>
      <c r="D832" s="918">
        <v>571</v>
      </c>
      <c r="E832" s="415"/>
      <c r="F832" s="966">
        <v>14470</v>
      </c>
      <c r="G832" s="967" t="s">
        <v>1965</v>
      </c>
      <c r="H832" s="963" t="s">
        <v>1798</v>
      </c>
      <c r="I832" s="964" t="s">
        <v>2236</v>
      </c>
      <c r="J832" s="965" t="e">
        <f t="shared" si="6"/>
        <v>#VALUE!</v>
      </c>
      <c r="K832" s="60" t="s">
        <v>1800</v>
      </c>
    </row>
    <row r="833" spans="1:11" ht="24" x14ac:dyDescent="0.2">
      <c r="A833" s="918" t="s">
        <v>1858</v>
      </c>
      <c r="B833" s="918" t="s">
        <v>1802</v>
      </c>
      <c r="C833" s="918" t="s">
        <v>2189</v>
      </c>
      <c r="D833" s="918">
        <v>580</v>
      </c>
      <c r="E833" s="415"/>
      <c r="F833" s="966">
        <v>12240</v>
      </c>
      <c r="G833" s="967" t="s">
        <v>1807</v>
      </c>
      <c r="H833" s="963" t="s">
        <v>1798</v>
      </c>
      <c r="I833" s="964" t="s">
        <v>2240</v>
      </c>
      <c r="J833" s="965" t="e">
        <f t="shared" si="6"/>
        <v>#VALUE!</v>
      </c>
      <c r="K833" s="60" t="s">
        <v>1800</v>
      </c>
    </row>
    <row r="834" spans="1:11" ht="24" x14ac:dyDescent="0.2">
      <c r="A834" s="918" t="s">
        <v>1858</v>
      </c>
      <c r="B834" s="918" t="s">
        <v>1802</v>
      </c>
      <c r="C834" s="918" t="s">
        <v>2189</v>
      </c>
      <c r="D834" s="918">
        <v>581</v>
      </c>
      <c r="E834" s="415"/>
      <c r="F834" s="966">
        <v>10200</v>
      </c>
      <c r="G834" s="967" t="s">
        <v>1807</v>
      </c>
      <c r="H834" s="963" t="s">
        <v>1798</v>
      </c>
      <c r="I834" s="964" t="s">
        <v>2240</v>
      </c>
      <c r="J834" s="965" t="e">
        <f t="shared" si="6"/>
        <v>#VALUE!</v>
      </c>
      <c r="K834" s="60" t="s">
        <v>1800</v>
      </c>
    </row>
    <row r="835" spans="1:11" ht="24" x14ac:dyDescent="0.2">
      <c r="A835" s="918" t="s">
        <v>1858</v>
      </c>
      <c r="B835" s="918" t="s">
        <v>1802</v>
      </c>
      <c r="C835" s="918" t="s">
        <v>2189</v>
      </c>
      <c r="D835" s="918">
        <v>597</v>
      </c>
      <c r="E835" s="415"/>
      <c r="F835" s="966">
        <v>14470</v>
      </c>
      <c r="G835" s="967" t="s">
        <v>1965</v>
      </c>
      <c r="H835" s="963" t="s">
        <v>1798</v>
      </c>
      <c r="I835" s="964" t="s">
        <v>2240</v>
      </c>
      <c r="J835" s="965" t="e">
        <f t="shared" si="6"/>
        <v>#VALUE!</v>
      </c>
      <c r="K835" s="60" t="s">
        <v>1800</v>
      </c>
    </row>
    <row r="836" spans="1:11" ht="24" x14ac:dyDescent="0.2">
      <c r="A836" s="918" t="s">
        <v>1801</v>
      </c>
      <c r="B836" s="918" t="s">
        <v>1802</v>
      </c>
      <c r="C836" s="918" t="s">
        <v>1941</v>
      </c>
      <c r="D836" s="918">
        <v>605</v>
      </c>
      <c r="E836" s="415"/>
      <c r="F836" s="966">
        <v>10037.280000000001</v>
      </c>
      <c r="G836" s="967" t="s">
        <v>1824</v>
      </c>
      <c r="H836" s="963" t="s">
        <v>1798</v>
      </c>
      <c r="I836" s="964" t="s">
        <v>2240</v>
      </c>
      <c r="J836" s="965" t="e">
        <f t="shared" si="6"/>
        <v>#VALUE!</v>
      </c>
      <c r="K836" s="60" t="s">
        <v>1800</v>
      </c>
    </row>
    <row r="837" spans="1:11" ht="24" x14ac:dyDescent="0.2">
      <c r="A837" s="918" t="s">
        <v>1801</v>
      </c>
      <c r="B837" s="918" t="s">
        <v>1802</v>
      </c>
      <c r="C837" s="918" t="s">
        <v>1941</v>
      </c>
      <c r="D837" s="918">
        <v>622</v>
      </c>
      <c r="E837" s="415"/>
      <c r="F837" s="966">
        <v>10037.280000000001</v>
      </c>
      <c r="G837" s="967" t="s">
        <v>1824</v>
      </c>
      <c r="H837" s="963" t="s">
        <v>1798</v>
      </c>
      <c r="I837" s="964" t="s">
        <v>2240</v>
      </c>
      <c r="J837" s="965" t="e">
        <f t="shared" si="6"/>
        <v>#VALUE!</v>
      </c>
      <c r="K837" s="60" t="s">
        <v>1800</v>
      </c>
    </row>
    <row r="838" spans="1:11" ht="24" x14ac:dyDescent="0.2">
      <c r="A838" s="918" t="s">
        <v>2243</v>
      </c>
      <c r="B838" s="917" t="s">
        <v>1796</v>
      </c>
      <c r="C838" s="917" t="s">
        <v>1238</v>
      </c>
      <c r="D838" s="918">
        <v>930</v>
      </c>
      <c r="E838" s="415"/>
      <c r="F838" s="966">
        <v>10000</v>
      </c>
      <c r="G838" s="967" t="s">
        <v>2244</v>
      </c>
      <c r="H838" s="963" t="s">
        <v>1798</v>
      </c>
      <c r="I838" s="964" t="s">
        <v>2224</v>
      </c>
      <c r="J838" s="965">
        <f t="shared" si="6"/>
        <v>44538</v>
      </c>
      <c r="K838" s="60" t="s">
        <v>1800</v>
      </c>
    </row>
    <row r="839" spans="1:11" ht="24" x14ac:dyDescent="0.2">
      <c r="A839" s="918" t="s">
        <v>2245</v>
      </c>
      <c r="B839" s="917" t="s">
        <v>1796</v>
      </c>
      <c r="C839" s="917" t="s">
        <v>1238</v>
      </c>
      <c r="D839" s="918">
        <v>931</v>
      </c>
      <c r="E839" s="415"/>
      <c r="F839" s="966">
        <v>14350.05</v>
      </c>
      <c r="G839" s="967" t="s">
        <v>1975</v>
      </c>
      <c r="H839" s="963" t="s">
        <v>1798</v>
      </c>
      <c r="I839" s="964" t="s">
        <v>2224</v>
      </c>
      <c r="J839" s="965">
        <f t="shared" si="6"/>
        <v>44538</v>
      </c>
      <c r="K839" s="60" t="s">
        <v>1800</v>
      </c>
    </row>
    <row r="840" spans="1:11" ht="24" x14ac:dyDescent="0.2">
      <c r="A840" s="918" t="s">
        <v>2246</v>
      </c>
      <c r="B840" s="917" t="s">
        <v>1796</v>
      </c>
      <c r="C840" s="917" t="s">
        <v>1238</v>
      </c>
      <c r="D840" s="918">
        <v>935</v>
      </c>
      <c r="E840" s="415"/>
      <c r="F840" s="966">
        <v>17675</v>
      </c>
      <c r="G840" s="967" t="s">
        <v>2247</v>
      </c>
      <c r="H840" s="963" t="s">
        <v>1798</v>
      </c>
      <c r="I840" s="964" t="s">
        <v>2224</v>
      </c>
      <c r="J840" s="965">
        <f t="shared" si="6"/>
        <v>44538</v>
      </c>
      <c r="K840" s="60" t="s">
        <v>1800</v>
      </c>
    </row>
    <row r="841" spans="1:11" ht="24" x14ac:dyDescent="0.2">
      <c r="A841" s="918" t="s">
        <v>2106</v>
      </c>
      <c r="B841" s="917" t="s">
        <v>1796</v>
      </c>
      <c r="C841" s="917" t="s">
        <v>1238</v>
      </c>
      <c r="D841" s="918">
        <v>977</v>
      </c>
      <c r="E841" s="415"/>
      <c r="F841" s="966">
        <v>27540.3</v>
      </c>
      <c r="G841" s="967" t="s">
        <v>1797</v>
      </c>
      <c r="H841" s="963" t="s">
        <v>1798</v>
      </c>
      <c r="I841" s="964" t="s">
        <v>2235</v>
      </c>
      <c r="J841" s="965"/>
      <c r="K841" s="60" t="s">
        <v>1800</v>
      </c>
    </row>
    <row r="842" spans="1:11" ht="24" x14ac:dyDescent="0.2">
      <c r="A842" s="918" t="s">
        <v>2107</v>
      </c>
      <c r="B842" s="917" t="s">
        <v>1796</v>
      </c>
      <c r="C842" s="917" t="s">
        <v>1238</v>
      </c>
      <c r="D842" s="918">
        <v>978</v>
      </c>
      <c r="E842" s="415"/>
      <c r="F842" s="966">
        <v>11550.1</v>
      </c>
      <c r="G842" s="967" t="s">
        <v>1797</v>
      </c>
      <c r="H842" s="963" t="s">
        <v>1798</v>
      </c>
      <c r="I842" s="964" t="s">
        <v>2235</v>
      </c>
      <c r="J842" s="965"/>
      <c r="K842" s="60" t="s">
        <v>1800</v>
      </c>
    </row>
    <row r="843" spans="1:11" ht="24" x14ac:dyDescent="0.2">
      <c r="A843" s="918" t="s">
        <v>2108</v>
      </c>
      <c r="B843" s="917" t="s">
        <v>1796</v>
      </c>
      <c r="C843" s="917" t="s">
        <v>1238</v>
      </c>
      <c r="D843" s="918">
        <v>979</v>
      </c>
      <c r="E843" s="415"/>
      <c r="F843" s="966">
        <v>12573</v>
      </c>
      <c r="G843" s="967" t="s">
        <v>1797</v>
      </c>
      <c r="H843" s="963" t="s">
        <v>1798</v>
      </c>
      <c r="I843" s="964" t="s">
        <v>2235</v>
      </c>
      <c r="J843" s="965"/>
      <c r="K843" s="60" t="s">
        <v>1800</v>
      </c>
    </row>
    <row r="844" spans="1:11" ht="24" x14ac:dyDescent="0.2">
      <c r="A844" s="918" t="s">
        <v>2209</v>
      </c>
      <c r="B844" s="917" t="s">
        <v>1796</v>
      </c>
      <c r="C844" s="917" t="s">
        <v>1238</v>
      </c>
      <c r="D844" s="918">
        <v>982</v>
      </c>
      <c r="E844" s="415"/>
      <c r="F844" s="966">
        <v>32400</v>
      </c>
      <c r="G844" s="967" t="s">
        <v>2008</v>
      </c>
      <c r="H844" s="963" t="s">
        <v>1798</v>
      </c>
      <c r="I844" s="964" t="s">
        <v>2235</v>
      </c>
      <c r="J844" s="965" t="e">
        <f t="shared" ref="J844:J907" si="7">I844+3</f>
        <v>#VALUE!</v>
      </c>
      <c r="K844" s="60" t="s">
        <v>1800</v>
      </c>
    </row>
    <row r="845" spans="1:11" ht="24" x14ac:dyDescent="0.2">
      <c r="A845" s="918" t="s">
        <v>2248</v>
      </c>
      <c r="B845" s="917" t="s">
        <v>1796</v>
      </c>
      <c r="C845" s="917" t="s">
        <v>1238</v>
      </c>
      <c r="D845" s="918">
        <v>985</v>
      </c>
      <c r="E845" s="415"/>
      <c r="F845" s="966">
        <v>15000</v>
      </c>
      <c r="G845" s="967" t="s">
        <v>2249</v>
      </c>
      <c r="H845" s="963" t="s">
        <v>1798</v>
      </c>
      <c r="I845" s="964" t="s">
        <v>2235</v>
      </c>
      <c r="J845" s="965" t="e">
        <f t="shared" si="7"/>
        <v>#VALUE!</v>
      </c>
      <c r="K845" s="60" t="s">
        <v>1800</v>
      </c>
    </row>
    <row r="846" spans="1:11" ht="24" x14ac:dyDescent="0.2">
      <c r="A846" s="918" t="s">
        <v>2250</v>
      </c>
      <c r="B846" s="917" t="s">
        <v>1796</v>
      </c>
      <c r="C846" s="917" t="s">
        <v>1238</v>
      </c>
      <c r="D846" s="918">
        <v>1049</v>
      </c>
      <c r="E846" s="415"/>
      <c r="F846" s="966">
        <v>10240</v>
      </c>
      <c r="G846" s="967" t="s">
        <v>2251</v>
      </c>
      <c r="H846" s="963" t="s">
        <v>1798</v>
      </c>
      <c r="I846" s="964" t="s">
        <v>2240</v>
      </c>
      <c r="J846" s="965" t="e">
        <f t="shared" si="7"/>
        <v>#VALUE!</v>
      </c>
      <c r="K846" s="60" t="s">
        <v>1800</v>
      </c>
    </row>
    <row r="847" spans="1:11" ht="24" x14ac:dyDescent="0.2">
      <c r="A847" s="918" t="s">
        <v>2178</v>
      </c>
      <c r="B847" s="917" t="s">
        <v>1796</v>
      </c>
      <c r="C847" s="917" t="s">
        <v>1238</v>
      </c>
      <c r="D847" s="918">
        <v>1057</v>
      </c>
      <c r="E847" s="415"/>
      <c r="F847" s="966">
        <v>18004.32</v>
      </c>
      <c r="G847" s="967" t="s">
        <v>2179</v>
      </c>
      <c r="H847" s="963" t="s">
        <v>1798</v>
      </c>
      <c r="I847" s="964" t="s">
        <v>2240</v>
      </c>
      <c r="J847" s="965" t="e">
        <f t="shared" si="7"/>
        <v>#VALUE!</v>
      </c>
      <c r="K847" s="60" t="s">
        <v>1800</v>
      </c>
    </row>
    <row r="848" spans="1:11" ht="24" x14ac:dyDescent="0.2">
      <c r="A848" s="918" t="s">
        <v>2252</v>
      </c>
      <c r="B848" s="917" t="s">
        <v>1796</v>
      </c>
      <c r="C848" s="917" t="s">
        <v>1238</v>
      </c>
      <c r="D848" s="918">
        <v>1063</v>
      </c>
      <c r="E848" s="415"/>
      <c r="F848" s="966">
        <v>12230</v>
      </c>
      <c r="G848" s="967" t="s">
        <v>1838</v>
      </c>
      <c r="H848" s="963" t="s">
        <v>1798</v>
      </c>
      <c r="I848" s="964" t="s">
        <v>2253</v>
      </c>
      <c r="J848" s="965" t="e">
        <f t="shared" si="7"/>
        <v>#VALUE!</v>
      </c>
      <c r="K848" s="60" t="s">
        <v>1800</v>
      </c>
    </row>
    <row r="849" spans="1:11" ht="24" x14ac:dyDescent="0.2">
      <c r="A849" s="918" t="s">
        <v>2252</v>
      </c>
      <c r="B849" s="917" t="s">
        <v>1796</v>
      </c>
      <c r="C849" s="917" t="s">
        <v>1238</v>
      </c>
      <c r="D849" s="918">
        <v>1064</v>
      </c>
      <c r="E849" s="415"/>
      <c r="F849" s="966">
        <v>30000</v>
      </c>
      <c r="G849" s="967" t="s">
        <v>1838</v>
      </c>
      <c r="H849" s="963" t="s">
        <v>1798</v>
      </c>
      <c r="I849" s="964" t="s">
        <v>2253</v>
      </c>
      <c r="J849" s="965" t="e">
        <f t="shared" si="7"/>
        <v>#VALUE!</v>
      </c>
      <c r="K849" s="60" t="s">
        <v>1800</v>
      </c>
    </row>
    <row r="850" spans="1:11" ht="24" x14ac:dyDescent="0.2">
      <c r="A850" s="918" t="s">
        <v>1801</v>
      </c>
      <c r="B850" s="917" t="s">
        <v>1796</v>
      </c>
      <c r="C850" s="917" t="s">
        <v>1238</v>
      </c>
      <c r="D850" s="918">
        <v>645</v>
      </c>
      <c r="E850" s="415"/>
      <c r="F850" s="966">
        <v>13920</v>
      </c>
      <c r="G850" s="967" t="s">
        <v>1815</v>
      </c>
      <c r="H850" s="963" t="s">
        <v>1798</v>
      </c>
      <c r="I850" s="964" t="s">
        <v>1366</v>
      </c>
      <c r="J850" s="965">
        <f t="shared" si="7"/>
        <v>44205</v>
      </c>
      <c r="K850" s="60" t="s">
        <v>1800</v>
      </c>
    </row>
    <row r="851" spans="1:11" ht="24" x14ac:dyDescent="0.2">
      <c r="A851" s="918" t="s">
        <v>2254</v>
      </c>
      <c r="B851" s="917" t="s">
        <v>1796</v>
      </c>
      <c r="C851" s="917" t="s">
        <v>1238</v>
      </c>
      <c r="D851" s="918">
        <v>651</v>
      </c>
      <c r="E851" s="415"/>
      <c r="F851" s="966">
        <v>16164</v>
      </c>
      <c r="G851" s="967" t="s">
        <v>1862</v>
      </c>
      <c r="H851" s="963" t="s">
        <v>1798</v>
      </c>
      <c r="I851" s="964" t="s">
        <v>2255</v>
      </c>
      <c r="J851" s="965">
        <f t="shared" si="7"/>
        <v>44236</v>
      </c>
      <c r="K851" s="60" t="s">
        <v>1800</v>
      </c>
    </row>
    <row r="852" spans="1:11" ht="24" x14ac:dyDescent="0.2">
      <c r="A852" s="918" t="s">
        <v>2256</v>
      </c>
      <c r="B852" s="917" t="s">
        <v>1796</v>
      </c>
      <c r="C852" s="917" t="s">
        <v>1238</v>
      </c>
      <c r="D852" s="918">
        <v>652</v>
      </c>
      <c r="E852" s="415"/>
      <c r="F852" s="966">
        <v>25920</v>
      </c>
      <c r="G852" s="967" t="s">
        <v>2199</v>
      </c>
      <c r="H852" s="963" t="s">
        <v>1798</v>
      </c>
      <c r="I852" s="964" t="s">
        <v>2255</v>
      </c>
      <c r="J852" s="965">
        <f t="shared" si="7"/>
        <v>44236</v>
      </c>
      <c r="K852" s="60" t="s">
        <v>1800</v>
      </c>
    </row>
    <row r="853" spans="1:11" ht="24" x14ac:dyDescent="0.2">
      <c r="A853" s="918" t="s">
        <v>1858</v>
      </c>
      <c r="B853" s="917" t="s">
        <v>1796</v>
      </c>
      <c r="C853" s="917" t="s">
        <v>1238</v>
      </c>
      <c r="D853" s="918">
        <v>654</v>
      </c>
      <c r="E853" s="415"/>
      <c r="F853" s="966">
        <v>20764.2</v>
      </c>
      <c r="G853" s="967" t="s">
        <v>1815</v>
      </c>
      <c r="H853" s="963" t="s">
        <v>1798</v>
      </c>
      <c r="I853" s="964" t="s">
        <v>2255</v>
      </c>
      <c r="J853" s="965">
        <f t="shared" si="7"/>
        <v>44236</v>
      </c>
      <c r="K853" s="60" t="s">
        <v>1800</v>
      </c>
    </row>
    <row r="854" spans="1:11" ht="24" x14ac:dyDescent="0.2">
      <c r="A854" s="918" t="s">
        <v>1858</v>
      </c>
      <c r="B854" s="917" t="s">
        <v>1796</v>
      </c>
      <c r="C854" s="917" t="s">
        <v>1238</v>
      </c>
      <c r="D854" s="918">
        <v>655</v>
      </c>
      <c r="E854" s="415"/>
      <c r="F854" s="966">
        <v>21837</v>
      </c>
      <c r="G854" s="967" t="s">
        <v>1862</v>
      </c>
      <c r="H854" s="963" t="s">
        <v>1798</v>
      </c>
      <c r="I854" s="964" t="s">
        <v>2255</v>
      </c>
      <c r="J854" s="965">
        <f t="shared" si="7"/>
        <v>44236</v>
      </c>
      <c r="K854" s="60" t="s">
        <v>1800</v>
      </c>
    </row>
    <row r="855" spans="1:11" ht="24" x14ac:dyDescent="0.2">
      <c r="A855" s="918" t="s">
        <v>1858</v>
      </c>
      <c r="B855" s="917" t="s">
        <v>1796</v>
      </c>
      <c r="C855" s="917" t="s">
        <v>1238</v>
      </c>
      <c r="D855" s="918">
        <v>656</v>
      </c>
      <c r="E855" s="415"/>
      <c r="F855" s="966">
        <v>18821</v>
      </c>
      <c r="G855" s="967" t="s">
        <v>2138</v>
      </c>
      <c r="H855" s="963" t="s">
        <v>1798</v>
      </c>
      <c r="I855" s="964" t="s">
        <v>2255</v>
      </c>
      <c r="J855" s="965">
        <f t="shared" si="7"/>
        <v>44236</v>
      </c>
      <c r="K855" s="60" t="s">
        <v>1800</v>
      </c>
    </row>
    <row r="856" spans="1:11" ht="24" x14ac:dyDescent="0.2">
      <c r="A856" s="918" t="s">
        <v>1858</v>
      </c>
      <c r="B856" s="917" t="s">
        <v>1796</v>
      </c>
      <c r="C856" s="917" t="s">
        <v>1238</v>
      </c>
      <c r="D856" s="918">
        <v>657</v>
      </c>
      <c r="E856" s="415"/>
      <c r="F856" s="966">
        <v>16223</v>
      </c>
      <c r="G856" s="967" t="s">
        <v>2138</v>
      </c>
      <c r="H856" s="963" t="s">
        <v>1798</v>
      </c>
      <c r="I856" s="964" t="s">
        <v>2255</v>
      </c>
      <c r="J856" s="965">
        <f t="shared" si="7"/>
        <v>44236</v>
      </c>
      <c r="K856" s="60" t="s">
        <v>1800</v>
      </c>
    </row>
    <row r="857" spans="1:11" ht="24" x14ac:dyDescent="0.2">
      <c r="A857" s="918" t="s">
        <v>1858</v>
      </c>
      <c r="B857" s="917" t="s">
        <v>1796</v>
      </c>
      <c r="C857" s="917" t="s">
        <v>1238</v>
      </c>
      <c r="D857" s="918">
        <v>662</v>
      </c>
      <c r="E857" s="415"/>
      <c r="F857" s="966">
        <v>10776</v>
      </c>
      <c r="G857" s="967" t="s">
        <v>1862</v>
      </c>
      <c r="H857" s="963" t="s">
        <v>1798</v>
      </c>
      <c r="I857" s="964" t="s">
        <v>2257</v>
      </c>
      <c r="J857" s="965">
        <f t="shared" si="7"/>
        <v>44264</v>
      </c>
      <c r="K857" s="60" t="s">
        <v>1800</v>
      </c>
    </row>
    <row r="858" spans="1:11" ht="24" x14ac:dyDescent="0.2">
      <c r="A858" s="918" t="s">
        <v>1801</v>
      </c>
      <c r="B858" s="917" t="s">
        <v>1796</v>
      </c>
      <c r="C858" s="917" t="s">
        <v>1238</v>
      </c>
      <c r="D858" s="918">
        <v>665</v>
      </c>
      <c r="E858" s="415"/>
      <c r="F858" s="966">
        <v>16000</v>
      </c>
      <c r="G858" s="967" t="s">
        <v>2258</v>
      </c>
      <c r="H858" s="963" t="s">
        <v>1798</v>
      </c>
      <c r="I858" s="964" t="s">
        <v>2257</v>
      </c>
      <c r="J858" s="965">
        <f t="shared" si="7"/>
        <v>44264</v>
      </c>
      <c r="K858" s="60" t="s">
        <v>1800</v>
      </c>
    </row>
    <row r="859" spans="1:11" ht="24" x14ac:dyDescent="0.2">
      <c r="A859" s="918" t="s">
        <v>2259</v>
      </c>
      <c r="B859" s="917" t="s">
        <v>1796</v>
      </c>
      <c r="C859" s="917" t="s">
        <v>1238</v>
      </c>
      <c r="D859" s="918">
        <v>677</v>
      </c>
      <c r="E859" s="415"/>
      <c r="F859" s="966">
        <v>19210</v>
      </c>
      <c r="G859" s="967" t="s">
        <v>2260</v>
      </c>
      <c r="H859" s="963" t="s">
        <v>1798</v>
      </c>
      <c r="I859" s="964" t="s">
        <v>2261</v>
      </c>
      <c r="J859" s="965">
        <f t="shared" si="7"/>
        <v>44386</v>
      </c>
      <c r="K859" s="60" t="s">
        <v>1800</v>
      </c>
    </row>
    <row r="860" spans="1:11" ht="24" x14ac:dyDescent="0.2">
      <c r="A860" s="918" t="s">
        <v>1858</v>
      </c>
      <c r="B860" s="917" t="s">
        <v>1796</v>
      </c>
      <c r="C860" s="917" t="s">
        <v>1238</v>
      </c>
      <c r="D860" s="918">
        <v>678</v>
      </c>
      <c r="E860" s="415"/>
      <c r="F860" s="966">
        <v>12000</v>
      </c>
      <c r="G860" s="967" t="s">
        <v>1862</v>
      </c>
      <c r="H860" s="963" t="s">
        <v>1798</v>
      </c>
      <c r="I860" s="964" t="s">
        <v>2261</v>
      </c>
      <c r="J860" s="965">
        <f t="shared" si="7"/>
        <v>44386</v>
      </c>
      <c r="K860" s="60" t="s">
        <v>1800</v>
      </c>
    </row>
    <row r="861" spans="1:11" ht="24" x14ac:dyDescent="0.2">
      <c r="A861" s="918" t="s">
        <v>2262</v>
      </c>
      <c r="B861" s="917" t="s">
        <v>1796</v>
      </c>
      <c r="C861" s="917" t="s">
        <v>1238</v>
      </c>
      <c r="D861" s="918">
        <v>682</v>
      </c>
      <c r="E861" s="415"/>
      <c r="F861" s="966">
        <v>29700</v>
      </c>
      <c r="G861" s="967" t="s">
        <v>2263</v>
      </c>
      <c r="H861" s="963" t="s">
        <v>1798</v>
      </c>
      <c r="I861" s="964" t="s">
        <v>2264</v>
      </c>
      <c r="J861" s="965">
        <f t="shared" si="7"/>
        <v>44417</v>
      </c>
      <c r="K861" s="60" t="s">
        <v>1800</v>
      </c>
    </row>
    <row r="862" spans="1:11" ht="24" x14ac:dyDescent="0.2">
      <c r="A862" s="918" t="s">
        <v>2265</v>
      </c>
      <c r="B862" s="917" t="s">
        <v>1796</v>
      </c>
      <c r="C862" s="917" t="s">
        <v>1238</v>
      </c>
      <c r="D862" s="918">
        <v>683</v>
      </c>
      <c r="E862" s="415"/>
      <c r="F862" s="966">
        <v>26494</v>
      </c>
      <c r="G862" s="967" t="s">
        <v>2036</v>
      </c>
      <c r="H862" s="963" t="s">
        <v>1798</v>
      </c>
      <c r="I862" s="964" t="s">
        <v>2264</v>
      </c>
      <c r="J862" s="965">
        <f t="shared" si="7"/>
        <v>44417</v>
      </c>
      <c r="K862" s="60" t="s">
        <v>1800</v>
      </c>
    </row>
    <row r="863" spans="1:11" ht="24" x14ac:dyDescent="0.2">
      <c r="A863" s="918" t="s">
        <v>1801</v>
      </c>
      <c r="B863" s="917" t="s">
        <v>1796</v>
      </c>
      <c r="C863" s="917" t="s">
        <v>1238</v>
      </c>
      <c r="D863" s="918">
        <v>696</v>
      </c>
      <c r="E863" s="415"/>
      <c r="F863" s="966">
        <v>12000</v>
      </c>
      <c r="G863" s="967" t="s">
        <v>2258</v>
      </c>
      <c r="H863" s="963" t="s">
        <v>1798</v>
      </c>
      <c r="I863" s="964" t="s">
        <v>2266</v>
      </c>
      <c r="J863" s="965">
        <f t="shared" si="7"/>
        <v>44478</v>
      </c>
      <c r="K863" s="60" t="s">
        <v>1800</v>
      </c>
    </row>
    <row r="864" spans="1:11" ht="24" x14ac:dyDescent="0.2">
      <c r="A864" s="918" t="s">
        <v>2267</v>
      </c>
      <c r="B864" s="917" t="s">
        <v>1796</v>
      </c>
      <c r="C864" s="917" t="s">
        <v>1238</v>
      </c>
      <c r="D864" s="918">
        <v>697</v>
      </c>
      <c r="E864" s="415"/>
      <c r="F864" s="966">
        <v>20000</v>
      </c>
      <c r="G864" s="967" t="s">
        <v>1804</v>
      </c>
      <c r="H864" s="963" t="s">
        <v>1798</v>
      </c>
      <c r="I864" s="964" t="s">
        <v>2266</v>
      </c>
      <c r="J864" s="965">
        <f t="shared" si="7"/>
        <v>44478</v>
      </c>
      <c r="K864" s="60" t="s">
        <v>1800</v>
      </c>
    </row>
    <row r="865" spans="1:11" ht="24" x14ac:dyDescent="0.2">
      <c r="A865" s="918" t="s">
        <v>2268</v>
      </c>
      <c r="B865" s="917" t="s">
        <v>1796</v>
      </c>
      <c r="C865" s="917" t="s">
        <v>1238</v>
      </c>
      <c r="D865" s="918">
        <v>700</v>
      </c>
      <c r="E865" s="415"/>
      <c r="F865" s="966">
        <v>15360</v>
      </c>
      <c r="G865" s="967" t="s">
        <v>1920</v>
      </c>
      <c r="H865" s="963" t="s">
        <v>1798</v>
      </c>
      <c r="I865" s="964" t="s">
        <v>2266</v>
      </c>
      <c r="J865" s="965">
        <f t="shared" si="7"/>
        <v>44478</v>
      </c>
      <c r="K865" s="60" t="s">
        <v>1800</v>
      </c>
    </row>
    <row r="866" spans="1:11" ht="24" x14ac:dyDescent="0.2">
      <c r="A866" s="918" t="s">
        <v>2269</v>
      </c>
      <c r="B866" s="917" t="s">
        <v>1796</v>
      </c>
      <c r="C866" s="917" t="s">
        <v>1238</v>
      </c>
      <c r="D866" s="918">
        <v>705</v>
      </c>
      <c r="E866" s="415"/>
      <c r="F866" s="966">
        <v>13524</v>
      </c>
      <c r="G866" s="967" t="s">
        <v>2233</v>
      </c>
      <c r="H866" s="963" t="s">
        <v>1798</v>
      </c>
      <c r="I866" s="964" t="s">
        <v>2270</v>
      </c>
      <c r="J866" s="965">
        <f t="shared" si="7"/>
        <v>44509</v>
      </c>
      <c r="K866" s="60" t="s">
        <v>1800</v>
      </c>
    </row>
    <row r="867" spans="1:11" ht="24" x14ac:dyDescent="0.2">
      <c r="A867" s="918" t="s">
        <v>2271</v>
      </c>
      <c r="B867" s="917" t="s">
        <v>1796</v>
      </c>
      <c r="C867" s="917" t="s">
        <v>1238</v>
      </c>
      <c r="D867" s="918">
        <v>709</v>
      </c>
      <c r="E867" s="415"/>
      <c r="F867" s="966">
        <v>34800</v>
      </c>
      <c r="G867" s="967" t="s">
        <v>2199</v>
      </c>
      <c r="H867" s="963" t="s">
        <v>1798</v>
      </c>
      <c r="I867" s="964" t="s">
        <v>2270</v>
      </c>
      <c r="J867" s="965">
        <f t="shared" si="7"/>
        <v>44509</v>
      </c>
      <c r="K867" s="60" t="s">
        <v>1800</v>
      </c>
    </row>
    <row r="868" spans="1:11" ht="24" x14ac:dyDescent="0.2">
      <c r="A868" s="918" t="s">
        <v>2272</v>
      </c>
      <c r="B868" s="918" t="s">
        <v>1802</v>
      </c>
      <c r="C868" s="918" t="s">
        <v>2189</v>
      </c>
      <c r="D868" s="918">
        <v>720</v>
      </c>
      <c r="E868" s="415"/>
      <c r="F868" s="966">
        <v>11628</v>
      </c>
      <c r="G868" s="967" t="s">
        <v>1807</v>
      </c>
      <c r="H868" s="963" t="s">
        <v>1798</v>
      </c>
      <c r="I868" s="964" t="s">
        <v>2270</v>
      </c>
      <c r="J868" s="965">
        <f t="shared" si="7"/>
        <v>44509</v>
      </c>
      <c r="K868" s="60" t="s">
        <v>1800</v>
      </c>
    </row>
    <row r="869" spans="1:11" ht="24" x14ac:dyDescent="0.2">
      <c r="A869" s="918" t="s">
        <v>2092</v>
      </c>
      <c r="B869" s="917" t="s">
        <v>1796</v>
      </c>
      <c r="C869" s="917" t="s">
        <v>1238</v>
      </c>
      <c r="D869" s="918">
        <v>722</v>
      </c>
      <c r="E869" s="415"/>
      <c r="F869" s="966">
        <v>29050</v>
      </c>
      <c r="G869" s="967" t="s">
        <v>2138</v>
      </c>
      <c r="H869" s="963" t="s">
        <v>1798</v>
      </c>
      <c r="I869" s="964" t="s">
        <v>2270</v>
      </c>
      <c r="J869" s="965">
        <f t="shared" si="7"/>
        <v>44509</v>
      </c>
      <c r="K869" s="60" t="s">
        <v>1800</v>
      </c>
    </row>
    <row r="870" spans="1:11" ht="24" x14ac:dyDescent="0.2">
      <c r="A870" s="918" t="s">
        <v>2092</v>
      </c>
      <c r="B870" s="917" t="s">
        <v>1796</v>
      </c>
      <c r="C870" s="917" t="s">
        <v>1238</v>
      </c>
      <c r="D870" s="918">
        <v>723</v>
      </c>
      <c r="E870" s="415"/>
      <c r="F870" s="966">
        <v>31500</v>
      </c>
      <c r="G870" s="967" t="s">
        <v>1862</v>
      </c>
      <c r="H870" s="963" t="s">
        <v>1798</v>
      </c>
      <c r="I870" s="964" t="s">
        <v>2270</v>
      </c>
      <c r="J870" s="965">
        <f t="shared" si="7"/>
        <v>44509</v>
      </c>
      <c r="K870" s="60" t="s">
        <v>1800</v>
      </c>
    </row>
    <row r="871" spans="1:11" ht="24" x14ac:dyDescent="0.2">
      <c r="A871" s="918" t="s">
        <v>1801</v>
      </c>
      <c r="B871" s="918" t="s">
        <v>1802</v>
      </c>
      <c r="C871" s="918" t="s">
        <v>2077</v>
      </c>
      <c r="D871" s="918">
        <v>731</v>
      </c>
      <c r="E871" s="415"/>
      <c r="F871" s="966">
        <v>13661.4</v>
      </c>
      <c r="G871" s="967" t="s">
        <v>1807</v>
      </c>
      <c r="H871" s="963" t="s">
        <v>1798</v>
      </c>
      <c r="I871" s="964" t="s">
        <v>2270</v>
      </c>
      <c r="J871" s="965">
        <f t="shared" si="7"/>
        <v>44509</v>
      </c>
      <c r="K871" s="60" t="s">
        <v>1800</v>
      </c>
    </row>
    <row r="872" spans="1:11" ht="24" x14ac:dyDescent="0.2">
      <c r="A872" s="918" t="s">
        <v>1801</v>
      </c>
      <c r="B872" s="918" t="s">
        <v>1802</v>
      </c>
      <c r="C872" s="918" t="s">
        <v>2077</v>
      </c>
      <c r="D872" s="918">
        <v>735</v>
      </c>
      <c r="E872" s="415"/>
      <c r="F872" s="966">
        <v>12650</v>
      </c>
      <c r="G872" s="967" t="s">
        <v>1804</v>
      </c>
      <c r="H872" s="963" t="s">
        <v>1798</v>
      </c>
      <c r="I872" s="964" t="s">
        <v>2270</v>
      </c>
      <c r="J872" s="965">
        <f t="shared" si="7"/>
        <v>44509</v>
      </c>
      <c r="K872" s="60" t="s">
        <v>1800</v>
      </c>
    </row>
    <row r="873" spans="1:11" ht="24" x14ac:dyDescent="0.2">
      <c r="A873" s="918" t="s">
        <v>2272</v>
      </c>
      <c r="B873" s="918" t="s">
        <v>1802</v>
      </c>
      <c r="C873" s="918" t="s">
        <v>2189</v>
      </c>
      <c r="D873" s="918">
        <v>745</v>
      </c>
      <c r="E873" s="415"/>
      <c r="F873" s="966">
        <v>21705</v>
      </c>
      <c r="G873" s="967" t="s">
        <v>1965</v>
      </c>
      <c r="H873" s="963" t="s">
        <v>1798</v>
      </c>
      <c r="I873" s="964" t="s">
        <v>2270</v>
      </c>
      <c r="J873" s="965">
        <f t="shared" si="7"/>
        <v>44509</v>
      </c>
      <c r="K873" s="60" t="s">
        <v>1800</v>
      </c>
    </row>
    <row r="874" spans="1:11" ht="24" x14ac:dyDescent="0.2">
      <c r="A874" s="918" t="s">
        <v>1801</v>
      </c>
      <c r="B874" s="918" t="s">
        <v>1802</v>
      </c>
      <c r="C874" s="918" t="s">
        <v>2077</v>
      </c>
      <c r="D874" s="918">
        <v>771</v>
      </c>
      <c r="E874" s="415"/>
      <c r="F874" s="966">
        <v>13885.89</v>
      </c>
      <c r="G874" s="967" t="s">
        <v>1804</v>
      </c>
      <c r="H874" s="963" t="s">
        <v>1798</v>
      </c>
      <c r="I874" s="964" t="s">
        <v>2270</v>
      </c>
      <c r="J874" s="965">
        <f t="shared" si="7"/>
        <v>44509</v>
      </c>
      <c r="K874" s="60" t="s">
        <v>1800</v>
      </c>
    </row>
    <row r="875" spans="1:11" ht="24" x14ac:dyDescent="0.2">
      <c r="A875" s="918" t="s">
        <v>2273</v>
      </c>
      <c r="B875" s="918" t="s">
        <v>1802</v>
      </c>
      <c r="C875" s="918" t="s">
        <v>2077</v>
      </c>
      <c r="D875" s="918">
        <v>803</v>
      </c>
      <c r="E875" s="415"/>
      <c r="F875" s="966">
        <v>13200</v>
      </c>
      <c r="G875" s="967" t="s">
        <v>1824</v>
      </c>
      <c r="H875" s="963" t="s">
        <v>1798</v>
      </c>
      <c r="I875" s="964" t="s">
        <v>2270</v>
      </c>
      <c r="J875" s="965">
        <f t="shared" si="7"/>
        <v>44509</v>
      </c>
      <c r="K875" s="60" t="s">
        <v>1800</v>
      </c>
    </row>
    <row r="876" spans="1:11" ht="24" x14ac:dyDescent="0.2">
      <c r="A876" s="918" t="s">
        <v>2273</v>
      </c>
      <c r="B876" s="918" t="s">
        <v>1802</v>
      </c>
      <c r="C876" s="918" t="s">
        <v>2077</v>
      </c>
      <c r="D876" s="918">
        <v>813</v>
      </c>
      <c r="E876" s="415"/>
      <c r="F876" s="966">
        <v>10523.87</v>
      </c>
      <c r="G876" s="967" t="s">
        <v>1807</v>
      </c>
      <c r="H876" s="963" t="s">
        <v>1798</v>
      </c>
      <c r="I876" s="964" t="s">
        <v>2270</v>
      </c>
      <c r="J876" s="965">
        <f t="shared" si="7"/>
        <v>44509</v>
      </c>
      <c r="K876" s="60" t="s">
        <v>1800</v>
      </c>
    </row>
    <row r="877" spans="1:11" ht="24" x14ac:dyDescent="0.2">
      <c r="A877" s="918" t="s">
        <v>1801</v>
      </c>
      <c r="B877" s="917" t="s">
        <v>1796</v>
      </c>
      <c r="C877" s="917" t="s">
        <v>1238</v>
      </c>
      <c r="D877" s="918">
        <v>828</v>
      </c>
      <c r="E877" s="415"/>
      <c r="F877" s="966">
        <v>35100</v>
      </c>
      <c r="G877" s="967" t="s">
        <v>2274</v>
      </c>
      <c r="H877" s="963" t="s">
        <v>1798</v>
      </c>
      <c r="I877" s="964" t="s">
        <v>2275</v>
      </c>
      <c r="J877" s="965" t="e">
        <f t="shared" si="7"/>
        <v>#VALUE!</v>
      </c>
      <c r="K877" s="60" t="s">
        <v>1800</v>
      </c>
    </row>
    <row r="878" spans="1:11" ht="24" x14ac:dyDescent="0.2">
      <c r="A878" s="918" t="s">
        <v>1801</v>
      </c>
      <c r="B878" s="917" t="s">
        <v>1796</v>
      </c>
      <c r="C878" s="917" t="s">
        <v>1238</v>
      </c>
      <c r="D878" s="918">
        <v>829</v>
      </c>
      <c r="E878" s="415"/>
      <c r="F878" s="966">
        <v>21000</v>
      </c>
      <c r="G878" s="967" t="s">
        <v>2274</v>
      </c>
      <c r="H878" s="963" t="s">
        <v>1798</v>
      </c>
      <c r="I878" s="964" t="s">
        <v>2275</v>
      </c>
      <c r="J878" s="965" t="e">
        <f t="shared" si="7"/>
        <v>#VALUE!</v>
      </c>
      <c r="K878" s="60" t="s">
        <v>1800</v>
      </c>
    </row>
    <row r="879" spans="1:11" ht="24" x14ac:dyDescent="0.2">
      <c r="A879" s="918" t="s">
        <v>1801</v>
      </c>
      <c r="B879" s="917" t="s">
        <v>1796</v>
      </c>
      <c r="C879" s="917" t="s">
        <v>1238</v>
      </c>
      <c r="D879" s="918">
        <v>831</v>
      </c>
      <c r="E879" s="415"/>
      <c r="F879" s="966">
        <v>18900</v>
      </c>
      <c r="G879" s="967" t="s">
        <v>2274</v>
      </c>
      <c r="H879" s="963" t="s">
        <v>1798</v>
      </c>
      <c r="I879" s="964" t="s">
        <v>2275</v>
      </c>
      <c r="J879" s="965" t="e">
        <f t="shared" si="7"/>
        <v>#VALUE!</v>
      </c>
      <c r="K879" s="60" t="s">
        <v>1800</v>
      </c>
    </row>
    <row r="880" spans="1:11" ht="24" x14ac:dyDescent="0.2">
      <c r="A880" s="918" t="s">
        <v>2142</v>
      </c>
      <c r="B880" s="918" t="s">
        <v>1802</v>
      </c>
      <c r="C880" s="918" t="s">
        <v>2276</v>
      </c>
      <c r="D880" s="918">
        <v>836</v>
      </c>
      <c r="E880" s="415"/>
      <c r="F880" s="966">
        <v>42000</v>
      </c>
      <c r="G880" s="967" t="s">
        <v>1862</v>
      </c>
      <c r="H880" s="963" t="s">
        <v>1798</v>
      </c>
      <c r="I880" s="964" t="s">
        <v>2277</v>
      </c>
      <c r="J880" s="965" t="e">
        <f t="shared" si="7"/>
        <v>#VALUE!</v>
      </c>
      <c r="K880" s="60" t="s">
        <v>1800</v>
      </c>
    </row>
    <row r="881" spans="1:11" ht="24" x14ac:dyDescent="0.2">
      <c r="A881" s="918" t="s">
        <v>1816</v>
      </c>
      <c r="B881" s="918" t="s">
        <v>1802</v>
      </c>
      <c r="C881" s="918" t="s">
        <v>2278</v>
      </c>
      <c r="D881" s="918">
        <v>859</v>
      </c>
      <c r="E881" s="415"/>
      <c r="F881" s="966">
        <v>65904</v>
      </c>
      <c r="G881" s="967" t="s">
        <v>1815</v>
      </c>
      <c r="H881" s="963" t="s">
        <v>1798</v>
      </c>
      <c r="I881" s="964" t="s">
        <v>2279</v>
      </c>
      <c r="J881" s="965" t="e">
        <f t="shared" si="7"/>
        <v>#VALUE!</v>
      </c>
      <c r="K881" s="60" t="s">
        <v>1800</v>
      </c>
    </row>
    <row r="882" spans="1:11" ht="24" x14ac:dyDescent="0.2">
      <c r="A882" s="918" t="s">
        <v>2280</v>
      </c>
      <c r="B882" s="917" t="s">
        <v>1796</v>
      </c>
      <c r="C882" s="917" t="s">
        <v>1238</v>
      </c>
      <c r="D882" s="918">
        <v>1080</v>
      </c>
      <c r="E882" s="415"/>
      <c r="F882" s="966">
        <v>20000</v>
      </c>
      <c r="G882" s="967" t="s">
        <v>2281</v>
      </c>
      <c r="H882" s="963" t="s">
        <v>1798</v>
      </c>
      <c r="I882" s="964" t="s">
        <v>1366</v>
      </c>
      <c r="J882" s="965">
        <f t="shared" si="7"/>
        <v>44205</v>
      </c>
      <c r="K882" s="60" t="s">
        <v>1800</v>
      </c>
    </row>
    <row r="883" spans="1:11" ht="24" x14ac:dyDescent="0.2">
      <c r="A883" s="918" t="s">
        <v>2252</v>
      </c>
      <c r="B883" s="917" t="s">
        <v>1796</v>
      </c>
      <c r="C883" s="917" t="s">
        <v>1238</v>
      </c>
      <c r="D883" s="918">
        <v>1103</v>
      </c>
      <c r="E883" s="415"/>
      <c r="F883" s="966">
        <v>20568</v>
      </c>
      <c r="G883" s="967" t="s">
        <v>2282</v>
      </c>
      <c r="H883" s="963" t="s">
        <v>1798</v>
      </c>
      <c r="I883" s="964" t="s">
        <v>2283</v>
      </c>
      <c r="J883" s="965">
        <f t="shared" si="7"/>
        <v>44295</v>
      </c>
      <c r="K883" s="60" t="s">
        <v>1800</v>
      </c>
    </row>
    <row r="884" spans="1:11" ht="24" x14ac:dyDescent="0.2">
      <c r="A884" s="918" t="s">
        <v>2284</v>
      </c>
      <c r="B884" s="917" t="s">
        <v>1796</v>
      </c>
      <c r="C884" s="917" t="s">
        <v>1238</v>
      </c>
      <c r="D884" s="918">
        <v>1210</v>
      </c>
      <c r="E884" s="415"/>
      <c r="F884" s="966">
        <v>14000</v>
      </c>
      <c r="G884" s="967" t="s">
        <v>1838</v>
      </c>
      <c r="H884" s="963" t="s">
        <v>1798</v>
      </c>
      <c r="I884" s="964" t="s">
        <v>1653</v>
      </c>
      <c r="J884" s="965" t="e">
        <f t="shared" si="7"/>
        <v>#VALUE!</v>
      </c>
      <c r="K884" s="60" t="s">
        <v>1800</v>
      </c>
    </row>
    <row r="885" spans="1:11" ht="24" x14ac:dyDescent="0.2">
      <c r="A885" s="918" t="s">
        <v>1816</v>
      </c>
      <c r="B885" s="917" t="s">
        <v>1796</v>
      </c>
      <c r="C885" s="917" t="s">
        <v>1238</v>
      </c>
      <c r="D885" s="918">
        <v>872</v>
      </c>
      <c r="E885" s="415"/>
      <c r="F885" s="966">
        <v>16349.04</v>
      </c>
      <c r="G885" s="967" t="s">
        <v>1822</v>
      </c>
      <c r="H885" s="963" t="s">
        <v>1798</v>
      </c>
      <c r="I885" s="964" t="s">
        <v>2285</v>
      </c>
      <c r="J885" s="965">
        <f t="shared" si="7"/>
        <v>44206</v>
      </c>
      <c r="K885" s="60" t="s">
        <v>1800</v>
      </c>
    </row>
    <row r="886" spans="1:11" ht="24" x14ac:dyDescent="0.2">
      <c r="A886" s="918" t="s">
        <v>1816</v>
      </c>
      <c r="B886" s="917" t="s">
        <v>1796</v>
      </c>
      <c r="C886" s="917" t="s">
        <v>1238</v>
      </c>
      <c r="D886" s="918">
        <v>873</v>
      </c>
      <c r="E886" s="415"/>
      <c r="F886" s="966">
        <v>34000</v>
      </c>
      <c r="G886" s="967" t="s">
        <v>2199</v>
      </c>
      <c r="H886" s="963" t="s">
        <v>1798</v>
      </c>
      <c r="I886" s="964" t="s">
        <v>2285</v>
      </c>
      <c r="J886" s="965">
        <f t="shared" si="7"/>
        <v>44206</v>
      </c>
      <c r="K886" s="60" t="s">
        <v>1800</v>
      </c>
    </row>
    <row r="887" spans="1:11" ht="24" x14ac:dyDescent="0.2">
      <c r="A887" s="918" t="s">
        <v>2286</v>
      </c>
      <c r="B887" s="917" t="s">
        <v>1796</v>
      </c>
      <c r="C887" s="917" t="s">
        <v>1238</v>
      </c>
      <c r="D887" s="918">
        <v>874</v>
      </c>
      <c r="E887" s="415"/>
      <c r="F887" s="966">
        <v>15016</v>
      </c>
      <c r="G887" s="967" t="s">
        <v>2138</v>
      </c>
      <c r="H887" s="963" t="s">
        <v>1798</v>
      </c>
      <c r="I887" s="964" t="s">
        <v>2285</v>
      </c>
      <c r="J887" s="965">
        <f t="shared" si="7"/>
        <v>44206</v>
      </c>
      <c r="K887" s="60" t="s">
        <v>1800</v>
      </c>
    </row>
    <row r="888" spans="1:11" ht="24" x14ac:dyDescent="0.2">
      <c r="A888" s="918" t="s">
        <v>1816</v>
      </c>
      <c r="B888" s="917" t="s">
        <v>1796</v>
      </c>
      <c r="C888" s="917" t="s">
        <v>1238</v>
      </c>
      <c r="D888" s="918">
        <v>876</v>
      </c>
      <c r="E888" s="415"/>
      <c r="F888" s="966">
        <v>28790</v>
      </c>
      <c r="G888" s="967" t="s">
        <v>1862</v>
      </c>
      <c r="H888" s="963" t="s">
        <v>1798</v>
      </c>
      <c r="I888" s="964" t="s">
        <v>2285</v>
      </c>
      <c r="J888" s="965">
        <f t="shared" si="7"/>
        <v>44206</v>
      </c>
      <c r="K888" s="60" t="s">
        <v>1800</v>
      </c>
    </row>
    <row r="889" spans="1:11" ht="24" x14ac:dyDescent="0.2">
      <c r="A889" s="918" t="s">
        <v>1971</v>
      </c>
      <c r="B889" s="918" t="s">
        <v>1809</v>
      </c>
      <c r="C889" s="917" t="s">
        <v>1238</v>
      </c>
      <c r="D889" s="918">
        <v>895</v>
      </c>
      <c r="E889" s="415"/>
      <c r="F889" s="966">
        <v>13342.52</v>
      </c>
      <c r="G889" s="967" t="s">
        <v>1918</v>
      </c>
      <c r="H889" s="963" t="s">
        <v>1798</v>
      </c>
      <c r="I889" s="964" t="s">
        <v>2287</v>
      </c>
      <c r="J889" s="965">
        <f t="shared" si="7"/>
        <v>44449</v>
      </c>
      <c r="K889" s="60" t="s">
        <v>1800</v>
      </c>
    </row>
    <row r="890" spans="1:11" ht="24" x14ac:dyDescent="0.2">
      <c r="A890" s="918" t="s">
        <v>1801</v>
      </c>
      <c r="B890" s="918" t="s">
        <v>1802</v>
      </c>
      <c r="C890" s="918" t="s">
        <v>2077</v>
      </c>
      <c r="D890" s="918">
        <v>901</v>
      </c>
      <c r="E890" s="415"/>
      <c r="F890" s="966">
        <v>18975</v>
      </c>
      <c r="G890" s="967" t="s">
        <v>1804</v>
      </c>
      <c r="H890" s="963" t="s">
        <v>1798</v>
      </c>
      <c r="I890" s="964" t="s">
        <v>2288</v>
      </c>
      <c r="J890" s="965">
        <f t="shared" si="7"/>
        <v>44540</v>
      </c>
      <c r="K890" s="60" t="s">
        <v>1800</v>
      </c>
    </row>
    <row r="891" spans="1:11" ht="24" x14ac:dyDescent="0.2">
      <c r="A891" s="918" t="s">
        <v>1801</v>
      </c>
      <c r="B891" s="918" t="s">
        <v>1802</v>
      </c>
      <c r="C891" s="918" t="s">
        <v>2077</v>
      </c>
      <c r="D891" s="918">
        <v>902</v>
      </c>
      <c r="E891" s="415"/>
      <c r="F891" s="966">
        <v>18975</v>
      </c>
      <c r="G891" s="967" t="s">
        <v>1804</v>
      </c>
      <c r="H891" s="963" t="s">
        <v>1798</v>
      </c>
      <c r="I891" s="964" t="s">
        <v>2288</v>
      </c>
      <c r="J891" s="965">
        <f t="shared" si="7"/>
        <v>44540</v>
      </c>
      <c r="K891" s="60" t="s">
        <v>1800</v>
      </c>
    </row>
    <row r="892" spans="1:11" ht="24" x14ac:dyDescent="0.2">
      <c r="A892" s="918" t="s">
        <v>1801</v>
      </c>
      <c r="B892" s="918" t="s">
        <v>1802</v>
      </c>
      <c r="C892" s="918" t="s">
        <v>2077</v>
      </c>
      <c r="D892" s="918">
        <v>907</v>
      </c>
      <c r="E892" s="415"/>
      <c r="F892" s="966">
        <v>16032</v>
      </c>
      <c r="G892" s="967" t="s">
        <v>1804</v>
      </c>
      <c r="H892" s="963" t="s">
        <v>1798</v>
      </c>
      <c r="I892" s="964" t="s">
        <v>2288</v>
      </c>
      <c r="J892" s="965">
        <f t="shared" si="7"/>
        <v>44540</v>
      </c>
      <c r="K892" s="60" t="s">
        <v>1800</v>
      </c>
    </row>
    <row r="893" spans="1:11" ht="24" x14ac:dyDescent="0.2">
      <c r="A893" s="918" t="s">
        <v>2289</v>
      </c>
      <c r="B893" s="917" t="s">
        <v>1796</v>
      </c>
      <c r="C893" s="917" t="s">
        <v>1238</v>
      </c>
      <c r="D893" s="918">
        <v>913</v>
      </c>
      <c r="E893" s="415"/>
      <c r="F893" s="966">
        <v>15552</v>
      </c>
      <c r="G893" s="967" t="s">
        <v>1975</v>
      </c>
      <c r="H893" s="963" t="s">
        <v>1798</v>
      </c>
      <c r="I893" s="964" t="s">
        <v>2288</v>
      </c>
      <c r="J893" s="965">
        <f t="shared" si="7"/>
        <v>44540</v>
      </c>
      <c r="K893" s="60" t="s">
        <v>1800</v>
      </c>
    </row>
    <row r="894" spans="1:11" ht="24" x14ac:dyDescent="0.2">
      <c r="A894" s="918" t="s">
        <v>2290</v>
      </c>
      <c r="B894" s="917" t="s">
        <v>1796</v>
      </c>
      <c r="C894" s="917" t="s">
        <v>1238</v>
      </c>
      <c r="D894" s="918">
        <v>915</v>
      </c>
      <c r="E894" s="415"/>
      <c r="F894" s="966">
        <v>35000</v>
      </c>
      <c r="G894" s="967" t="s">
        <v>2199</v>
      </c>
      <c r="H894" s="973" t="s">
        <v>1661</v>
      </c>
      <c r="I894" s="964" t="s">
        <v>2288</v>
      </c>
      <c r="J894" s="965">
        <f t="shared" si="7"/>
        <v>44540</v>
      </c>
      <c r="K894" s="60" t="s">
        <v>1800</v>
      </c>
    </row>
    <row r="895" spans="1:11" ht="24" x14ac:dyDescent="0.2">
      <c r="A895" s="918" t="s">
        <v>1801</v>
      </c>
      <c r="B895" s="918" t="s">
        <v>1802</v>
      </c>
      <c r="C895" s="918" t="s">
        <v>2077</v>
      </c>
      <c r="D895" s="918">
        <v>920</v>
      </c>
      <c r="E895" s="415"/>
      <c r="F895" s="966">
        <v>13200</v>
      </c>
      <c r="G895" s="967" t="s">
        <v>1824</v>
      </c>
      <c r="H895" s="973" t="s">
        <v>1798</v>
      </c>
      <c r="I895" s="964" t="s">
        <v>2288</v>
      </c>
      <c r="J895" s="965">
        <f t="shared" si="7"/>
        <v>44540</v>
      </c>
      <c r="K895" s="60" t="s">
        <v>1800</v>
      </c>
    </row>
    <row r="896" spans="1:11" ht="24" x14ac:dyDescent="0.2">
      <c r="A896" s="918" t="s">
        <v>1801</v>
      </c>
      <c r="B896" s="918" t="s">
        <v>1802</v>
      </c>
      <c r="C896" s="918" t="s">
        <v>2077</v>
      </c>
      <c r="D896" s="918">
        <v>922</v>
      </c>
      <c r="E896" s="415"/>
      <c r="F896" s="966">
        <v>19176.96</v>
      </c>
      <c r="G896" s="967" t="s">
        <v>1807</v>
      </c>
      <c r="H896" s="973" t="s">
        <v>1798</v>
      </c>
      <c r="I896" s="964" t="s">
        <v>2288</v>
      </c>
      <c r="J896" s="965">
        <f t="shared" si="7"/>
        <v>44540</v>
      </c>
      <c r="K896" s="60" t="s">
        <v>1800</v>
      </c>
    </row>
    <row r="897" spans="1:11" ht="24" x14ac:dyDescent="0.2">
      <c r="A897" s="918" t="s">
        <v>1801</v>
      </c>
      <c r="B897" s="918" t="s">
        <v>1802</v>
      </c>
      <c r="C897" s="918" t="s">
        <v>2077</v>
      </c>
      <c r="D897" s="918">
        <v>964</v>
      </c>
      <c r="E897" s="415"/>
      <c r="F897" s="966">
        <v>11409.72</v>
      </c>
      <c r="G897" s="967" t="s">
        <v>1804</v>
      </c>
      <c r="H897" s="973" t="s">
        <v>1798</v>
      </c>
      <c r="I897" s="964" t="s">
        <v>1371</v>
      </c>
      <c r="J897" s="965" t="e">
        <f t="shared" si="7"/>
        <v>#VALUE!</v>
      </c>
      <c r="K897" s="60" t="s">
        <v>1800</v>
      </c>
    </row>
    <row r="898" spans="1:11" ht="24" x14ac:dyDescent="0.2">
      <c r="A898" s="918" t="s">
        <v>1821</v>
      </c>
      <c r="B898" s="917" t="s">
        <v>1796</v>
      </c>
      <c r="C898" s="917" t="s">
        <v>1238</v>
      </c>
      <c r="D898" s="918">
        <v>978</v>
      </c>
      <c r="E898" s="415"/>
      <c r="F898" s="966">
        <v>26250</v>
      </c>
      <c r="G898" s="967" t="s">
        <v>2199</v>
      </c>
      <c r="H898" s="973" t="s">
        <v>1798</v>
      </c>
      <c r="I898" s="964" t="s">
        <v>2291</v>
      </c>
      <c r="J898" s="965" t="e">
        <f t="shared" si="7"/>
        <v>#VALUE!</v>
      </c>
      <c r="K898" s="60" t="s">
        <v>1800</v>
      </c>
    </row>
    <row r="899" spans="1:11" ht="24" x14ac:dyDescent="0.2">
      <c r="A899" s="918" t="s">
        <v>2292</v>
      </c>
      <c r="B899" s="917" t="s">
        <v>1796</v>
      </c>
      <c r="C899" s="917" t="s">
        <v>1238</v>
      </c>
      <c r="D899" s="918">
        <v>981</v>
      </c>
      <c r="E899" s="415"/>
      <c r="F899" s="966">
        <v>16019</v>
      </c>
      <c r="G899" s="967" t="s">
        <v>2293</v>
      </c>
      <c r="H899" s="973" t="s">
        <v>1798</v>
      </c>
      <c r="I899" s="964" t="s">
        <v>1372</v>
      </c>
      <c r="J899" s="965" t="e">
        <f t="shared" si="7"/>
        <v>#VALUE!</v>
      </c>
      <c r="K899" s="60" t="s">
        <v>1800</v>
      </c>
    </row>
    <row r="900" spans="1:11" ht="24" x14ac:dyDescent="0.2">
      <c r="A900" s="918" t="s">
        <v>2294</v>
      </c>
      <c r="B900" s="918" t="s">
        <v>1879</v>
      </c>
      <c r="C900" s="918" t="s">
        <v>2295</v>
      </c>
      <c r="D900" s="918">
        <v>982</v>
      </c>
      <c r="E900" s="415"/>
      <c r="F900" s="966">
        <v>30720</v>
      </c>
      <c r="G900" s="967" t="s">
        <v>2274</v>
      </c>
      <c r="H900" s="973" t="s">
        <v>1798</v>
      </c>
      <c r="I900" s="964" t="s">
        <v>1372</v>
      </c>
      <c r="J900" s="965" t="e">
        <f t="shared" si="7"/>
        <v>#VALUE!</v>
      </c>
      <c r="K900" s="60" t="s">
        <v>1800</v>
      </c>
    </row>
    <row r="901" spans="1:11" ht="24" x14ac:dyDescent="0.2">
      <c r="A901" s="918" t="s">
        <v>1821</v>
      </c>
      <c r="B901" s="918" t="s">
        <v>1879</v>
      </c>
      <c r="C901" s="918" t="s">
        <v>2296</v>
      </c>
      <c r="D901" s="918">
        <v>983</v>
      </c>
      <c r="E901" s="415"/>
      <c r="F901" s="966">
        <v>60000</v>
      </c>
      <c r="G901" s="967" t="s">
        <v>2199</v>
      </c>
      <c r="H901" s="973" t="s">
        <v>1798</v>
      </c>
      <c r="I901" s="964" t="s">
        <v>2297</v>
      </c>
      <c r="J901" s="965" t="e">
        <f t="shared" si="7"/>
        <v>#VALUE!</v>
      </c>
      <c r="K901" s="60" t="s">
        <v>1800</v>
      </c>
    </row>
    <row r="902" spans="1:11" ht="24" x14ac:dyDescent="0.2">
      <c r="A902" s="918" t="s">
        <v>1821</v>
      </c>
      <c r="B902" s="918" t="s">
        <v>1879</v>
      </c>
      <c r="C902" s="918" t="s">
        <v>2296</v>
      </c>
      <c r="D902" s="918">
        <v>985</v>
      </c>
      <c r="E902" s="415"/>
      <c r="F902" s="966">
        <v>120000</v>
      </c>
      <c r="G902" s="967" t="s">
        <v>1822</v>
      </c>
      <c r="H902" s="973" t="s">
        <v>1798</v>
      </c>
      <c r="I902" s="964" t="s">
        <v>2298</v>
      </c>
      <c r="J902" s="965" t="e">
        <f t="shared" si="7"/>
        <v>#VALUE!</v>
      </c>
      <c r="K902" s="60" t="s">
        <v>1800</v>
      </c>
    </row>
    <row r="903" spans="1:11" ht="24" x14ac:dyDescent="0.2">
      <c r="A903" s="918" t="s">
        <v>1821</v>
      </c>
      <c r="B903" s="918" t="s">
        <v>1802</v>
      </c>
      <c r="C903" s="918" t="s">
        <v>2299</v>
      </c>
      <c r="D903" s="918">
        <v>986</v>
      </c>
      <c r="E903" s="415"/>
      <c r="F903" s="966">
        <v>21000</v>
      </c>
      <c r="G903" s="967" t="s">
        <v>2300</v>
      </c>
      <c r="H903" s="973" t="s">
        <v>1798</v>
      </c>
      <c r="I903" s="964" t="s">
        <v>2301</v>
      </c>
      <c r="J903" s="965" t="e">
        <f t="shared" si="7"/>
        <v>#VALUE!</v>
      </c>
      <c r="K903" s="60" t="s">
        <v>1800</v>
      </c>
    </row>
    <row r="904" spans="1:11" ht="24" x14ac:dyDescent="0.2">
      <c r="A904" s="918" t="s">
        <v>1858</v>
      </c>
      <c r="B904" s="918" t="s">
        <v>1802</v>
      </c>
      <c r="C904" s="918" t="s">
        <v>2299</v>
      </c>
      <c r="D904" s="918">
        <v>987</v>
      </c>
      <c r="E904" s="415"/>
      <c r="F904" s="966">
        <v>20400</v>
      </c>
      <c r="G904" s="967" t="s">
        <v>2302</v>
      </c>
      <c r="H904" s="973" t="s">
        <v>1798</v>
      </c>
      <c r="I904" s="964" t="s">
        <v>2301</v>
      </c>
      <c r="J904" s="965" t="e">
        <f t="shared" si="7"/>
        <v>#VALUE!</v>
      </c>
      <c r="K904" s="60" t="s">
        <v>1800</v>
      </c>
    </row>
    <row r="905" spans="1:11" ht="24" x14ac:dyDescent="0.2">
      <c r="A905" s="918" t="s">
        <v>1858</v>
      </c>
      <c r="B905" s="918" t="s">
        <v>1802</v>
      </c>
      <c r="C905" s="918" t="s">
        <v>2299</v>
      </c>
      <c r="D905" s="918">
        <v>988</v>
      </c>
      <c r="E905" s="415"/>
      <c r="F905" s="966">
        <v>17000</v>
      </c>
      <c r="G905" s="967" t="s">
        <v>2302</v>
      </c>
      <c r="H905" s="973" t="s">
        <v>1798</v>
      </c>
      <c r="I905" s="964" t="s">
        <v>2301</v>
      </c>
      <c r="J905" s="965" t="e">
        <f t="shared" si="7"/>
        <v>#VALUE!</v>
      </c>
      <c r="K905" s="60" t="s">
        <v>1800</v>
      </c>
    </row>
    <row r="906" spans="1:11" ht="24" x14ac:dyDescent="0.2">
      <c r="A906" s="918" t="s">
        <v>1858</v>
      </c>
      <c r="B906" s="918" t="s">
        <v>1802</v>
      </c>
      <c r="C906" s="918" t="s">
        <v>2299</v>
      </c>
      <c r="D906" s="918">
        <v>993</v>
      </c>
      <c r="E906" s="415"/>
      <c r="F906" s="966">
        <v>21000</v>
      </c>
      <c r="G906" s="967" t="s">
        <v>2300</v>
      </c>
      <c r="H906" s="973" t="s">
        <v>1798</v>
      </c>
      <c r="I906" s="964" t="s">
        <v>1374</v>
      </c>
      <c r="J906" s="965" t="e">
        <f t="shared" si="7"/>
        <v>#VALUE!</v>
      </c>
      <c r="K906" s="60" t="s">
        <v>1800</v>
      </c>
    </row>
    <row r="907" spans="1:11" ht="24" x14ac:dyDescent="0.2">
      <c r="A907" s="918" t="s">
        <v>1909</v>
      </c>
      <c r="B907" s="918" t="s">
        <v>1802</v>
      </c>
      <c r="C907" s="918" t="s">
        <v>2299</v>
      </c>
      <c r="D907" s="918">
        <v>994</v>
      </c>
      <c r="E907" s="415"/>
      <c r="F907" s="966">
        <v>13280</v>
      </c>
      <c r="G907" s="967" t="s">
        <v>1913</v>
      </c>
      <c r="H907" s="973" t="s">
        <v>1798</v>
      </c>
      <c r="I907" s="964" t="s">
        <v>2303</v>
      </c>
      <c r="J907" s="965" t="e">
        <f t="shared" si="7"/>
        <v>#VALUE!</v>
      </c>
      <c r="K907" s="60" t="s">
        <v>1800</v>
      </c>
    </row>
    <row r="908" spans="1:11" ht="24" x14ac:dyDescent="0.2">
      <c r="A908" s="918" t="s">
        <v>1909</v>
      </c>
      <c r="B908" s="918" t="s">
        <v>1802</v>
      </c>
      <c r="C908" s="918" t="s">
        <v>2299</v>
      </c>
      <c r="D908" s="918">
        <v>995</v>
      </c>
      <c r="E908" s="415"/>
      <c r="F908" s="966">
        <v>13280</v>
      </c>
      <c r="G908" s="967" t="s">
        <v>1913</v>
      </c>
      <c r="H908" s="973" t="s">
        <v>1798</v>
      </c>
      <c r="I908" s="964" t="s">
        <v>2303</v>
      </c>
      <c r="J908" s="965" t="e">
        <f t="shared" ref="J908:J961" si="8">I908+3</f>
        <v>#VALUE!</v>
      </c>
      <c r="K908" s="60" t="s">
        <v>1800</v>
      </c>
    </row>
    <row r="909" spans="1:11" ht="24" x14ac:dyDescent="0.2">
      <c r="A909" s="918" t="s">
        <v>1891</v>
      </c>
      <c r="B909" s="917" t="s">
        <v>1796</v>
      </c>
      <c r="C909" s="917" t="s">
        <v>1238</v>
      </c>
      <c r="D909" s="918">
        <v>1344</v>
      </c>
      <c r="E909" s="415"/>
      <c r="F909" s="966">
        <v>10440</v>
      </c>
      <c r="G909" s="967" t="s">
        <v>2304</v>
      </c>
      <c r="H909" s="973" t="s">
        <v>1798</v>
      </c>
      <c r="I909" s="964" t="s">
        <v>2305</v>
      </c>
      <c r="J909" s="965">
        <f t="shared" si="8"/>
        <v>44326</v>
      </c>
      <c r="K909" s="60" t="s">
        <v>1800</v>
      </c>
    </row>
    <row r="910" spans="1:11" ht="24" x14ac:dyDescent="0.2">
      <c r="A910" s="918" t="s">
        <v>2106</v>
      </c>
      <c r="B910" s="917" t="s">
        <v>1796</v>
      </c>
      <c r="C910" s="917" t="s">
        <v>1238</v>
      </c>
      <c r="D910" s="918">
        <v>1363</v>
      </c>
      <c r="E910" s="415"/>
      <c r="F910" s="966">
        <v>26923.4</v>
      </c>
      <c r="G910" s="967" t="s">
        <v>1797</v>
      </c>
      <c r="H910" s="973" t="s">
        <v>1798</v>
      </c>
      <c r="I910" s="964" t="s">
        <v>1369</v>
      </c>
      <c r="J910" s="965"/>
      <c r="K910" s="60" t="s">
        <v>1800</v>
      </c>
    </row>
    <row r="911" spans="1:11" ht="24" x14ac:dyDescent="0.2">
      <c r="A911" s="918" t="s">
        <v>2107</v>
      </c>
      <c r="B911" s="917" t="s">
        <v>1796</v>
      </c>
      <c r="C911" s="917" t="s">
        <v>1238</v>
      </c>
      <c r="D911" s="918">
        <v>1364</v>
      </c>
      <c r="E911" s="415"/>
      <c r="F911" s="966">
        <v>12337.6</v>
      </c>
      <c r="G911" s="967" t="s">
        <v>1797</v>
      </c>
      <c r="H911" s="973" t="s">
        <v>1798</v>
      </c>
      <c r="I911" s="964" t="s">
        <v>1369</v>
      </c>
      <c r="J911" s="965"/>
      <c r="K911" s="60" t="s">
        <v>1800</v>
      </c>
    </row>
    <row r="912" spans="1:11" ht="24" x14ac:dyDescent="0.2">
      <c r="A912" s="918" t="s">
        <v>2108</v>
      </c>
      <c r="B912" s="917" t="s">
        <v>1796</v>
      </c>
      <c r="C912" s="917" t="s">
        <v>1238</v>
      </c>
      <c r="D912" s="918">
        <v>1367</v>
      </c>
      <c r="E912" s="415"/>
      <c r="F912" s="966">
        <v>13073.2</v>
      </c>
      <c r="G912" s="967" t="s">
        <v>1797</v>
      </c>
      <c r="H912" s="973" t="s">
        <v>1798</v>
      </c>
      <c r="I912" s="964" t="s">
        <v>1369</v>
      </c>
      <c r="J912" s="965"/>
      <c r="K912" s="60" t="s">
        <v>1800</v>
      </c>
    </row>
    <row r="913" spans="1:11" ht="24" x14ac:dyDescent="0.2">
      <c r="A913" s="918" t="s">
        <v>2306</v>
      </c>
      <c r="B913" s="917" t="s">
        <v>1796</v>
      </c>
      <c r="C913" s="917" t="s">
        <v>1238</v>
      </c>
      <c r="D913" s="918">
        <v>1424</v>
      </c>
      <c r="E913" s="415"/>
      <c r="F913" s="966">
        <v>19210.8</v>
      </c>
      <c r="G913" s="967" t="s">
        <v>2307</v>
      </c>
      <c r="H913" s="973" t="s">
        <v>1798</v>
      </c>
      <c r="I913" s="964" t="s">
        <v>2291</v>
      </c>
      <c r="J913" s="965" t="e">
        <f t="shared" si="8"/>
        <v>#VALUE!</v>
      </c>
      <c r="K913" s="60" t="s">
        <v>1800</v>
      </c>
    </row>
    <row r="914" spans="1:11" ht="24" x14ac:dyDescent="0.2">
      <c r="A914" s="918" t="s">
        <v>2308</v>
      </c>
      <c r="B914" s="917" t="s">
        <v>1796</v>
      </c>
      <c r="C914" s="917" t="s">
        <v>1238</v>
      </c>
      <c r="D914" s="918">
        <v>1425</v>
      </c>
      <c r="E914" s="415"/>
      <c r="F914" s="966">
        <v>19787.099999999999</v>
      </c>
      <c r="G914" s="967" t="s">
        <v>2309</v>
      </c>
      <c r="H914" s="973" t="s">
        <v>1798</v>
      </c>
      <c r="I914" s="964" t="s">
        <v>2291</v>
      </c>
      <c r="J914" s="965" t="e">
        <f t="shared" si="8"/>
        <v>#VALUE!</v>
      </c>
      <c r="K914" s="60" t="s">
        <v>1800</v>
      </c>
    </row>
    <row r="915" spans="1:11" ht="24" x14ac:dyDescent="0.2">
      <c r="A915" s="918" t="s">
        <v>2310</v>
      </c>
      <c r="B915" s="917" t="s">
        <v>1796</v>
      </c>
      <c r="C915" s="917" t="s">
        <v>1238</v>
      </c>
      <c r="D915" s="918">
        <v>1480</v>
      </c>
      <c r="E915" s="415"/>
      <c r="F915" s="966">
        <v>24000</v>
      </c>
      <c r="G915" s="967" t="s">
        <v>2311</v>
      </c>
      <c r="H915" s="973" t="s">
        <v>1798</v>
      </c>
      <c r="I915" s="964" t="s">
        <v>1372</v>
      </c>
      <c r="J915" s="965" t="e">
        <f t="shared" si="8"/>
        <v>#VALUE!</v>
      </c>
      <c r="K915" s="60" t="s">
        <v>1800</v>
      </c>
    </row>
    <row r="916" spans="1:11" ht="24" x14ac:dyDescent="0.2">
      <c r="A916" s="918" t="s">
        <v>2312</v>
      </c>
      <c r="B916" s="918" t="s">
        <v>1879</v>
      </c>
      <c r="C916" s="918" t="s">
        <v>2313</v>
      </c>
      <c r="D916" s="918">
        <v>1530</v>
      </c>
      <c r="E916" s="415"/>
      <c r="F916" s="966">
        <v>62551.6</v>
      </c>
      <c r="G916" s="967" t="s">
        <v>1895</v>
      </c>
      <c r="H916" s="973" t="s">
        <v>1798</v>
      </c>
      <c r="I916" s="964" t="s">
        <v>2301</v>
      </c>
      <c r="J916" s="965" t="e">
        <f t="shared" si="8"/>
        <v>#VALUE!</v>
      </c>
      <c r="K916" s="60" t="s">
        <v>1800</v>
      </c>
    </row>
    <row r="917" spans="1:11" ht="24" x14ac:dyDescent="0.2">
      <c r="A917" s="918" t="s">
        <v>2312</v>
      </c>
      <c r="B917" s="918" t="s">
        <v>1879</v>
      </c>
      <c r="C917" s="918" t="s">
        <v>2313</v>
      </c>
      <c r="D917" s="918">
        <v>1571</v>
      </c>
      <c r="E917" s="415"/>
      <c r="F917" s="966">
        <v>62551.6</v>
      </c>
      <c r="G917" s="967" t="s">
        <v>1895</v>
      </c>
      <c r="H917" s="973" t="s">
        <v>1798</v>
      </c>
      <c r="I917" s="964" t="s">
        <v>1374</v>
      </c>
      <c r="J917" s="965" t="e">
        <f t="shared" si="8"/>
        <v>#VALUE!</v>
      </c>
      <c r="K917" s="60" t="s">
        <v>1800</v>
      </c>
    </row>
    <row r="918" spans="1:11" ht="24" x14ac:dyDescent="0.2">
      <c r="A918" s="918" t="s">
        <v>2312</v>
      </c>
      <c r="B918" s="918" t="s">
        <v>1879</v>
      </c>
      <c r="C918" s="918" t="s">
        <v>2313</v>
      </c>
      <c r="D918" s="918">
        <v>1572</v>
      </c>
      <c r="E918" s="415"/>
      <c r="F918" s="966">
        <v>72551.600000000006</v>
      </c>
      <c r="G918" s="967" t="s">
        <v>1895</v>
      </c>
      <c r="H918" s="973" t="s">
        <v>1798</v>
      </c>
      <c r="I918" s="964" t="s">
        <v>1374</v>
      </c>
      <c r="J918" s="965" t="e">
        <f t="shared" si="8"/>
        <v>#VALUE!</v>
      </c>
      <c r="K918" s="60" t="s">
        <v>1800</v>
      </c>
    </row>
    <row r="919" spans="1:11" ht="24" x14ac:dyDescent="0.2">
      <c r="A919" s="918" t="s">
        <v>2294</v>
      </c>
      <c r="B919" s="918" t="s">
        <v>1879</v>
      </c>
      <c r="C919" s="918" t="s">
        <v>2295</v>
      </c>
      <c r="D919" s="918">
        <v>1002</v>
      </c>
      <c r="E919" s="415"/>
      <c r="F919" s="966">
        <v>30720</v>
      </c>
      <c r="G919" s="967" t="s">
        <v>2274</v>
      </c>
      <c r="H919" s="973" t="s">
        <v>1798</v>
      </c>
      <c r="I919" s="964" t="s">
        <v>2314</v>
      </c>
      <c r="J919" s="965">
        <f t="shared" si="8"/>
        <v>44238</v>
      </c>
      <c r="K919" s="60" t="s">
        <v>1800</v>
      </c>
    </row>
    <row r="920" spans="1:11" ht="24" x14ac:dyDescent="0.2">
      <c r="A920" s="918" t="s">
        <v>2294</v>
      </c>
      <c r="B920" s="918" t="s">
        <v>1879</v>
      </c>
      <c r="C920" s="918" t="s">
        <v>2295</v>
      </c>
      <c r="D920" s="918">
        <v>1003</v>
      </c>
      <c r="E920" s="415"/>
      <c r="F920" s="966">
        <v>30720</v>
      </c>
      <c r="G920" s="967" t="s">
        <v>2274</v>
      </c>
      <c r="H920" s="973" t="s">
        <v>1798</v>
      </c>
      <c r="I920" s="964" t="s">
        <v>2314</v>
      </c>
      <c r="J920" s="965">
        <f t="shared" si="8"/>
        <v>44238</v>
      </c>
      <c r="K920" s="60" t="s">
        <v>1800</v>
      </c>
    </row>
    <row r="921" spans="1:11" ht="24" x14ac:dyDescent="0.2">
      <c r="A921" s="918" t="s">
        <v>2294</v>
      </c>
      <c r="B921" s="918" t="s">
        <v>1879</v>
      </c>
      <c r="C921" s="918" t="s">
        <v>2295</v>
      </c>
      <c r="D921" s="918">
        <v>1004</v>
      </c>
      <c r="E921" s="415"/>
      <c r="F921" s="966">
        <v>30720</v>
      </c>
      <c r="G921" s="967" t="s">
        <v>2274</v>
      </c>
      <c r="H921" s="973" t="s">
        <v>1798</v>
      </c>
      <c r="I921" s="964" t="s">
        <v>2315</v>
      </c>
      <c r="J921" s="965">
        <f t="shared" si="8"/>
        <v>44266</v>
      </c>
      <c r="K921" s="60" t="s">
        <v>1800</v>
      </c>
    </row>
    <row r="922" spans="1:11" ht="24" x14ac:dyDescent="0.2">
      <c r="A922" s="918" t="s">
        <v>2294</v>
      </c>
      <c r="B922" s="918" t="s">
        <v>1879</v>
      </c>
      <c r="C922" s="918" t="s">
        <v>2295</v>
      </c>
      <c r="D922" s="918">
        <v>1010</v>
      </c>
      <c r="E922" s="415"/>
      <c r="F922" s="966">
        <v>30720</v>
      </c>
      <c r="G922" s="967" t="s">
        <v>2274</v>
      </c>
      <c r="H922" s="973" t="s">
        <v>1798</v>
      </c>
      <c r="I922" s="964" t="s">
        <v>1376</v>
      </c>
      <c r="J922" s="965">
        <f t="shared" si="8"/>
        <v>44297</v>
      </c>
      <c r="K922" s="60" t="s">
        <v>1800</v>
      </c>
    </row>
    <row r="923" spans="1:11" ht="24" x14ac:dyDescent="0.2">
      <c r="A923" s="918" t="s">
        <v>1801</v>
      </c>
      <c r="B923" s="917" t="s">
        <v>1796</v>
      </c>
      <c r="C923" s="917" t="s">
        <v>1238</v>
      </c>
      <c r="D923" s="918">
        <v>1012</v>
      </c>
      <c r="E923" s="415"/>
      <c r="F923" s="966">
        <v>10000</v>
      </c>
      <c r="G923" s="967" t="s">
        <v>1804</v>
      </c>
      <c r="H923" s="973" t="s">
        <v>1798</v>
      </c>
      <c r="I923" s="964" t="s">
        <v>2316</v>
      </c>
      <c r="J923" s="965">
        <f t="shared" si="8"/>
        <v>44327</v>
      </c>
      <c r="K923" s="60" t="s">
        <v>1800</v>
      </c>
    </row>
    <row r="924" spans="1:11" ht="24" x14ac:dyDescent="0.2">
      <c r="A924" s="918" t="s">
        <v>1801</v>
      </c>
      <c r="B924" s="918" t="s">
        <v>1802</v>
      </c>
      <c r="C924" s="918" t="s">
        <v>2237</v>
      </c>
      <c r="D924" s="918">
        <v>1026</v>
      </c>
      <c r="E924" s="415"/>
      <c r="F924" s="966">
        <v>20720</v>
      </c>
      <c r="G924" s="967" t="s">
        <v>1996</v>
      </c>
      <c r="H924" s="973" t="s">
        <v>1798</v>
      </c>
      <c r="I924" s="964" t="s">
        <v>2317</v>
      </c>
      <c r="J924" s="965">
        <f t="shared" si="8"/>
        <v>44358</v>
      </c>
      <c r="K924" s="60" t="s">
        <v>1800</v>
      </c>
    </row>
    <row r="925" spans="1:11" ht="24" x14ac:dyDescent="0.2">
      <c r="A925" s="918" t="s">
        <v>1801</v>
      </c>
      <c r="B925" s="918" t="s">
        <v>1802</v>
      </c>
      <c r="C925" s="918" t="s">
        <v>2077</v>
      </c>
      <c r="D925" s="918">
        <v>1027</v>
      </c>
      <c r="E925" s="415"/>
      <c r="F925" s="966">
        <v>13139.99</v>
      </c>
      <c r="G925" s="967" t="s">
        <v>2183</v>
      </c>
      <c r="H925" s="973" t="s">
        <v>1798</v>
      </c>
      <c r="I925" s="964" t="s">
        <v>2317</v>
      </c>
      <c r="J925" s="965">
        <f t="shared" si="8"/>
        <v>44358</v>
      </c>
      <c r="K925" s="60" t="s">
        <v>1800</v>
      </c>
    </row>
    <row r="926" spans="1:11" ht="24" x14ac:dyDescent="0.2">
      <c r="A926" s="918" t="s">
        <v>2318</v>
      </c>
      <c r="B926" s="918" t="s">
        <v>1809</v>
      </c>
      <c r="C926" s="917" t="s">
        <v>1238</v>
      </c>
      <c r="D926" s="918">
        <v>1034</v>
      </c>
      <c r="E926" s="415"/>
      <c r="F926" s="966">
        <v>33425</v>
      </c>
      <c r="G926" s="967" t="s">
        <v>2319</v>
      </c>
      <c r="H926" s="973" t="s">
        <v>1798</v>
      </c>
      <c r="I926" s="964" t="s">
        <v>1377</v>
      </c>
      <c r="J926" s="965">
        <f t="shared" si="8"/>
        <v>44511</v>
      </c>
      <c r="K926" s="60" t="s">
        <v>1800</v>
      </c>
    </row>
    <row r="927" spans="1:11" ht="24" x14ac:dyDescent="0.2">
      <c r="A927" s="918" t="s">
        <v>2294</v>
      </c>
      <c r="B927" s="918" t="s">
        <v>1879</v>
      </c>
      <c r="C927" s="918" t="s">
        <v>2295</v>
      </c>
      <c r="D927" s="918">
        <v>1036</v>
      </c>
      <c r="E927" s="415"/>
      <c r="F927" s="966">
        <v>30720</v>
      </c>
      <c r="G927" s="967" t="s">
        <v>2274</v>
      </c>
      <c r="H927" s="973" t="s">
        <v>1798</v>
      </c>
      <c r="I927" s="964" t="s">
        <v>2320</v>
      </c>
      <c r="J927" s="965">
        <f t="shared" si="8"/>
        <v>44541</v>
      </c>
      <c r="K927" s="60" t="s">
        <v>1800</v>
      </c>
    </row>
    <row r="928" spans="1:11" ht="24" x14ac:dyDescent="0.2">
      <c r="A928" s="918" t="s">
        <v>1841</v>
      </c>
      <c r="B928" s="917" t="s">
        <v>1796</v>
      </c>
      <c r="C928" s="917" t="s">
        <v>1238</v>
      </c>
      <c r="D928" s="918">
        <v>1037</v>
      </c>
      <c r="E928" s="415"/>
      <c r="F928" s="966">
        <v>34500</v>
      </c>
      <c r="G928" s="967" t="s">
        <v>2274</v>
      </c>
      <c r="H928" s="973" t="s">
        <v>1798</v>
      </c>
      <c r="I928" s="964" t="s">
        <v>2321</v>
      </c>
      <c r="J928" s="965" t="e">
        <f t="shared" si="8"/>
        <v>#VALUE!</v>
      </c>
      <c r="K928" s="60" t="s">
        <v>1800</v>
      </c>
    </row>
    <row r="929" spans="1:11" ht="24" x14ac:dyDescent="0.2">
      <c r="A929" s="918" t="s">
        <v>1801</v>
      </c>
      <c r="B929" s="918" t="s">
        <v>1802</v>
      </c>
      <c r="C929" s="918" t="s">
        <v>2077</v>
      </c>
      <c r="D929" s="918">
        <v>1046</v>
      </c>
      <c r="E929" s="415"/>
      <c r="F929" s="966">
        <v>18170.32</v>
      </c>
      <c r="G929" s="967" t="s">
        <v>1804</v>
      </c>
      <c r="H929" s="973" t="s">
        <v>1798</v>
      </c>
      <c r="I929" s="964" t="s">
        <v>2321</v>
      </c>
      <c r="J929" s="965" t="e">
        <f t="shared" si="8"/>
        <v>#VALUE!</v>
      </c>
      <c r="K929" s="60" t="s">
        <v>1800</v>
      </c>
    </row>
    <row r="930" spans="1:11" ht="24" x14ac:dyDescent="0.2">
      <c r="A930" s="918" t="s">
        <v>2294</v>
      </c>
      <c r="B930" s="918" t="s">
        <v>1879</v>
      </c>
      <c r="C930" s="918" t="s">
        <v>2295</v>
      </c>
      <c r="D930" s="918">
        <v>1053</v>
      </c>
      <c r="E930" s="415"/>
      <c r="F930" s="966">
        <v>18880</v>
      </c>
      <c r="G930" s="967" t="s">
        <v>2274</v>
      </c>
      <c r="H930" s="973" t="s">
        <v>1798</v>
      </c>
      <c r="I930" s="964" t="s">
        <v>1380</v>
      </c>
      <c r="J930" s="965" t="e">
        <f t="shared" si="8"/>
        <v>#VALUE!</v>
      </c>
      <c r="K930" s="60" t="s">
        <v>1800</v>
      </c>
    </row>
    <row r="931" spans="1:11" ht="24" x14ac:dyDescent="0.2">
      <c r="A931" s="918" t="s">
        <v>2092</v>
      </c>
      <c r="B931" s="917" t="s">
        <v>1796</v>
      </c>
      <c r="C931" s="917" t="s">
        <v>1238</v>
      </c>
      <c r="D931" s="918">
        <v>1054</v>
      </c>
      <c r="E931" s="415"/>
      <c r="F931" s="966">
        <v>11250</v>
      </c>
      <c r="G931" s="967" t="s">
        <v>2098</v>
      </c>
      <c r="H931" s="973" t="s">
        <v>1798</v>
      </c>
      <c r="I931" s="964" t="s">
        <v>1380</v>
      </c>
      <c r="J931" s="965" t="e">
        <f t="shared" si="8"/>
        <v>#VALUE!</v>
      </c>
      <c r="K931" s="60" t="s">
        <v>1800</v>
      </c>
    </row>
    <row r="932" spans="1:11" ht="24" x14ac:dyDescent="0.2">
      <c r="A932" s="918" t="s">
        <v>1821</v>
      </c>
      <c r="B932" s="917" t="s">
        <v>1796</v>
      </c>
      <c r="C932" s="917" t="s">
        <v>1238</v>
      </c>
      <c r="D932" s="918">
        <v>1055</v>
      </c>
      <c r="E932" s="415"/>
      <c r="F932" s="966">
        <v>29500</v>
      </c>
      <c r="G932" s="967" t="s">
        <v>2098</v>
      </c>
      <c r="H932" s="973" t="s">
        <v>1798</v>
      </c>
      <c r="I932" s="964" t="s">
        <v>1380</v>
      </c>
      <c r="J932" s="965" t="e">
        <f t="shared" si="8"/>
        <v>#VALUE!</v>
      </c>
      <c r="K932" s="60" t="s">
        <v>1800</v>
      </c>
    </row>
    <row r="933" spans="1:11" ht="24" x14ac:dyDescent="0.2">
      <c r="A933" s="918" t="s">
        <v>1858</v>
      </c>
      <c r="B933" s="918" t="s">
        <v>1802</v>
      </c>
      <c r="C933" s="918" t="s">
        <v>2149</v>
      </c>
      <c r="D933" s="918">
        <v>1059</v>
      </c>
      <c r="E933" s="415"/>
      <c r="F933" s="966">
        <v>20364</v>
      </c>
      <c r="G933" s="967" t="s">
        <v>1822</v>
      </c>
      <c r="H933" s="973" t="s">
        <v>1798</v>
      </c>
      <c r="I933" s="964" t="s">
        <v>1380</v>
      </c>
      <c r="J933" s="965" t="e">
        <f t="shared" si="8"/>
        <v>#VALUE!</v>
      </c>
      <c r="K933" s="60" t="s">
        <v>1800</v>
      </c>
    </row>
    <row r="934" spans="1:11" ht="24" x14ac:dyDescent="0.2">
      <c r="A934" s="918" t="s">
        <v>1858</v>
      </c>
      <c r="B934" s="918" t="s">
        <v>1802</v>
      </c>
      <c r="C934" s="918" t="s">
        <v>2149</v>
      </c>
      <c r="D934" s="918">
        <v>1060</v>
      </c>
      <c r="E934" s="415"/>
      <c r="F934" s="966">
        <v>11879</v>
      </c>
      <c r="G934" s="967" t="s">
        <v>1822</v>
      </c>
      <c r="H934" s="973" t="s">
        <v>1798</v>
      </c>
      <c r="I934" s="964" t="s">
        <v>1380</v>
      </c>
      <c r="J934" s="965" t="e">
        <f t="shared" si="8"/>
        <v>#VALUE!</v>
      </c>
      <c r="K934" s="60" t="s">
        <v>1800</v>
      </c>
    </row>
    <row r="935" spans="1:11" ht="24" x14ac:dyDescent="0.2">
      <c r="A935" s="918" t="s">
        <v>1858</v>
      </c>
      <c r="B935" s="918" t="s">
        <v>1802</v>
      </c>
      <c r="C935" s="918" t="s">
        <v>2149</v>
      </c>
      <c r="D935" s="918">
        <v>1061</v>
      </c>
      <c r="E935" s="415"/>
      <c r="F935" s="966">
        <v>10182</v>
      </c>
      <c r="G935" s="967" t="s">
        <v>1822</v>
      </c>
      <c r="H935" s="973" t="s">
        <v>1798</v>
      </c>
      <c r="I935" s="964" t="s">
        <v>1380</v>
      </c>
      <c r="J935" s="965" t="e">
        <f t="shared" si="8"/>
        <v>#VALUE!</v>
      </c>
      <c r="K935" s="60" t="s">
        <v>1800</v>
      </c>
    </row>
    <row r="936" spans="1:11" ht="24" x14ac:dyDescent="0.2">
      <c r="A936" s="918" t="s">
        <v>1858</v>
      </c>
      <c r="B936" s="918" t="s">
        <v>1802</v>
      </c>
      <c r="C936" s="918" t="s">
        <v>2189</v>
      </c>
      <c r="D936" s="918">
        <v>1081</v>
      </c>
      <c r="E936" s="415"/>
      <c r="F936" s="966">
        <v>10200</v>
      </c>
      <c r="G936" s="967" t="s">
        <v>1807</v>
      </c>
      <c r="H936" s="973" t="s">
        <v>1798</v>
      </c>
      <c r="I936" s="964" t="s">
        <v>1380</v>
      </c>
      <c r="J936" s="965" t="e">
        <f t="shared" si="8"/>
        <v>#VALUE!</v>
      </c>
      <c r="K936" s="60" t="s">
        <v>1800</v>
      </c>
    </row>
    <row r="937" spans="1:11" ht="24" x14ac:dyDescent="0.2">
      <c r="A937" s="918" t="s">
        <v>2322</v>
      </c>
      <c r="B937" s="917" t="s">
        <v>1796</v>
      </c>
      <c r="C937" s="917" t="s">
        <v>1238</v>
      </c>
      <c r="D937" s="918">
        <v>1088</v>
      </c>
      <c r="E937" s="415"/>
      <c r="F937" s="966">
        <v>28724.2</v>
      </c>
      <c r="G937" s="967" t="s">
        <v>1897</v>
      </c>
      <c r="H937" s="973" t="s">
        <v>1661</v>
      </c>
      <c r="I937" s="964" t="s">
        <v>2323</v>
      </c>
      <c r="J937" s="965" t="e">
        <f t="shared" si="8"/>
        <v>#VALUE!</v>
      </c>
      <c r="K937" s="60" t="s">
        <v>1800</v>
      </c>
    </row>
    <row r="938" spans="1:11" ht="24" x14ac:dyDescent="0.2">
      <c r="A938" s="918" t="s">
        <v>2324</v>
      </c>
      <c r="B938" s="917" t="s">
        <v>1796</v>
      </c>
      <c r="C938" s="917" t="s">
        <v>1238</v>
      </c>
      <c r="D938" s="918">
        <v>1089</v>
      </c>
      <c r="E938" s="415"/>
      <c r="F938" s="966">
        <v>10700</v>
      </c>
      <c r="G938" s="967" t="s">
        <v>1822</v>
      </c>
      <c r="H938" s="973" t="s">
        <v>1500</v>
      </c>
      <c r="I938" s="964" t="s">
        <v>2325</v>
      </c>
      <c r="J938" s="965" t="e">
        <f t="shared" si="8"/>
        <v>#VALUE!</v>
      </c>
      <c r="K938" s="60" t="s">
        <v>1800</v>
      </c>
    </row>
    <row r="939" spans="1:11" ht="24" x14ac:dyDescent="0.2">
      <c r="A939" s="918" t="s">
        <v>2324</v>
      </c>
      <c r="B939" s="917" t="s">
        <v>1796</v>
      </c>
      <c r="C939" s="917" t="s">
        <v>1238</v>
      </c>
      <c r="D939" s="918">
        <v>1090</v>
      </c>
      <c r="E939" s="415"/>
      <c r="F939" s="966">
        <v>15000</v>
      </c>
      <c r="G939" s="967" t="s">
        <v>1822</v>
      </c>
      <c r="H939" s="973" t="s">
        <v>1500</v>
      </c>
      <c r="I939" s="964" t="s">
        <v>2325</v>
      </c>
      <c r="J939" s="965" t="e">
        <f t="shared" si="8"/>
        <v>#VALUE!</v>
      </c>
      <c r="K939" s="60" t="s">
        <v>1800</v>
      </c>
    </row>
    <row r="940" spans="1:11" ht="24" x14ac:dyDescent="0.2">
      <c r="A940" s="918" t="s">
        <v>1866</v>
      </c>
      <c r="B940" s="917" t="s">
        <v>1796</v>
      </c>
      <c r="C940" s="917" t="s">
        <v>1238</v>
      </c>
      <c r="D940" s="918">
        <v>1099</v>
      </c>
      <c r="E940" s="415"/>
      <c r="F940" s="966">
        <v>10178.5</v>
      </c>
      <c r="G940" s="967" t="s">
        <v>2199</v>
      </c>
      <c r="H940" s="973" t="s">
        <v>1500</v>
      </c>
      <c r="I940" s="964" t="s">
        <v>1383</v>
      </c>
      <c r="J940" s="965" t="e">
        <f t="shared" si="8"/>
        <v>#VALUE!</v>
      </c>
      <c r="K940" s="60" t="s">
        <v>1800</v>
      </c>
    </row>
    <row r="941" spans="1:11" ht="24" x14ac:dyDescent="0.2">
      <c r="A941" s="918" t="s">
        <v>1866</v>
      </c>
      <c r="B941" s="917" t="s">
        <v>1796</v>
      </c>
      <c r="C941" s="917" t="s">
        <v>1238</v>
      </c>
      <c r="D941" s="918">
        <v>1102</v>
      </c>
      <c r="E941" s="415"/>
      <c r="F941" s="966">
        <v>14985</v>
      </c>
      <c r="G941" s="967" t="s">
        <v>2199</v>
      </c>
      <c r="H941" s="973" t="s">
        <v>1500</v>
      </c>
      <c r="I941" s="964" t="s">
        <v>2326</v>
      </c>
      <c r="J941" s="965" t="e">
        <f t="shared" si="8"/>
        <v>#VALUE!</v>
      </c>
      <c r="K941" s="60" t="s">
        <v>1800</v>
      </c>
    </row>
    <row r="942" spans="1:11" ht="24" x14ac:dyDescent="0.2">
      <c r="A942" s="918" t="s">
        <v>1801</v>
      </c>
      <c r="B942" s="918" t="s">
        <v>1802</v>
      </c>
      <c r="C942" s="918" t="s">
        <v>2327</v>
      </c>
      <c r="D942" s="918">
        <v>1107</v>
      </c>
      <c r="E942" s="415"/>
      <c r="F942" s="966">
        <v>31500</v>
      </c>
      <c r="G942" s="967" t="s">
        <v>2328</v>
      </c>
      <c r="H942" s="973" t="s">
        <v>1500</v>
      </c>
      <c r="I942" s="964" t="s">
        <v>2326</v>
      </c>
      <c r="J942" s="965" t="e">
        <f t="shared" si="8"/>
        <v>#VALUE!</v>
      </c>
      <c r="K942" s="60" t="s">
        <v>1800</v>
      </c>
    </row>
    <row r="943" spans="1:11" ht="24" x14ac:dyDescent="0.2">
      <c r="A943" s="918" t="s">
        <v>1801</v>
      </c>
      <c r="B943" s="918" t="s">
        <v>1802</v>
      </c>
      <c r="C943" s="918" t="s">
        <v>2077</v>
      </c>
      <c r="D943" s="918">
        <v>1112</v>
      </c>
      <c r="E943" s="415"/>
      <c r="F943" s="966">
        <v>12784.64</v>
      </c>
      <c r="G943" s="967" t="s">
        <v>1807</v>
      </c>
      <c r="H943" s="973" t="s">
        <v>1500</v>
      </c>
      <c r="I943" s="964" t="s">
        <v>2329</v>
      </c>
      <c r="J943" s="965" t="e">
        <f t="shared" si="8"/>
        <v>#VALUE!</v>
      </c>
      <c r="K943" s="60" t="s">
        <v>1800</v>
      </c>
    </row>
    <row r="944" spans="1:11" ht="24" x14ac:dyDescent="0.2">
      <c r="A944" s="918" t="s">
        <v>1801</v>
      </c>
      <c r="B944" s="918" t="s">
        <v>1802</v>
      </c>
      <c r="C944" s="918" t="s">
        <v>2077</v>
      </c>
      <c r="D944" s="918">
        <v>1113</v>
      </c>
      <c r="E944" s="415"/>
      <c r="F944" s="966">
        <v>15980.8</v>
      </c>
      <c r="G944" s="967" t="s">
        <v>1807</v>
      </c>
      <c r="H944" s="973" t="s">
        <v>1500</v>
      </c>
      <c r="I944" s="964" t="s">
        <v>2329</v>
      </c>
      <c r="J944" s="965" t="e">
        <f t="shared" si="8"/>
        <v>#VALUE!</v>
      </c>
      <c r="K944" s="60" t="s">
        <v>1800</v>
      </c>
    </row>
    <row r="945" spans="1:11" ht="24" x14ac:dyDescent="0.2">
      <c r="A945" s="918" t="s">
        <v>1801</v>
      </c>
      <c r="B945" s="918" t="s">
        <v>1802</v>
      </c>
      <c r="C945" s="918" t="s">
        <v>2077</v>
      </c>
      <c r="D945" s="918">
        <v>1123</v>
      </c>
      <c r="E945" s="415"/>
      <c r="F945" s="966">
        <v>13139.99</v>
      </c>
      <c r="G945" s="967" t="s">
        <v>2183</v>
      </c>
      <c r="H945" s="973" t="s">
        <v>1500</v>
      </c>
      <c r="I945" s="964" t="s">
        <v>2329</v>
      </c>
      <c r="J945" s="965" t="e">
        <f t="shared" si="8"/>
        <v>#VALUE!</v>
      </c>
      <c r="K945" s="60" t="s">
        <v>1800</v>
      </c>
    </row>
    <row r="946" spans="1:11" ht="24" x14ac:dyDescent="0.2">
      <c r="A946" s="918" t="s">
        <v>2330</v>
      </c>
      <c r="B946" s="917" t="s">
        <v>1796</v>
      </c>
      <c r="C946" s="917" t="s">
        <v>1238</v>
      </c>
      <c r="D946" s="918">
        <v>1144</v>
      </c>
      <c r="E946" s="415"/>
      <c r="F946" s="966">
        <v>29880</v>
      </c>
      <c r="G946" s="967" t="s">
        <v>1888</v>
      </c>
      <c r="H946" s="973" t="s">
        <v>1500</v>
      </c>
      <c r="I946" s="964" t="s">
        <v>2331</v>
      </c>
      <c r="J946" s="965" t="e">
        <f t="shared" si="8"/>
        <v>#VALUE!</v>
      </c>
      <c r="K946" s="60" t="s">
        <v>1800</v>
      </c>
    </row>
    <row r="947" spans="1:11" ht="24" x14ac:dyDescent="0.2">
      <c r="A947" s="918" t="s">
        <v>2332</v>
      </c>
      <c r="B947" s="917" t="s">
        <v>1796</v>
      </c>
      <c r="C947" s="917" t="s">
        <v>1238</v>
      </c>
      <c r="D947" s="918">
        <v>1148</v>
      </c>
      <c r="E947" s="415"/>
      <c r="F947" s="966">
        <v>28724.2</v>
      </c>
      <c r="G947" s="967" t="s">
        <v>1897</v>
      </c>
      <c r="H947" s="973" t="s">
        <v>1500</v>
      </c>
      <c r="I947" s="964" t="s">
        <v>2331</v>
      </c>
      <c r="J947" s="965" t="e">
        <f t="shared" si="8"/>
        <v>#VALUE!</v>
      </c>
      <c r="K947" s="60" t="s">
        <v>1800</v>
      </c>
    </row>
    <row r="948" spans="1:11" ht="24" x14ac:dyDescent="0.2">
      <c r="A948" s="918" t="s">
        <v>1801</v>
      </c>
      <c r="B948" s="918" t="s">
        <v>1879</v>
      </c>
      <c r="C948" s="918" t="s">
        <v>2333</v>
      </c>
      <c r="D948" s="918">
        <v>1149</v>
      </c>
      <c r="E948" s="415"/>
      <c r="F948" s="966">
        <v>54752</v>
      </c>
      <c r="G948" s="967" t="s">
        <v>2199</v>
      </c>
      <c r="H948" s="973" t="s">
        <v>1500</v>
      </c>
      <c r="I948" s="964" t="s">
        <v>2331</v>
      </c>
      <c r="J948" s="965" t="e">
        <f t="shared" si="8"/>
        <v>#VALUE!</v>
      </c>
      <c r="K948" s="60" t="s">
        <v>1800</v>
      </c>
    </row>
    <row r="949" spans="1:11" ht="24" x14ac:dyDescent="0.2">
      <c r="A949" s="918" t="s">
        <v>1801</v>
      </c>
      <c r="B949" s="918" t="s">
        <v>1879</v>
      </c>
      <c r="C949" s="918" t="s">
        <v>2333</v>
      </c>
      <c r="D949" s="918">
        <v>1150</v>
      </c>
      <c r="E949" s="415"/>
      <c r="F949" s="966">
        <v>47560</v>
      </c>
      <c r="G949" s="967" t="s">
        <v>2199</v>
      </c>
      <c r="H949" s="973" t="s">
        <v>1500</v>
      </c>
      <c r="I949" s="964" t="s">
        <v>2334</v>
      </c>
      <c r="J949" s="965" t="e">
        <f t="shared" si="8"/>
        <v>#VALUE!</v>
      </c>
      <c r="K949" s="60" t="s">
        <v>1800</v>
      </c>
    </row>
    <row r="950" spans="1:11" ht="24" x14ac:dyDescent="0.2">
      <c r="A950" s="918" t="s">
        <v>1801</v>
      </c>
      <c r="B950" s="918" t="s">
        <v>1879</v>
      </c>
      <c r="C950" s="918" t="s">
        <v>2333</v>
      </c>
      <c r="D950" s="918">
        <v>1151</v>
      </c>
      <c r="E950" s="415"/>
      <c r="F950" s="966">
        <v>31755</v>
      </c>
      <c r="G950" s="967" t="s">
        <v>2199</v>
      </c>
      <c r="H950" s="973" t="s">
        <v>1500</v>
      </c>
      <c r="I950" s="964" t="s">
        <v>2334</v>
      </c>
      <c r="J950" s="965" t="e">
        <f t="shared" si="8"/>
        <v>#VALUE!</v>
      </c>
      <c r="K950" s="60" t="s">
        <v>1800</v>
      </c>
    </row>
    <row r="951" spans="1:11" ht="24" x14ac:dyDescent="0.2">
      <c r="A951" s="918" t="s">
        <v>1801</v>
      </c>
      <c r="B951" s="918" t="s">
        <v>1879</v>
      </c>
      <c r="C951" s="918" t="s">
        <v>2333</v>
      </c>
      <c r="D951" s="918">
        <v>1152</v>
      </c>
      <c r="E951" s="415"/>
      <c r="F951" s="966">
        <v>10933</v>
      </c>
      <c r="G951" s="967" t="s">
        <v>2199</v>
      </c>
      <c r="H951" s="973" t="s">
        <v>1500</v>
      </c>
      <c r="I951" s="964" t="s">
        <v>2334</v>
      </c>
      <c r="J951" s="965" t="e">
        <f t="shared" si="8"/>
        <v>#VALUE!</v>
      </c>
      <c r="K951" s="60" t="s">
        <v>1800</v>
      </c>
    </row>
    <row r="952" spans="1:11" ht="24" x14ac:dyDescent="0.2">
      <c r="A952" s="918" t="s">
        <v>2335</v>
      </c>
      <c r="B952" s="917" t="s">
        <v>1796</v>
      </c>
      <c r="C952" s="917" t="s">
        <v>1238</v>
      </c>
      <c r="D952" s="918">
        <v>1577</v>
      </c>
      <c r="E952" s="415"/>
      <c r="F952" s="966">
        <v>12100</v>
      </c>
      <c r="G952" s="967" t="s">
        <v>1838</v>
      </c>
      <c r="H952" s="973" t="s">
        <v>1500</v>
      </c>
      <c r="I952" s="964" t="s">
        <v>2314</v>
      </c>
      <c r="J952" s="965">
        <f t="shared" si="8"/>
        <v>44238</v>
      </c>
      <c r="K952" s="60" t="s">
        <v>1800</v>
      </c>
    </row>
    <row r="953" spans="1:11" ht="24" x14ac:dyDescent="0.2">
      <c r="A953" s="918" t="s">
        <v>2248</v>
      </c>
      <c r="B953" s="917" t="s">
        <v>1796</v>
      </c>
      <c r="C953" s="917" t="s">
        <v>1238</v>
      </c>
      <c r="D953" s="918">
        <v>1593</v>
      </c>
      <c r="E953" s="415"/>
      <c r="F953" s="966">
        <v>11000</v>
      </c>
      <c r="G953" s="967" t="s">
        <v>2336</v>
      </c>
      <c r="H953" s="973" t="s">
        <v>1500</v>
      </c>
      <c r="I953" s="964" t="s">
        <v>2315</v>
      </c>
      <c r="J953" s="965">
        <f t="shared" si="8"/>
        <v>44266</v>
      </c>
      <c r="K953" s="60" t="s">
        <v>1800</v>
      </c>
    </row>
    <row r="954" spans="1:11" ht="24" x14ac:dyDescent="0.2">
      <c r="A954" s="918" t="s">
        <v>2312</v>
      </c>
      <c r="B954" s="918" t="s">
        <v>1879</v>
      </c>
      <c r="C954" s="918" t="s">
        <v>2313</v>
      </c>
      <c r="D954" s="918">
        <v>1596</v>
      </c>
      <c r="E954" s="415"/>
      <c r="F954" s="966">
        <v>37448.400000000001</v>
      </c>
      <c r="G954" s="967" t="s">
        <v>1895</v>
      </c>
      <c r="H954" s="973" t="s">
        <v>1500</v>
      </c>
      <c r="I954" s="964" t="s">
        <v>1376</v>
      </c>
      <c r="J954" s="965">
        <f t="shared" si="8"/>
        <v>44297</v>
      </c>
      <c r="K954" s="60" t="s">
        <v>1800</v>
      </c>
    </row>
    <row r="955" spans="1:11" ht="24" x14ac:dyDescent="0.2">
      <c r="A955" s="918" t="s">
        <v>2312</v>
      </c>
      <c r="B955" s="918" t="s">
        <v>1879</v>
      </c>
      <c r="C955" s="918" t="s">
        <v>2313</v>
      </c>
      <c r="D955" s="918">
        <v>1597</v>
      </c>
      <c r="E955" s="415"/>
      <c r="F955" s="966">
        <v>28603.200000000001</v>
      </c>
      <c r="G955" s="967" t="s">
        <v>1895</v>
      </c>
      <c r="H955" s="973" t="s">
        <v>1500</v>
      </c>
      <c r="I955" s="964" t="s">
        <v>1376</v>
      </c>
      <c r="J955" s="965">
        <f t="shared" si="8"/>
        <v>44297</v>
      </c>
      <c r="K955" s="60" t="s">
        <v>1800</v>
      </c>
    </row>
    <row r="956" spans="1:11" ht="24" x14ac:dyDescent="0.2">
      <c r="A956" s="918" t="s">
        <v>2312</v>
      </c>
      <c r="B956" s="918" t="s">
        <v>1879</v>
      </c>
      <c r="C956" s="918" t="s">
        <v>2313</v>
      </c>
      <c r="D956" s="918">
        <v>1599</v>
      </c>
      <c r="E956" s="415"/>
      <c r="F956" s="966">
        <v>16588.400000000001</v>
      </c>
      <c r="G956" s="967" t="s">
        <v>1895</v>
      </c>
      <c r="H956" s="973" t="s">
        <v>1500</v>
      </c>
      <c r="I956" s="964" t="s">
        <v>1376</v>
      </c>
      <c r="J956" s="965">
        <f t="shared" si="8"/>
        <v>44297</v>
      </c>
      <c r="K956" s="60" t="s">
        <v>1800</v>
      </c>
    </row>
    <row r="957" spans="1:11" ht="24" x14ac:dyDescent="0.2">
      <c r="A957" s="918" t="s">
        <v>2337</v>
      </c>
      <c r="B957" s="918" t="s">
        <v>1879</v>
      </c>
      <c r="C957" s="918" t="s">
        <v>2313</v>
      </c>
      <c r="D957" s="918">
        <v>1600</v>
      </c>
      <c r="E957" s="415"/>
      <c r="F957" s="966">
        <v>47118</v>
      </c>
      <c r="G957" s="967" t="s">
        <v>1895</v>
      </c>
      <c r="H957" s="973" t="s">
        <v>1500</v>
      </c>
      <c r="I957" s="964" t="s">
        <v>1376</v>
      </c>
      <c r="J957" s="965">
        <f t="shared" si="8"/>
        <v>44297</v>
      </c>
      <c r="K957" s="60" t="s">
        <v>1800</v>
      </c>
    </row>
    <row r="958" spans="1:11" ht="24" x14ac:dyDescent="0.2">
      <c r="A958" s="918" t="s">
        <v>2338</v>
      </c>
      <c r="B958" s="917" t="s">
        <v>1796</v>
      </c>
      <c r="C958" s="917" t="s">
        <v>1238</v>
      </c>
      <c r="D958" s="918">
        <v>1603</v>
      </c>
      <c r="E958" s="415"/>
      <c r="F958" s="966">
        <v>10542</v>
      </c>
      <c r="G958" s="967" t="s">
        <v>1926</v>
      </c>
      <c r="H958" s="973" t="s">
        <v>1500</v>
      </c>
      <c r="I958" s="964" t="s">
        <v>2317</v>
      </c>
      <c r="J958" s="965">
        <f t="shared" si="8"/>
        <v>44358</v>
      </c>
      <c r="K958" s="60" t="s">
        <v>1800</v>
      </c>
    </row>
    <row r="959" spans="1:11" ht="24" x14ac:dyDescent="0.2">
      <c r="A959" s="918" t="s">
        <v>2335</v>
      </c>
      <c r="B959" s="917" t="s">
        <v>1796</v>
      </c>
      <c r="C959" s="917" t="s">
        <v>1238</v>
      </c>
      <c r="D959" s="918">
        <v>1692</v>
      </c>
      <c r="E959" s="415"/>
      <c r="F959" s="966">
        <v>34980</v>
      </c>
      <c r="G959" s="967" t="s">
        <v>1897</v>
      </c>
      <c r="H959" s="973" t="s">
        <v>1500</v>
      </c>
      <c r="I959" s="964" t="s">
        <v>2326</v>
      </c>
      <c r="J959" s="965" t="e">
        <f t="shared" si="8"/>
        <v>#VALUE!</v>
      </c>
      <c r="K959" s="60" t="s">
        <v>1800</v>
      </c>
    </row>
    <row r="960" spans="1:11" ht="24" x14ac:dyDescent="0.2">
      <c r="A960" s="918" t="s">
        <v>2339</v>
      </c>
      <c r="B960" s="917" t="s">
        <v>1796</v>
      </c>
      <c r="C960" s="917" t="s">
        <v>1238</v>
      </c>
      <c r="D960" s="918">
        <v>1694</v>
      </c>
      <c r="E960" s="415"/>
      <c r="F960" s="966">
        <v>11120</v>
      </c>
      <c r="G960" s="967" t="s">
        <v>2036</v>
      </c>
      <c r="H960" s="973" t="s">
        <v>1500</v>
      </c>
      <c r="I960" s="964" t="s">
        <v>2326</v>
      </c>
      <c r="J960" s="965" t="e">
        <f t="shared" si="8"/>
        <v>#VALUE!</v>
      </c>
      <c r="K960" s="60" t="s">
        <v>1800</v>
      </c>
    </row>
    <row r="961" spans="1:11" ht="24" x14ac:dyDescent="0.2">
      <c r="A961" s="918" t="s">
        <v>2340</v>
      </c>
      <c r="B961" s="917" t="s">
        <v>1796</v>
      </c>
      <c r="C961" s="917" t="s">
        <v>1238</v>
      </c>
      <c r="D961" s="918">
        <v>1724</v>
      </c>
      <c r="E961" s="415"/>
      <c r="F961" s="966">
        <v>19998.46</v>
      </c>
      <c r="G961" s="967" t="s">
        <v>2341</v>
      </c>
      <c r="H961" s="973" t="s">
        <v>1500</v>
      </c>
      <c r="I961" s="964" t="s">
        <v>2342</v>
      </c>
      <c r="J961" s="965" t="e">
        <f t="shared" si="8"/>
        <v>#VALUE!</v>
      </c>
      <c r="K961" s="60" t="s">
        <v>1800</v>
      </c>
    </row>
    <row r="962" spans="1:11" ht="24" x14ac:dyDescent="0.2">
      <c r="A962" s="918" t="s">
        <v>1795</v>
      </c>
      <c r="B962" s="917" t="s">
        <v>1796</v>
      </c>
      <c r="C962" s="917" t="s">
        <v>1238</v>
      </c>
      <c r="D962" s="918">
        <v>1752</v>
      </c>
      <c r="E962" s="415"/>
      <c r="F962" s="966">
        <v>25342</v>
      </c>
      <c r="G962" s="967" t="s">
        <v>1797</v>
      </c>
      <c r="H962" s="973" t="s">
        <v>1500</v>
      </c>
      <c r="I962" s="964" t="s">
        <v>2343</v>
      </c>
      <c r="J962" s="965"/>
      <c r="K962" s="60" t="s">
        <v>1800</v>
      </c>
    </row>
    <row r="963" spans="1:11" ht="24" x14ac:dyDescent="0.2">
      <c r="A963" s="918" t="s">
        <v>2344</v>
      </c>
      <c r="B963" s="917" t="s">
        <v>1796</v>
      </c>
      <c r="C963" s="917" t="s">
        <v>1238</v>
      </c>
      <c r="D963" s="918">
        <v>1753</v>
      </c>
      <c r="E963" s="415"/>
      <c r="F963" s="966">
        <v>15910.4</v>
      </c>
      <c r="G963" s="967" t="s">
        <v>1797</v>
      </c>
      <c r="H963" s="973" t="s">
        <v>1500</v>
      </c>
      <c r="I963" s="964" t="s">
        <v>2343</v>
      </c>
      <c r="J963" s="965"/>
      <c r="K963" s="60" t="s">
        <v>1800</v>
      </c>
    </row>
    <row r="964" spans="1:11" ht="24" x14ac:dyDescent="0.2">
      <c r="A964" s="918" t="s">
        <v>2108</v>
      </c>
      <c r="B964" s="917" t="s">
        <v>1796</v>
      </c>
      <c r="C964" s="917" t="s">
        <v>1238</v>
      </c>
      <c r="D964" s="918">
        <v>1754</v>
      </c>
      <c r="E964" s="415"/>
      <c r="F964" s="966">
        <v>11886.8</v>
      </c>
      <c r="G964" s="967" t="s">
        <v>1797</v>
      </c>
      <c r="H964" s="973" t="s">
        <v>1500</v>
      </c>
      <c r="I964" s="964" t="s">
        <v>2343</v>
      </c>
      <c r="J964" s="965"/>
      <c r="K964" s="60" t="s">
        <v>1800</v>
      </c>
    </row>
    <row r="965" spans="1:11" x14ac:dyDescent="0.2">
      <c r="A965" s="915" t="s">
        <v>2345</v>
      </c>
      <c r="B965" s="915"/>
      <c r="C965" s="915"/>
      <c r="D965" s="915"/>
      <c r="E965" s="930"/>
      <c r="F965" s="931"/>
      <c r="G965" s="932"/>
      <c r="H965" s="930"/>
      <c r="I965" s="933"/>
      <c r="J965" s="933"/>
      <c r="K965" s="932"/>
    </row>
    <row r="966" spans="1:11" ht="24" x14ac:dyDescent="0.2">
      <c r="A966" s="806" t="s">
        <v>2346</v>
      </c>
      <c r="B966" s="806" t="s">
        <v>2347</v>
      </c>
      <c r="C966" s="806"/>
      <c r="D966" s="974" t="s">
        <v>2348</v>
      </c>
      <c r="E966" s="415"/>
      <c r="F966" s="935">
        <v>27500</v>
      </c>
      <c r="G966" s="862"/>
      <c r="H966" s="713"/>
      <c r="I966" s="906"/>
      <c r="J966" s="906"/>
      <c r="K966" s="862"/>
    </row>
    <row r="967" spans="1:11" ht="24" x14ac:dyDescent="0.2">
      <c r="A967" s="806" t="s">
        <v>2349</v>
      </c>
      <c r="B967" s="806" t="s">
        <v>2347</v>
      </c>
      <c r="C967" s="806"/>
      <c r="D967" s="974" t="s">
        <v>2348</v>
      </c>
      <c r="E967" s="415"/>
      <c r="F967" s="935">
        <v>23405</v>
      </c>
      <c r="G967" s="862" t="s">
        <v>2350</v>
      </c>
      <c r="H967" s="713"/>
      <c r="I967" s="906"/>
      <c r="J967" s="906">
        <v>44197</v>
      </c>
      <c r="K967" s="862"/>
    </row>
    <row r="968" spans="1:11" ht="24" x14ac:dyDescent="0.2">
      <c r="A968" s="806" t="s">
        <v>2351</v>
      </c>
      <c r="B968" s="806" t="s">
        <v>2347</v>
      </c>
      <c r="C968" s="806"/>
      <c r="D968" s="974" t="s">
        <v>2348</v>
      </c>
      <c r="E968" s="415"/>
      <c r="F968" s="935">
        <v>20000</v>
      </c>
      <c r="G968" s="862"/>
      <c r="H968" s="713"/>
      <c r="I968" s="906"/>
      <c r="J968" s="906"/>
      <c r="K968" s="862"/>
    </row>
    <row r="969" spans="1:11" x14ac:dyDescent="0.2">
      <c r="A969" s="862" t="s">
        <v>2352</v>
      </c>
      <c r="B969" s="806" t="s">
        <v>1636</v>
      </c>
      <c r="C969" s="806"/>
      <c r="D969" s="974" t="s">
        <v>2348</v>
      </c>
      <c r="E969" s="415"/>
      <c r="F969" s="935">
        <v>119335.9</v>
      </c>
      <c r="G969" s="862" t="s">
        <v>2353</v>
      </c>
      <c r="H969" s="713"/>
      <c r="I969" s="906"/>
      <c r="J969" s="906">
        <v>44197</v>
      </c>
      <c r="K969" s="862"/>
    </row>
    <row r="970" spans="1:11" ht="24" x14ac:dyDescent="0.2">
      <c r="A970" s="862" t="s">
        <v>2354</v>
      </c>
      <c r="B970" s="806" t="s">
        <v>2347</v>
      </c>
      <c r="C970" s="806"/>
      <c r="D970" s="974"/>
      <c r="E970" s="415"/>
      <c r="F970" s="935">
        <v>60000</v>
      </c>
      <c r="G970" s="862" t="s">
        <v>2353</v>
      </c>
      <c r="H970" s="713"/>
      <c r="I970" s="906"/>
      <c r="J970" s="906"/>
      <c r="K970" s="862"/>
    </row>
    <row r="971" spans="1:11" ht="24" x14ac:dyDescent="0.2">
      <c r="A971" s="862" t="s">
        <v>2355</v>
      </c>
      <c r="B971" s="806" t="s">
        <v>2347</v>
      </c>
      <c r="C971" s="806"/>
      <c r="D971" s="974"/>
      <c r="E971" s="415"/>
      <c r="F971" s="935">
        <v>12000</v>
      </c>
      <c r="G971" s="862" t="s">
        <v>2353</v>
      </c>
      <c r="H971" s="713"/>
      <c r="I971" s="906"/>
      <c r="J971" s="906"/>
      <c r="K971" s="862"/>
    </row>
    <row r="972" spans="1:11" ht="24" x14ac:dyDescent="0.2">
      <c r="A972" s="862" t="s">
        <v>2356</v>
      </c>
      <c r="B972" s="806" t="s">
        <v>2347</v>
      </c>
      <c r="C972" s="806"/>
      <c r="D972" s="974"/>
      <c r="E972" s="415"/>
      <c r="F972" s="935">
        <v>36000</v>
      </c>
      <c r="G972" s="862" t="s">
        <v>2353</v>
      </c>
      <c r="H972" s="713"/>
      <c r="I972" s="906"/>
      <c r="J972" s="906"/>
      <c r="K972" s="862"/>
    </row>
    <row r="973" spans="1:11" ht="24" x14ac:dyDescent="0.2">
      <c r="A973" s="806" t="s">
        <v>2357</v>
      </c>
      <c r="B973" s="806" t="s">
        <v>2347</v>
      </c>
      <c r="C973" s="806"/>
      <c r="D973" s="974" t="s">
        <v>2348</v>
      </c>
      <c r="E973" s="415"/>
      <c r="F973" s="935">
        <v>12000</v>
      </c>
      <c r="G973" s="862" t="s">
        <v>2353</v>
      </c>
      <c r="H973" s="713"/>
      <c r="I973" s="906"/>
      <c r="J973" s="906">
        <v>44197</v>
      </c>
      <c r="K973" s="862"/>
    </row>
    <row r="974" spans="1:11" ht="36" x14ac:dyDescent="0.2">
      <c r="A974" s="806" t="s">
        <v>2358</v>
      </c>
      <c r="B974" s="806" t="s">
        <v>2347</v>
      </c>
      <c r="C974" s="806"/>
      <c r="D974" s="974" t="s">
        <v>2348</v>
      </c>
      <c r="E974" s="415"/>
      <c r="F974" s="935">
        <v>38815.660000000003</v>
      </c>
      <c r="G974" s="862" t="s">
        <v>2359</v>
      </c>
      <c r="H974" s="713"/>
      <c r="I974" s="906"/>
      <c r="J974" s="906">
        <v>44197</v>
      </c>
      <c r="K974" s="862"/>
    </row>
    <row r="975" spans="1:11" ht="24" x14ac:dyDescent="0.2">
      <c r="A975" s="806" t="s">
        <v>2360</v>
      </c>
      <c r="B975" s="806" t="s">
        <v>2347</v>
      </c>
      <c r="C975" s="806"/>
      <c r="D975" s="974" t="s">
        <v>2348</v>
      </c>
      <c r="E975" s="415"/>
      <c r="F975" s="935">
        <v>20000</v>
      </c>
      <c r="G975" s="862"/>
      <c r="H975" s="713"/>
      <c r="I975" s="906"/>
      <c r="J975" s="906"/>
      <c r="K975" s="862"/>
    </row>
    <row r="976" spans="1:11" ht="36" x14ac:dyDescent="0.2">
      <c r="A976" s="806" t="s">
        <v>2361</v>
      </c>
      <c r="B976" s="806" t="s">
        <v>1368</v>
      </c>
      <c r="C976" s="806"/>
      <c r="D976" s="806" t="s">
        <v>2362</v>
      </c>
      <c r="E976" s="415"/>
      <c r="F976" s="935">
        <v>100000</v>
      </c>
      <c r="G976" s="862" t="s">
        <v>2363</v>
      </c>
      <c r="H976" s="713" t="s">
        <v>2364</v>
      </c>
      <c r="I976" s="906">
        <v>44301</v>
      </c>
      <c r="J976" s="897">
        <v>44301</v>
      </c>
      <c r="K976" s="862"/>
    </row>
    <row r="977" spans="1:11" ht="24" x14ac:dyDescent="0.2">
      <c r="A977" s="806" t="s">
        <v>2365</v>
      </c>
      <c r="B977" s="806" t="s">
        <v>2347</v>
      </c>
      <c r="C977" s="806"/>
      <c r="D977" s="806"/>
      <c r="E977" s="415"/>
      <c r="F977" s="935">
        <v>203047</v>
      </c>
      <c r="G977" s="862"/>
      <c r="H977" s="713"/>
      <c r="I977" s="906"/>
      <c r="J977" s="897"/>
      <c r="K977" s="862"/>
    </row>
    <row r="978" spans="1:11" ht="24" x14ac:dyDescent="0.2">
      <c r="A978" s="806" t="s">
        <v>2366</v>
      </c>
      <c r="B978" s="806" t="s">
        <v>2347</v>
      </c>
      <c r="C978" s="806"/>
      <c r="D978" s="974" t="s">
        <v>2348</v>
      </c>
      <c r="E978" s="415"/>
      <c r="F978" s="935">
        <v>8945.24</v>
      </c>
      <c r="G978" s="862" t="s">
        <v>2367</v>
      </c>
      <c r="H978" s="713"/>
      <c r="I978" s="906"/>
      <c r="J978" s="897"/>
      <c r="K978" s="862"/>
    </row>
    <row r="979" spans="1:11" ht="24" x14ac:dyDescent="0.2">
      <c r="A979" s="806" t="s">
        <v>2368</v>
      </c>
      <c r="B979" s="806" t="s">
        <v>2347</v>
      </c>
      <c r="C979" s="806"/>
      <c r="D979" s="974" t="s">
        <v>2348</v>
      </c>
      <c r="E979" s="415"/>
      <c r="F979" s="935">
        <v>7500</v>
      </c>
      <c r="G979" s="862"/>
      <c r="H979" s="713"/>
      <c r="I979" s="906"/>
      <c r="J979" s="897"/>
      <c r="K979" s="862"/>
    </row>
    <row r="980" spans="1:11" ht="36" x14ac:dyDescent="0.2">
      <c r="A980" s="806" t="s">
        <v>2369</v>
      </c>
      <c r="B980" s="806" t="s">
        <v>1368</v>
      </c>
      <c r="C980" s="806"/>
      <c r="D980" s="806" t="s">
        <v>2370</v>
      </c>
      <c r="E980" s="415"/>
      <c r="F980" s="935">
        <v>167719</v>
      </c>
      <c r="G980" s="862" t="s">
        <v>2371</v>
      </c>
      <c r="H980" s="713" t="s">
        <v>2364</v>
      </c>
      <c r="I980" s="906">
        <v>44271</v>
      </c>
      <c r="J980" s="897">
        <v>44271</v>
      </c>
      <c r="K980" s="862"/>
    </row>
    <row r="981" spans="1:11" ht="24" x14ac:dyDescent="0.2">
      <c r="A981" s="806" t="s">
        <v>2372</v>
      </c>
      <c r="B981" s="806" t="s">
        <v>2347</v>
      </c>
      <c r="C981" s="806"/>
      <c r="D981" s="974" t="s">
        <v>2348</v>
      </c>
      <c r="E981" s="415"/>
      <c r="F981" s="935">
        <v>264324</v>
      </c>
      <c r="G981" s="862" t="s">
        <v>2371</v>
      </c>
      <c r="H981" s="713"/>
      <c r="I981" s="906"/>
      <c r="J981" s="897"/>
      <c r="K981" s="862"/>
    </row>
    <row r="982" spans="1:11" ht="24" x14ac:dyDescent="0.2">
      <c r="A982" s="806" t="s">
        <v>2373</v>
      </c>
      <c r="B982" s="806" t="s">
        <v>2347</v>
      </c>
      <c r="C982" s="806"/>
      <c r="D982" s="974" t="s">
        <v>2348</v>
      </c>
      <c r="E982" s="415"/>
      <c r="F982" s="935">
        <v>170443</v>
      </c>
      <c r="G982" s="862" t="s">
        <v>2374</v>
      </c>
      <c r="H982" s="713"/>
      <c r="I982" s="906"/>
      <c r="J982" s="897"/>
      <c r="K982" s="862"/>
    </row>
    <row r="983" spans="1:11" ht="24" x14ac:dyDescent="0.2">
      <c r="A983" s="862" t="s">
        <v>2375</v>
      </c>
      <c r="B983" s="806" t="s">
        <v>2347</v>
      </c>
      <c r="C983" s="806"/>
      <c r="D983" s="974" t="s">
        <v>2348</v>
      </c>
      <c r="E983" s="415"/>
      <c r="F983" s="935">
        <v>292997</v>
      </c>
      <c r="G983" s="862" t="s">
        <v>2376</v>
      </c>
      <c r="H983" s="713"/>
      <c r="I983" s="906"/>
      <c r="J983" s="897"/>
      <c r="K983" s="862"/>
    </row>
    <row r="984" spans="1:11" ht="24" x14ac:dyDescent="0.2">
      <c r="A984" s="806" t="s">
        <v>2377</v>
      </c>
      <c r="B984" s="806" t="s">
        <v>2347</v>
      </c>
      <c r="C984" s="806"/>
      <c r="D984" s="974" t="s">
        <v>2348</v>
      </c>
      <c r="E984" s="415"/>
      <c r="F984" s="935">
        <v>64957.8</v>
      </c>
      <c r="G984" s="862" t="s">
        <v>2378</v>
      </c>
      <c r="H984" s="713"/>
      <c r="I984" s="906"/>
      <c r="J984" s="897">
        <v>44197</v>
      </c>
      <c r="K984" s="862"/>
    </row>
    <row r="985" spans="1:11" ht="24" x14ac:dyDescent="0.2">
      <c r="A985" s="806" t="s">
        <v>2379</v>
      </c>
      <c r="B985" s="806" t="s">
        <v>2347</v>
      </c>
      <c r="C985" s="806"/>
      <c r="D985" s="974"/>
      <c r="E985" s="415"/>
      <c r="F985" s="935">
        <v>45000</v>
      </c>
      <c r="G985" s="862"/>
      <c r="H985" s="713"/>
      <c r="I985" s="906"/>
      <c r="J985" s="897"/>
      <c r="K985" s="862"/>
    </row>
    <row r="986" spans="1:11" ht="24" x14ac:dyDescent="0.2">
      <c r="A986" s="806" t="s">
        <v>2380</v>
      </c>
      <c r="B986" s="806" t="s">
        <v>2347</v>
      </c>
      <c r="C986" s="806"/>
      <c r="D986" s="974" t="s">
        <v>2348</v>
      </c>
      <c r="E986" s="415"/>
      <c r="F986" s="936" t="s">
        <v>2381</v>
      </c>
      <c r="G986" s="862" t="s">
        <v>2382</v>
      </c>
      <c r="H986" s="713"/>
      <c r="I986" s="906"/>
      <c r="J986" s="897">
        <v>44197</v>
      </c>
      <c r="K986" s="862"/>
    </row>
    <row r="987" spans="1:11" ht="24" x14ac:dyDescent="0.2">
      <c r="A987" s="806" t="s">
        <v>2383</v>
      </c>
      <c r="B987" s="806" t="s">
        <v>2347</v>
      </c>
      <c r="C987" s="806"/>
      <c r="D987" s="974"/>
      <c r="E987" s="415"/>
      <c r="F987" s="935">
        <v>16800</v>
      </c>
      <c r="G987" s="862"/>
      <c r="H987" s="713"/>
      <c r="I987" s="906"/>
      <c r="J987" s="897"/>
      <c r="K987" s="862"/>
    </row>
    <row r="988" spans="1:11" ht="36" x14ac:dyDescent="0.2">
      <c r="A988" s="862" t="s">
        <v>2384</v>
      </c>
      <c r="B988" s="806" t="s">
        <v>1368</v>
      </c>
      <c r="C988" s="806"/>
      <c r="D988" s="806" t="s">
        <v>2385</v>
      </c>
      <c r="E988" s="415"/>
      <c r="F988" s="935">
        <v>135000</v>
      </c>
      <c r="G988" s="862" t="s">
        <v>2386</v>
      </c>
      <c r="H988" s="713" t="s">
        <v>2364</v>
      </c>
      <c r="I988" s="906" t="s">
        <v>2387</v>
      </c>
      <c r="J988" s="897" t="s">
        <v>2387</v>
      </c>
      <c r="K988" s="862"/>
    </row>
    <row r="989" spans="1:11" ht="36" x14ac:dyDescent="0.2">
      <c r="A989" s="862" t="s">
        <v>2388</v>
      </c>
      <c r="B989" s="806" t="s">
        <v>1368</v>
      </c>
      <c r="C989" s="806"/>
      <c r="D989" s="806" t="s">
        <v>2389</v>
      </c>
      <c r="E989" s="415"/>
      <c r="F989" s="935">
        <v>137941.44</v>
      </c>
      <c r="G989" s="862"/>
      <c r="H989" s="713" t="s">
        <v>2364</v>
      </c>
      <c r="I989" s="906" t="s">
        <v>2390</v>
      </c>
      <c r="J989" s="897" t="s">
        <v>2390</v>
      </c>
      <c r="K989" s="862"/>
    </row>
    <row r="990" spans="1:11" x14ac:dyDescent="0.2">
      <c r="A990" s="915" t="s">
        <v>2391</v>
      </c>
      <c r="B990" s="915"/>
      <c r="C990" s="915"/>
      <c r="D990" s="915"/>
      <c r="E990" s="930"/>
      <c r="F990" s="931"/>
      <c r="G990" s="932"/>
      <c r="H990" s="930"/>
      <c r="I990" s="933"/>
      <c r="J990" s="933"/>
      <c r="K990" s="932"/>
    </row>
    <row r="991" spans="1:11" ht="24" x14ac:dyDescent="0.2">
      <c r="A991" s="862" t="s">
        <v>2392</v>
      </c>
      <c r="B991" s="806" t="s">
        <v>2393</v>
      </c>
      <c r="C991" s="806" t="s">
        <v>2394</v>
      </c>
      <c r="D991" s="806" t="s">
        <v>2395</v>
      </c>
      <c r="E991" s="415"/>
      <c r="F991" s="936" t="s">
        <v>2396</v>
      </c>
      <c r="G991" s="862" t="s">
        <v>2397</v>
      </c>
      <c r="H991" s="713" t="s">
        <v>2398</v>
      </c>
      <c r="I991" s="906">
        <v>44250</v>
      </c>
      <c r="J991" s="906">
        <v>44250</v>
      </c>
      <c r="K991" s="862" t="s">
        <v>2399</v>
      </c>
    </row>
    <row r="992" spans="1:11" ht="24" x14ac:dyDescent="0.2">
      <c r="A992" s="862" t="s">
        <v>2392</v>
      </c>
      <c r="B992" s="806" t="s">
        <v>2393</v>
      </c>
      <c r="C992" s="806" t="s">
        <v>2394</v>
      </c>
      <c r="D992" s="806" t="s">
        <v>2400</v>
      </c>
      <c r="E992" s="415"/>
      <c r="F992" s="936" t="s">
        <v>2401</v>
      </c>
      <c r="G992" s="862" t="s">
        <v>2397</v>
      </c>
      <c r="H992" s="713" t="s">
        <v>2398</v>
      </c>
      <c r="I992" s="906">
        <v>44250</v>
      </c>
      <c r="J992" s="906">
        <v>44250</v>
      </c>
      <c r="K992" s="862" t="s">
        <v>2399</v>
      </c>
    </row>
    <row r="993" spans="1:11" ht="36" x14ac:dyDescent="0.2">
      <c r="A993" s="862" t="s">
        <v>2402</v>
      </c>
      <c r="B993" s="806" t="s">
        <v>2393</v>
      </c>
      <c r="C993" s="806" t="s">
        <v>2394</v>
      </c>
      <c r="D993" s="806" t="s">
        <v>2403</v>
      </c>
      <c r="E993" s="415"/>
      <c r="F993" s="936" t="s">
        <v>2404</v>
      </c>
      <c r="G993" s="862" t="s">
        <v>2405</v>
      </c>
      <c r="H993" s="713" t="s">
        <v>2398</v>
      </c>
      <c r="I993" s="906">
        <v>44250</v>
      </c>
      <c r="J993" s="906">
        <v>44250</v>
      </c>
      <c r="K993" s="862" t="s">
        <v>2399</v>
      </c>
    </row>
    <row r="994" spans="1:11" ht="24" x14ac:dyDescent="0.2">
      <c r="A994" s="862" t="s">
        <v>2406</v>
      </c>
      <c r="B994" s="806" t="s">
        <v>2393</v>
      </c>
      <c r="C994" s="806" t="s">
        <v>2394</v>
      </c>
      <c r="D994" s="806" t="s">
        <v>2407</v>
      </c>
      <c r="E994" s="415"/>
      <c r="F994" s="936" t="s">
        <v>2408</v>
      </c>
      <c r="G994" s="862" t="s">
        <v>2397</v>
      </c>
      <c r="H994" s="713" t="s">
        <v>2398</v>
      </c>
      <c r="I994" s="906">
        <v>44258</v>
      </c>
      <c r="J994" s="906">
        <v>44258</v>
      </c>
      <c r="K994" s="862" t="s">
        <v>2399</v>
      </c>
    </row>
    <row r="995" spans="1:11" ht="24" x14ac:dyDescent="0.2">
      <c r="A995" s="862" t="s">
        <v>2392</v>
      </c>
      <c r="B995" s="806" t="s">
        <v>2393</v>
      </c>
      <c r="C995" s="806" t="s">
        <v>2394</v>
      </c>
      <c r="D995" s="806" t="s">
        <v>2409</v>
      </c>
      <c r="E995" s="415"/>
      <c r="F995" s="936" t="s">
        <v>2410</v>
      </c>
      <c r="G995" s="862" t="s">
        <v>2397</v>
      </c>
      <c r="H995" s="713" t="s">
        <v>2398</v>
      </c>
      <c r="I995" s="906">
        <v>44259</v>
      </c>
      <c r="J995" s="906">
        <v>44259</v>
      </c>
      <c r="K995" s="862" t="s">
        <v>2399</v>
      </c>
    </row>
    <row r="996" spans="1:11" ht="24" x14ac:dyDescent="0.2">
      <c r="A996" s="862" t="s">
        <v>2392</v>
      </c>
      <c r="B996" s="806" t="s">
        <v>2411</v>
      </c>
      <c r="C996" s="806" t="s">
        <v>2394</v>
      </c>
      <c r="D996" s="806" t="s">
        <v>2412</v>
      </c>
      <c r="E996" s="415"/>
      <c r="F996" s="936" t="s">
        <v>2413</v>
      </c>
      <c r="G996" s="862" t="s">
        <v>2397</v>
      </c>
      <c r="H996" s="713" t="s">
        <v>2398</v>
      </c>
      <c r="I996" s="906">
        <v>44272</v>
      </c>
      <c r="J996" s="906">
        <v>44272</v>
      </c>
      <c r="K996" s="862" t="s">
        <v>2399</v>
      </c>
    </row>
    <row r="997" spans="1:11" ht="24" x14ac:dyDescent="0.2">
      <c r="A997" s="862" t="s">
        <v>2414</v>
      </c>
      <c r="B997" s="806" t="s">
        <v>2393</v>
      </c>
      <c r="C997" s="806" t="s">
        <v>2394</v>
      </c>
      <c r="D997" s="806" t="s">
        <v>2415</v>
      </c>
      <c r="E997" s="415"/>
      <c r="F997" s="936" t="s">
        <v>2416</v>
      </c>
      <c r="G997" s="862" t="s">
        <v>2417</v>
      </c>
      <c r="H997" s="713" t="s">
        <v>2398</v>
      </c>
      <c r="I997" s="906">
        <v>44272</v>
      </c>
      <c r="J997" s="906">
        <v>44272</v>
      </c>
      <c r="K997" s="862" t="s">
        <v>2399</v>
      </c>
    </row>
    <row r="998" spans="1:11" ht="24" x14ac:dyDescent="0.2">
      <c r="A998" s="862" t="s">
        <v>2414</v>
      </c>
      <c r="B998" s="806" t="s">
        <v>2393</v>
      </c>
      <c r="C998" s="806" t="s">
        <v>2394</v>
      </c>
      <c r="D998" s="806" t="s">
        <v>2418</v>
      </c>
      <c r="E998" s="415"/>
      <c r="F998" s="936" t="s">
        <v>2416</v>
      </c>
      <c r="G998" s="862" t="s">
        <v>2419</v>
      </c>
      <c r="H998" s="713" t="s">
        <v>2398</v>
      </c>
      <c r="I998" s="906">
        <v>44272</v>
      </c>
      <c r="J998" s="906">
        <v>44272</v>
      </c>
      <c r="K998" s="862" t="s">
        <v>2399</v>
      </c>
    </row>
    <row r="999" spans="1:11" ht="24" x14ac:dyDescent="0.2">
      <c r="A999" s="862" t="s">
        <v>2414</v>
      </c>
      <c r="B999" s="806" t="s">
        <v>2393</v>
      </c>
      <c r="C999" s="806" t="s">
        <v>2394</v>
      </c>
      <c r="D999" s="806" t="s">
        <v>2420</v>
      </c>
      <c r="E999" s="415"/>
      <c r="F999" s="936" t="s">
        <v>2416</v>
      </c>
      <c r="G999" s="862" t="s">
        <v>2421</v>
      </c>
      <c r="H999" s="713" t="s">
        <v>2398</v>
      </c>
      <c r="I999" s="906">
        <v>44272</v>
      </c>
      <c r="J999" s="906">
        <v>44272</v>
      </c>
      <c r="K999" s="862" t="s">
        <v>2399</v>
      </c>
    </row>
    <row r="1000" spans="1:11" ht="24" x14ac:dyDescent="0.2">
      <c r="A1000" s="862" t="s">
        <v>2406</v>
      </c>
      <c r="B1000" s="806" t="s">
        <v>2393</v>
      </c>
      <c r="C1000" s="806" t="s">
        <v>2394</v>
      </c>
      <c r="D1000" s="806" t="s">
        <v>2422</v>
      </c>
      <c r="E1000" s="415"/>
      <c r="F1000" s="936" t="s">
        <v>2423</v>
      </c>
      <c r="G1000" s="862" t="s">
        <v>2397</v>
      </c>
      <c r="H1000" s="713" t="s">
        <v>2398</v>
      </c>
      <c r="I1000" s="906">
        <v>44277</v>
      </c>
      <c r="J1000" s="906">
        <v>44277</v>
      </c>
      <c r="K1000" s="862" t="s">
        <v>2399</v>
      </c>
    </row>
    <row r="1001" spans="1:11" ht="24" x14ac:dyDescent="0.2">
      <c r="A1001" s="862" t="s">
        <v>2424</v>
      </c>
      <c r="B1001" s="806" t="s">
        <v>2393</v>
      </c>
      <c r="C1001" s="806" t="s">
        <v>2394</v>
      </c>
      <c r="D1001" s="806" t="s">
        <v>2425</v>
      </c>
      <c r="E1001" s="415"/>
      <c r="F1001" s="936" t="s">
        <v>2426</v>
      </c>
      <c r="G1001" s="862" t="s">
        <v>2427</v>
      </c>
      <c r="H1001" s="713" t="s">
        <v>2398</v>
      </c>
      <c r="I1001" s="906">
        <v>44328</v>
      </c>
      <c r="J1001" s="906">
        <v>44328</v>
      </c>
      <c r="K1001" s="862" t="s">
        <v>2399</v>
      </c>
    </row>
    <row r="1002" spans="1:11" ht="24" x14ac:dyDescent="0.2">
      <c r="A1002" s="862" t="s">
        <v>2406</v>
      </c>
      <c r="B1002" s="806" t="s">
        <v>2393</v>
      </c>
      <c r="C1002" s="806" t="s">
        <v>2394</v>
      </c>
      <c r="D1002" s="806" t="s">
        <v>2428</v>
      </c>
      <c r="E1002" s="415"/>
      <c r="F1002" s="936" t="s">
        <v>2429</v>
      </c>
      <c r="G1002" s="862" t="s">
        <v>2397</v>
      </c>
      <c r="H1002" s="713" t="s">
        <v>2398</v>
      </c>
      <c r="I1002" s="906">
        <v>44329</v>
      </c>
      <c r="J1002" s="906">
        <v>44329</v>
      </c>
      <c r="K1002" s="862" t="s">
        <v>2399</v>
      </c>
    </row>
    <row r="1003" spans="1:11" ht="84" x14ac:dyDescent="0.2">
      <c r="A1003" s="862" t="s">
        <v>2430</v>
      </c>
      <c r="B1003" s="806" t="s">
        <v>2393</v>
      </c>
      <c r="C1003" s="806" t="s">
        <v>2394</v>
      </c>
      <c r="D1003" s="806" t="s">
        <v>2431</v>
      </c>
      <c r="E1003" s="415"/>
      <c r="F1003" s="936" t="s">
        <v>2416</v>
      </c>
      <c r="G1003" s="862" t="s">
        <v>2417</v>
      </c>
      <c r="H1003" s="713" t="s">
        <v>2398</v>
      </c>
      <c r="I1003" s="951">
        <v>44379</v>
      </c>
      <c r="J1003" s="951">
        <v>44379</v>
      </c>
      <c r="K1003" s="862" t="s">
        <v>2399</v>
      </c>
    </row>
    <row r="1004" spans="1:11" ht="84" x14ac:dyDescent="0.2">
      <c r="A1004" s="862" t="s">
        <v>2432</v>
      </c>
      <c r="B1004" s="806" t="s">
        <v>2393</v>
      </c>
      <c r="C1004" s="806" t="s">
        <v>2394</v>
      </c>
      <c r="D1004" s="806" t="s">
        <v>2433</v>
      </c>
      <c r="E1004" s="415"/>
      <c r="F1004" s="936" t="s">
        <v>2416</v>
      </c>
      <c r="G1004" s="862" t="s">
        <v>2421</v>
      </c>
      <c r="H1004" s="713" t="s">
        <v>2398</v>
      </c>
      <c r="I1004" s="951">
        <v>44379</v>
      </c>
      <c r="J1004" s="951">
        <v>44379</v>
      </c>
      <c r="K1004" s="862" t="s">
        <v>2399</v>
      </c>
    </row>
    <row r="1005" spans="1:11" ht="60" x14ac:dyDescent="0.2">
      <c r="A1005" s="862" t="s">
        <v>2434</v>
      </c>
      <c r="B1005" s="806" t="s">
        <v>2393</v>
      </c>
      <c r="C1005" s="806" t="s">
        <v>2394</v>
      </c>
      <c r="D1005" s="806" t="s">
        <v>2435</v>
      </c>
      <c r="E1005" s="415"/>
      <c r="F1005" s="936" t="s">
        <v>2416</v>
      </c>
      <c r="G1005" s="862" t="s">
        <v>2419</v>
      </c>
      <c r="H1005" s="713" t="s">
        <v>2398</v>
      </c>
      <c r="I1005" s="951">
        <v>44379</v>
      </c>
      <c r="J1005" s="951">
        <v>44379</v>
      </c>
      <c r="K1005" s="862" t="s">
        <v>2399</v>
      </c>
    </row>
    <row r="1006" spans="1:11" ht="36" x14ac:dyDescent="0.2">
      <c r="A1006" s="862" t="s">
        <v>2436</v>
      </c>
      <c r="B1006" s="806" t="s">
        <v>2393</v>
      </c>
      <c r="C1006" s="806" t="s">
        <v>2394</v>
      </c>
      <c r="D1006" s="806" t="s">
        <v>2437</v>
      </c>
      <c r="E1006" s="415"/>
      <c r="F1006" s="936" t="s">
        <v>2438</v>
      </c>
      <c r="G1006" s="862" t="s">
        <v>2439</v>
      </c>
      <c r="H1006" s="713" t="s">
        <v>2398</v>
      </c>
      <c r="I1006" s="951">
        <v>44398</v>
      </c>
      <c r="J1006" s="951">
        <v>44398</v>
      </c>
      <c r="K1006" s="862" t="s">
        <v>2399</v>
      </c>
    </row>
    <row r="1007" spans="1:11" ht="84" x14ac:dyDescent="0.2">
      <c r="A1007" s="862" t="s">
        <v>2440</v>
      </c>
      <c r="B1007" s="806" t="s">
        <v>2393</v>
      </c>
      <c r="C1007" s="806" t="s">
        <v>2394</v>
      </c>
      <c r="D1007" s="806" t="s">
        <v>2441</v>
      </c>
      <c r="E1007" s="415"/>
      <c r="F1007" s="936" t="s">
        <v>2416</v>
      </c>
      <c r="G1007" s="862" t="s">
        <v>2421</v>
      </c>
      <c r="H1007" s="713" t="s">
        <v>2398</v>
      </c>
      <c r="I1007" s="951">
        <v>44398</v>
      </c>
      <c r="J1007" s="951">
        <v>44398</v>
      </c>
      <c r="K1007" s="862" t="s">
        <v>2399</v>
      </c>
    </row>
    <row r="1008" spans="1:11" ht="60" x14ac:dyDescent="0.2">
      <c r="A1008" s="862" t="s">
        <v>2442</v>
      </c>
      <c r="B1008" s="806" t="s">
        <v>2393</v>
      </c>
      <c r="C1008" s="806" t="s">
        <v>2394</v>
      </c>
      <c r="D1008" s="806" t="s">
        <v>2443</v>
      </c>
      <c r="E1008" s="415"/>
      <c r="F1008" s="936" t="s">
        <v>2416</v>
      </c>
      <c r="G1008" s="862" t="s">
        <v>2419</v>
      </c>
      <c r="H1008" s="713" t="s">
        <v>2398</v>
      </c>
      <c r="I1008" s="951">
        <v>44398</v>
      </c>
      <c r="J1008" s="951">
        <v>44398</v>
      </c>
      <c r="K1008" s="862" t="s">
        <v>2399</v>
      </c>
    </row>
    <row r="1009" spans="1:11" ht="84" x14ac:dyDescent="0.2">
      <c r="A1009" s="862" t="s">
        <v>2444</v>
      </c>
      <c r="B1009" s="806" t="s">
        <v>2393</v>
      </c>
      <c r="C1009" s="806" t="s">
        <v>2394</v>
      </c>
      <c r="D1009" s="806" t="s">
        <v>2445</v>
      </c>
      <c r="E1009" s="415"/>
      <c r="F1009" s="936" t="s">
        <v>2416</v>
      </c>
      <c r="G1009" s="862" t="s">
        <v>2417</v>
      </c>
      <c r="H1009" s="713" t="s">
        <v>2398</v>
      </c>
      <c r="I1009" s="951">
        <v>44399</v>
      </c>
      <c r="J1009" s="951">
        <v>44399</v>
      </c>
      <c r="K1009" s="862" t="s">
        <v>2399</v>
      </c>
    </row>
    <row r="1010" spans="1:11" ht="72" x14ac:dyDescent="0.2">
      <c r="A1010" s="862" t="s">
        <v>2446</v>
      </c>
      <c r="B1010" s="806" t="s">
        <v>2393</v>
      </c>
      <c r="C1010" s="806" t="s">
        <v>2394</v>
      </c>
      <c r="D1010" s="806" t="s">
        <v>2447</v>
      </c>
      <c r="E1010" s="415"/>
      <c r="F1010" s="936" t="s">
        <v>2448</v>
      </c>
      <c r="G1010" s="60" t="s">
        <v>2449</v>
      </c>
      <c r="H1010" s="713" t="s">
        <v>2398</v>
      </c>
      <c r="I1010" s="951">
        <v>44407</v>
      </c>
      <c r="J1010" s="951">
        <v>44407</v>
      </c>
      <c r="K1010" s="862" t="s">
        <v>2399</v>
      </c>
    </row>
    <row r="1011" spans="1:11" ht="72" x14ac:dyDescent="0.2">
      <c r="A1011" s="862" t="s">
        <v>2450</v>
      </c>
      <c r="B1011" s="806" t="s">
        <v>2393</v>
      </c>
      <c r="C1011" s="806" t="s">
        <v>2394</v>
      </c>
      <c r="D1011" s="806" t="s">
        <v>2451</v>
      </c>
      <c r="E1011" s="415"/>
      <c r="F1011" s="936" t="s">
        <v>2452</v>
      </c>
      <c r="G1011" s="862" t="s">
        <v>2453</v>
      </c>
      <c r="H1011" s="713" t="s">
        <v>2398</v>
      </c>
      <c r="I1011" s="951">
        <v>44407</v>
      </c>
      <c r="J1011" s="951">
        <v>44407</v>
      </c>
      <c r="K1011" s="862" t="s">
        <v>2399</v>
      </c>
    </row>
    <row r="1012" spans="1:11" ht="84" x14ac:dyDescent="0.2">
      <c r="A1012" s="862" t="s">
        <v>2444</v>
      </c>
      <c r="B1012" s="806" t="s">
        <v>2393</v>
      </c>
      <c r="C1012" s="806" t="s">
        <v>2394</v>
      </c>
      <c r="D1012" s="806" t="s">
        <v>2454</v>
      </c>
      <c r="E1012" s="415"/>
      <c r="F1012" s="936" t="s">
        <v>2416</v>
      </c>
      <c r="G1012" s="862" t="s">
        <v>2417</v>
      </c>
      <c r="H1012" s="713" t="s">
        <v>2398</v>
      </c>
      <c r="I1012" s="951">
        <v>44413</v>
      </c>
      <c r="J1012" s="951">
        <v>44413</v>
      </c>
      <c r="K1012" s="862" t="s">
        <v>2399</v>
      </c>
    </row>
    <row r="1013" spans="1:11" ht="84" x14ac:dyDescent="0.2">
      <c r="A1013" s="862" t="s">
        <v>2455</v>
      </c>
      <c r="B1013" s="806" t="s">
        <v>2393</v>
      </c>
      <c r="C1013" s="806" t="s">
        <v>2394</v>
      </c>
      <c r="D1013" s="806" t="s">
        <v>2456</v>
      </c>
      <c r="E1013" s="415"/>
      <c r="F1013" s="936" t="s">
        <v>2416</v>
      </c>
      <c r="G1013" s="862" t="s">
        <v>2421</v>
      </c>
      <c r="H1013" s="713" t="s">
        <v>2398</v>
      </c>
      <c r="I1013" s="951">
        <v>44413</v>
      </c>
      <c r="J1013" s="951">
        <v>44413</v>
      </c>
      <c r="K1013" s="862" t="s">
        <v>2399</v>
      </c>
    </row>
    <row r="1014" spans="1:11" ht="60" x14ac:dyDescent="0.2">
      <c r="A1014" s="862" t="s">
        <v>2457</v>
      </c>
      <c r="B1014" s="806" t="s">
        <v>2393</v>
      </c>
      <c r="C1014" s="806" t="s">
        <v>2394</v>
      </c>
      <c r="D1014" s="806" t="s">
        <v>2458</v>
      </c>
      <c r="E1014" s="415"/>
      <c r="F1014" s="936" t="s">
        <v>2416</v>
      </c>
      <c r="G1014" s="862" t="s">
        <v>2419</v>
      </c>
      <c r="H1014" s="713" t="s">
        <v>2398</v>
      </c>
      <c r="I1014" s="951">
        <v>44413</v>
      </c>
      <c r="J1014" s="951">
        <v>44413</v>
      </c>
      <c r="K1014" s="862" t="s">
        <v>2399</v>
      </c>
    </row>
    <row r="1015" spans="1:11" ht="60" x14ac:dyDescent="0.2">
      <c r="A1015" s="862" t="s">
        <v>2459</v>
      </c>
      <c r="B1015" s="806" t="s">
        <v>2393</v>
      </c>
      <c r="C1015" s="806" t="s">
        <v>2394</v>
      </c>
      <c r="D1015" s="806" t="s">
        <v>2460</v>
      </c>
      <c r="E1015" s="415"/>
      <c r="F1015" s="936" t="s">
        <v>2461</v>
      </c>
      <c r="G1015" s="862" t="s">
        <v>2462</v>
      </c>
      <c r="H1015" s="713" t="s">
        <v>2398</v>
      </c>
      <c r="I1015" s="951">
        <v>44431</v>
      </c>
      <c r="J1015" s="951">
        <v>44431</v>
      </c>
      <c r="K1015" s="862" t="s">
        <v>2399</v>
      </c>
    </row>
    <row r="1016" spans="1:11" ht="60" x14ac:dyDescent="0.2">
      <c r="A1016" s="862" t="s">
        <v>2459</v>
      </c>
      <c r="B1016" s="806" t="s">
        <v>2393</v>
      </c>
      <c r="C1016" s="806" t="s">
        <v>2394</v>
      </c>
      <c r="D1016" s="806" t="s">
        <v>2463</v>
      </c>
      <c r="E1016" s="415"/>
      <c r="F1016" s="936" t="s">
        <v>2464</v>
      </c>
      <c r="G1016" s="862" t="s">
        <v>2462</v>
      </c>
      <c r="H1016" s="713" t="s">
        <v>2398</v>
      </c>
      <c r="I1016" s="951">
        <v>44433</v>
      </c>
      <c r="J1016" s="951">
        <v>44433</v>
      </c>
      <c r="K1016" s="862" t="s">
        <v>2399</v>
      </c>
    </row>
    <row r="1017" spans="1:11" ht="36" x14ac:dyDescent="0.2">
      <c r="A1017" s="715" t="s">
        <v>2465</v>
      </c>
      <c r="B1017" s="903" t="s">
        <v>2393</v>
      </c>
      <c r="C1017" s="903" t="s">
        <v>2394</v>
      </c>
      <c r="D1017" s="806" t="s">
        <v>2466</v>
      </c>
      <c r="E1017" s="415"/>
      <c r="F1017" s="975" t="s">
        <v>2467</v>
      </c>
      <c r="G1017" s="715" t="s">
        <v>2468</v>
      </c>
      <c r="H1017" s="717" t="s">
        <v>2398</v>
      </c>
      <c r="I1017" s="951">
        <v>44433</v>
      </c>
      <c r="J1017" s="951">
        <v>44433</v>
      </c>
      <c r="K1017" s="715" t="s">
        <v>2399</v>
      </c>
    </row>
    <row r="1018" spans="1:11" ht="36" x14ac:dyDescent="0.2">
      <c r="A1018" s="715" t="s">
        <v>2469</v>
      </c>
      <c r="B1018" s="903" t="s">
        <v>2393</v>
      </c>
      <c r="C1018" s="903" t="s">
        <v>2394</v>
      </c>
      <c r="D1018" s="806" t="s">
        <v>2470</v>
      </c>
      <c r="E1018" s="415"/>
      <c r="F1018" s="975" t="s">
        <v>2471</v>
      </c>
      <c r="G1018" s="715" t="s">
        <v>2468</v>
      </c>
      <c r="H1018" s="717" t="s">
        <v>2398</v>
      </c>
      <c r="I1018" s="951">
        <v>44433</v>
      </c>
      <c r="J1018" s="951">
        <v>44433</v>
      </c>
      <c r="K1018" s="715" t="s">
        <v>2399</v>
      </c>
    </row>
    <row r="1019" spans="1:11" ht="36" x14ac:dyDescent="0.2">
      <c r="A1019" s="715" t="s">
        <v>2472</v>
      </c>
      <c r="B1019" s="903" t="s">
        <v>2393</v>
      </c>
      <c r="C1019" s="903" t="s">
        <v>2394</v>
      </c>
      <c r="D1019" s="806" t="s">
        <v>2473</v>
      </c>
      <c r="E1019" s="415"/>
      <c r="F1019" s="975" t="s">
        <v>2474</v>
      </c>
      <c r="G1019" s="715" t="s">
        <v>2468</v>
      </c>
      <c r="H1019" s="717" t="s">
        <v>2398</v>
      </c>
      <c r="I1019" s="951">
        <v>44433</v>
      </c>
      <c r="J1019" s="951">
        <v>44433</v>
      </c>
      <c r="K1019" s="715" t="s">
        <v>2399</v>
      </c>
    </row>
    <row r="1020" spans="1:11" ht="36" x14ac:dyDescent="0.2">
      <c r="A1020" s="862" t="s">
        <v>2475</v>
      </c>
      <c r="B1020" s="806" t="s">
        <v>2393</v>
      </c>
      <c r="C1020" s="806" t="s">
        <v>2394</v>
      </c>
      <c r="D1020" s="806" t="s">
        <v>2476</v>
      </c>
      <c r="E1020" s="415"/>
      <c r="F1020" s="936" t="s">
        <v>2477</v>
      </c>
      <c r="G1020" s="715" t="s">
        <v>2468</v>
      </c>
      <c r="H1020" s="713" t="s">
        <v>2398</v>
      </c>
      <c r="I1020" s="951">
        <v>44433</v>
      </c>
      <c r="J1020" s="951">
        <v>44433</v>
      </c>
      <c r="K1020" s="862" t="s">
        <v>2399</v>
      </c>
    </row>
    <row r="1021" spans="1:11" ht="36" x14ac:dyDescent="0.2">
      <c r="A1021" s="862" t="s">
        <v>2478</v>
      </c>
      <c r="B1021" s="806" t="s">
        <v>2393</v>
      </c>
      <c r="C1021" s="806" t="s">
        <v>2394</v>
      </c>
      <c r="D1021" s="806" t="s">
        <v>2479</v>
      </c>
      <c r="E1021" s="415"/>
      <c r="F1021" s="936" t="s">
        <v>2480</v>
      </c>
      <c r="G1021" s="715" t="s">
        <v>2468</v>
      </c>
      <c r="H1021" s="713" t="s">
        <v>2398</v>
      </c>
      <c r="I1021" s="951">
        <v>44433</v>
      </c>
      <c r="J1021" s="951">
        <v>44433</v>
      </c>
      <c r="K1021" s="862" t="s">
        <v>2399</v>
      </c>
    </row>
    <row r="1022" spans="1:11" ht="84" x14ac:dyDescent="0.2">
      <c r="A1022" s="862" t="s">
        <v>2481</v>
      </c>
      <c r="B1022" s="806" t="s">
        <v>2393</v>
      </c>
      <c r="C1022" s="806" t="s">
        <v>2394</v>
      </c>
      <c r="D1022" s="806" t="s">
        <v>2482</v>
      </c>
      <c r="E1022" s="415"/>
      <c r="F1022" s="936" t="s">
        <v>2416</v>
      </c>
      <c r="G1022" s="862" t="s">
        <v>2417</v>
      </c>
      <c r="H1022" s="713" t="s">
        <v>2398</v>
      </c>
      <c r="I1022" s="951">
        <v>44441</v>
      </c>
      <c r="J1022" s="951">
        <v>44441</v>
      </c>
      <c r="K1022" s="862" t="s">
        <v>2399</v>
      </c>
    </row>
    <row r="1023" spans="1:11" ht="84" x14ac:dyDescent="0.2">
      <c r="A1023" s="862" t="s">
        <v>2483</v>
      </c>
      <c r="B1023" s="806" t="s">
        <v>2393</v>
      </c>
      <c r="C1023" s="806" t="s">
        <v>2394</v>
      </c>
      <c r="D1023" s="806" t="s">
        <v>2484</v>
      </c>
      <c r="E1023" s="415"/>
      <c r="F1023" s="936" t="s">
        <v>2416</v>
      </c>
      <c r="G1023" s="862" t="s">
        <v>2421</v>
      </c>
      <c r="H1023" s="713" t="s">
        <v>2398</v>
      </c>
      <c r="I1023" s="951">
        <v>44441</v>
      </c>
      <c r="J1023" s="951">
        <v>44441</v>
      </c>
      <c r="K1023" s="862" t="s">
        <v>2399</v>
      </c>
    </row>
    <row r="1024" spans="1:11" ht="72" x14ac:dyDescent="0.2">
      <c r="A1024" s="862" t="s">
        <v>2485</v>
      </c>
      <c r="B1024" s="806" t="s">
        <v>2393</v>
      </c>
      <c r="C1024" s="806" t="s">
        <v>2394</v>
      </c>
      <c r="D1024" s="806" t="s">
        <v>2486</v>
      </c>
      <c r="E1024" s="415"/>
      <c r="F1024" s="936" t="s">
        <v>2416</v>
      </c>
      <c r="G1024" s="862" t="s">
        <v>2419</v>
      </c>
      <c r="H1024" s="713" t="s">
        <v>2398</v>
      </c>
      <c r="I1024" s="951">
        <v>44441</v>
      </c>
      <c r="J1024" s="951">
        <v>44441</v>
      </c>
      <c r="K1024" s="862" t="s">
        <v>2399</v>
      </c>
    </row>
    <row r="1025" spans="1:11" ht="36" x14ac:dyDescent="0.2">
      <c r="A1025" s="862" t="s">
        <v>2487</v>
      </c>
      <c r="B1025" s="806" t="s">
        <v>2488</v>
      </c>
      <c r="C1025" s="806" t="s">
        <v>2394</v>
      </c>
      <c r="D1025" s="806" t="s">
        <v>2489</v>
      </c>
      <c r="E1025" s="415"/>
      <c r="F1025" s="936" t="s">
        <v>2490</v>
      </c>
      <c r="G1025" s="862" t="s">
        <v>2491</v>
      </c>
      <c r="H1025" s="713" t="s">
        <v>2398</v>
      </c>
      <c r="I1025" s="906">
        <v>44235</v>
      </c>
      <c r="J1025" s="906">
        <v>44235</v>
      </c>
      <c r="K1025" s="862" t="s">
        <v>2399</v>
      </c>
    </row>
    <row r="1026" spans="1:11" ht="24" x14ac:dyDescent="0.2">
      <c r="A1026" s="862" t="s">
        <v>2492</v>
      </c>
      <c r="B1026" s="806" t="s">
        <v>2488</v>
      </c>
      <c r="C1026" s="806" t="s">
        <v>2394</v>
      </c>
      <c r="D1026" s="806" t="s">
        <v>2493</v>
      </c>
      <c r="E1026" s="415"/>
      <c r="F1026" s="936" t="s">
        <v>2494</v>
      </c>
      <c r="G1026" s="862" t="s">
        <v>2495</v>
      </c>
      <c r="H1026" s="713" t="s">
        <v>2398</v>
      </c>
      <c r="I1026" s="906">
        <v>44250</v>
      </c>
      <c r="J1026" s="906">
        <v>44250</v>
      </c>
      <c r="K1026" s="862" t="s">
        <v>2399</v>
      </c>
    </row>
    <row r="1027" spans="1:11" ht="36" x14ac:dyDescent="0.2">
      <c r="A1027" s="862" t="s">
        <v>2496</v>
      </c>
      <c r="B1027" s="806" t="s">
        <v>2393</v>
      </c>
      <c r="C1027" s="806" t="s">
        <v>2394</v>
      </c>
      <c r="D1027" s="806" t="s">
        <v>2497</v>
      </c>
      <c r="E1027" s="415"/>
      <c r="F1027" s="936" t="s">
        <v>2498</v>
      </c>
      <c r="G1027" s="862" t="s">
        <v>2499</v>
      </c>
      <c r="H1027" s="713" t="s">
        <v>2398</v>
      </c>
      <c r="I1027" s="906">
        <v>44253</v>
      </c>
      <c r="J1027" s="906">
        <v>44253</v>
      </c>
      <c r="K1027" s="862" t="s">
        <v>2399</v>
      </c>
    </row>
    <row r="1028" spans="1:11" ht="36" x14ac:dyDescent="0.2">
      <c r="A1028" s="862" t="s">
        <v>2500</v>
      </c>
      <c r="B1028" s="806" t="s">
        <v>2393</v>
      </c>
      <c r="C1028" s="806" t="s">
        <v>2394</v>
      </c>
      <c r="D1028" s="806" t="s">
        <v>2501</v>
      </c>
      <c r="E1028" s="415"/>
      <c r="F1028" s="936" t="s">
        <v>2502</v>
      </c>
      <c r="G1028" s="862" t="s">
        <v>2499</v>
      </c>
      <c r="H1028" s="713" t="s">
        <v>2398</v>
      </c>
      <c r="I1028" s="906">
        <v>44253</v>
      </c>
      <c r="J1028" s="906">
        <v>44253</v>
      </c>
      <c r="K1028" s="862" t="s">
        <v>2399</v>
      </c>
    </row>
    <row r="1029" spans="1:11" ht="36" x14ac:dyDescent="0.2">
      <c r="A1029" s="862" t="s">
        <v>2503</v>
      </c>
      <c r="B1029" s="806" t="s">
        <v>2393</v>
      </c>
      <c r="C1029" s="806" t="s">
        <v>2394</v>
      </c>
      <c r="D1029" s="806" t="s">
        <v>2504</v>
      </c>
      <c r="E1029" s="415"/>
      <c r="F1029" s="936" t="s">
        <v>2505</v>
      </c>
      <c r="G1029" s="862" t="s">
        <v>2499</v>
      </c>
      <c r="H1029" s="713" t="s">
        <v>2398</v>
      </c>
      <c r="I1029" s="906">
        <v>44253</v>
      </c>
      <c r="J1029" s="906">
        <v>44253</v>
      </c>
      <c r="K1029" s="862" t="s">
        <v>2399</v>
      </c>
    </row>
    <row r="1030" spans="1:11" ht="36" x14ac:dyDescent="0.2">
      <c r="A1030" s="862" t="s">
        <v>2506</v>
      </c>
      <c r="B1030" s="806" t="s">
        <v>2393</v>
      </c>
      <c r="C1030" s="806" t="s">
        <v>2394</v>
      </c>
      <c r="D1030" s="806" t="s">
        <v>2507</v>
      </c>
      <c r="E1030" s="415"/>
      <c r="F1030" s="936" t="s">
        <v>2508</v>
      </c>
      <c r="G1030" s="862" t="s">
        <v>2509</v>
      </c>
      <c r="H1030" s="713" t="s">
        <v>2398</v>
      </c>
      <c r="I1030" s="906">
        <v>44253</v>
      </c>
      <c r="J1030" s="906">
        <v>44253</v>
      </c>
      <c r="K1030" s="862" t="s">
        <v>2399</v>
      </c>
    </row>
    <row r="1031" spans="1:11" ht="36" x14ac:dyDescent="0.2">
      <c r="A1031" s="862" t="s">
        <v>2510</v>
      </c>
      <c r="B1031" s="806" t="s">
        <v>2393</v>
      </c>
      <c r="C1031" s="806" t="s">
        <v>2394</v>
      </c>
      <c r="D1031" s="806" t="s">
        <v>2511</v>
      </c>
      <c r="E1031" s="415"/>
      <c r="F1031" s="936" t="s">
        <v>2512</v>
      </c>
      <c r="G1031" s="862" t="s">
        <v>2509</v>
      </c>
      <c r="H1031" s="713" t="s">
        <v>2398</v>
      </c>
      <c r="I1031" s="906">
        <v>44253</v>
      </c>
      <c r="J1031" s="906">
        <v>44253</v>
      </c>
      <c r="K1031" s="862" t="s">
        <v>2399</v>
      </c>
    </row>
    <row r="1032" spans="1:11" ht="24" x14ac:dyDescent="0.2">
      <c r="A1032" s="862" t="s">
        <v>2513</v>
      </c>
      <c r="B1032" s="806" t="s">
        <v>2393</v>
      </c>
      <c r="C1032" s="806" t="s">
        <v>2394</v>
      </c>
      <c r="D1032" s="806" t="s">
        <v>2514</v>
      </c>
      <c r="E1032" s="415"/>
      <c r="F1032" s="936" t="s">
        <v>2515</v>
      </c>
      <c r="G1032" s="862" t="s">
        <v>2427</v>
      </c>
      <c r="H1032" s="713" t="s">
        <v>2398</v>
      </c>
      <c r="I1032" s="906">
        <v>44253</v>
      </c>
      <c r="J1032" s="906">
        <v>44253</v>
      </c>
      <c r="K1032" s="862" t="s">
        <v>2399</v>
      </c>
    </row>
    <row r="1033" spans="1:11" ht="24" x14ac:dyDescent="0.2">
      <c r="A1033" s="862" t="s">
        <v>2516</v>
      </c>
      <c r="B1033" s="806" t="s">
        <v>2393</v>
      </c>
      <c r="C1033" s="806" t="s">
        <v>2394</v>
      </c>
      <c r="D1033" s="806" t="s">
        <v>2517</v>
      </c>
      <c r="E1033" s="415"/>
      <c r="F1033" s="936" t="s">
        <v>2518</v>
      </c>
      <c r="G1033" s="862" t="s">
        <v>2427</v>
      </c>
      <c r="H1033" s="713" t="s">
        <v>2398</v>
      </c>
      <c r="I1033" s="906">
        <v>44253</v>
      </c>
      <c r="J1033" s="906">
        <v>44253</v>
      </c>
      <c r="K1033" s="862" t="s">
        <v>2399</v>
      </c>
    </row>
    <row r="1034" spans="1:11" ht="24" x14ac:dyDescent="0.2">
      <c r="A1034" s="862" t="s">
        <v>2519</v>
      </c>
      <c r="B1034" s="806" t="s">
        <v>2393</v>
      </c>
      <c r="C1034" s="806" t="s">
        <v>2394</v>
      </c>
      <c r="D1034" s="806" t="s">
        <v>2520</v>
      </c>
      <c r="E1034" s="415"/>
      <c r="F1034" s="936" t="s">
        <v>2521</v>
      </c>
      <c r="G1034" s="862" t="s">
        <v>2427</v>
      </c>
      <c r="H1034" s="713" t="s">
        <v>2398</v>
      </c>
      <c r="I1034" s="906">
        <v>44253</v>
      </c>
      <c r="J1034" s="906">
        <v>44253</v>
      </c>
      <c r="K1034" s="862" t="s">
        <v>2399</v>
      </c>
    </row>
    <row r="1035" spans="1:11" ht="24" x14ac:dyDescent="0.2">
      <c r="A1035" s="862" t="s">
        <v>2522</v>
      </c>
      <c r="B1035" s="806" t="s">
        <v>2393</v>
      </c>
      <c r="C1035" s="806" t="s">
        <v>2394</v>
      </c>
      <c r="D1035" s="806" t="s">
        <v>2523</v>
      </c>
      <c r="E1035" s="415"/>
      <c r="F1035" s="936" t="s">
        <v>2524</v>
      </c>
      <c r="G1035" s="862" t="s">
        <v>2427</v>
      </c>
      <c r="H1035" s="713" t="s">
        <v>2398</v>
      </c>
      <c r="I1035" s="906">
        <v>44253</v>
      </c>
      <c r="J1035" s="906">
        <v>44253</v>
      </c>
      <c r="K1035" s="862" t="s">
        <v>2399</v>
      </c>
    </row>
    <row r="1036" spans="1:11" ht="24" x14ac:dyDescent="0.2">
      <c r="A1036" s="862" t="s">
        <v>2525</v>
      </c>
      <c r="B1036" s="806" t="s">
        <v>2393</v>
      </c>
      <c r="C1036" s="806" t="s">
        <v>2394</v>
      </c>
      <c r="D1036" s="806" t="s">
        <v>2526</v>
      </c>
      <c r="E1036" s="415"/>
      <c r="F1036" s="936" t="s">
        <v>2527</v>
      </c>
      <c r="G1036" s="862" t="s">
        <v>2427</v>
      </c>
      <c r="H1036" s="713" t="s">
        <v>2398</v>
      </c>
      <c r="I1036" s="906">
        <v>44253</v>
      </c>
      <c r="J1036" s="906">
        <v>44253</v>
      </c>
      <c r="K1036" s="862" t="s">
        <v>2399</v>
      </c>
    </row>
    <row r="1037" spans="1:11" ht="36" x14ac:dyDescent="0.2">
      <c r="A1037" s="862" t="s">
        <v>2528</v>
      </c>
      <c r="B1037" s="806" t="s">
        <v>2393</v>
      </c>
      <c r="C1037" s="806" t="s">
        <v>2394</v>
      </c>
      <c r="D1037" s="806" t="s">
        <v>2529</v>
      </c>
      <c r="E1037" s="415"/>
      <c r="F1037" s="936" t="s">
        <v>2530</v>
      </c>
      <c r="G1037" s="862" t="s">
        <v>2491</v>
      </c>
      <c r="H1037" s="713" t="s">
        <v>2398</v>
      </c>
      <c r="I1037" s="906">
        <v>44258</v>
      </c>
      <c r="J1037" s="906">
        <v>44258</v>
      </c>
      <c r="K1037" s="862" t="s">
        <v>2399</v>
      </c>
    </row>
    <row r="1038" spans="1:11" ht="24" x14ac:dyDescent="0.2">
      <c r="A1038" s="862" t="s">
        <v>2531</v>
      </c>
      <c r="B1038" s="806" t="s">
        <v>2393</v>
      </c>
      <c r="C1038" s="806" t="s">
        <v>2394</v>
      </c>
      <c r="D1038" s="806" t="s">
        <v>2532</v>
      </c>
      <c r="E1038" s="415"/>
      <c r="F1038" s="936" t="s">
        <v>2533</v>
      </c>
      <c r="G1038" s="862" t="s">
        <v>2427</v>
      </c>
      <c r="H1038" s="713" t="s">
        <v>2398</v>
      </c>
      <c r="I1038" s="906">
        <v>44261</v>
      </c>
      <c r="J1038" s="906">
        <v>44261</v>
      </c>
      <c r="K1038" s="862" t="s">
        <v>2399</v>
      </c>
    </row>
    <row r="1039" spans="1:11" ht="24" x14ac:dyDescent="0.2">
      <c r="A1039" s="862" t="s">
        <v>2534</v>
      </c>
      <c r="B1039" s="806" t="s">
        <v>2393</v>
      </c>
      <c r="C1039" s="806" t="s">
        <v>2394</v>
      </c>
      <c r="D1039" s="806" t="s">
        <v>2535</v>
      </c>
      <c r="E1039" s="415"/>
      <c r="F1039" s="936" t="s">
        <v>2536</v>
      </c>
      <c r="G1039" s="862" t="s">
        <v>2537</v>
      </c>
      <c r="H1039" s="713" t="s">
        <v>2398</v>
      </c>
      <c r="I1039" s="906">
        <v>44263</v>
      </c>
      <c r="J1039" s="906">
        <v>44263</v>
      </c>
      <c r="K1039" s="862" t="s">
        <v>2399</v>
      </c>
    </row>
    <row r="1040" spans="1:11" ht="24" x14ac:dyDescent="0.2">
      <c r="A1040" s="862" t="s">
        <v>2538</v>
      </c>
      <c r="B1040" s="806" t="s">
        <v>2393</v>
      </c>
      <c r="C1040" s="806" t="s">
        <v>2394</v>
      </c>
      <c r="D1040" s="806" t="s">
        <v>2539</v>
      </c>
      <c r="E1040" s="415"/>
      <c r="F1040" s="936" t="s">
        <v>2540</v>
      </c>
      <c r="G1040" s="862" t="s">
        <v>2537</v>
      </c>
      <c r="H1040" s="713" t="s">
        <v>2398</v>
      </c>
      <c r="I1040" s="906">
        <v>44263</v>
      </c>
      <c r="J1040" s="906">
        <v>44263</v>
      </c>
      <c r="K1040" s="862" t="s">
        <v>2399</v>
      </c>
    </row>
    <row r="1041" spans="1:11" ht="24" x14ac:dyDescent="0.2">
      <c r="A1041" s="862" t="s">
        <v>2541</v>
      </c>
      <c r="B1041" s="806" t="s">
        <v>2393</v>
      </c>
      <c r="C1041" s="806" t="s">
        <v>2394</v>
      </c>
      <c r="D1041" s="806" t="s">
        <v>2542</v>
      </c>
      <c r="E1041" s="415"/>
      <c r="F1041" s="936" t="s">
        <v>2543</v>
      </c>
      <c r="G1041" s="862" t="s">
        <v>2544</v>
      </c>
      <c r="H1041" s="713" t="s">
        <v>2398</v>
      </c>
      <c r="I1041" s="906">
        <v>44265</v>
      </c>
      <c r="J1041" s="906">
        <v>44265</v>
      </c>
      <c r="K1041" s="862" t="s">
        <v>2399</v>
      </c>
    </row>
    <row r="1042" spans="1:11" ht="24" x14ac:dyDescent="0.2">
      <c r="A1042" s="862" t="s">
        <v>2545</v>
      </c>
      <c r="B1042" s="806" t="s">
        <v>2393</v>
      </c>
      <c r="C1042" s="806" t="s">
        <v>2394</v>
      </c>
      <c r="D1042" s="806" t="s">
        <v>2546</v>
      </c>
      <c r="E1042" s="415"/>
      <c r="F1042" s="936" t="s">
        <v>2547</v>
      </c>
      <c r="G1042" s="862" t="s">
        <v>2548</v>
      </c>
      <c r="H1042" s="713" t="s">
        <v>2398</v>
      </c>
      <c r="I1042" s="906">
        <v>44273</v>
      </c>
      <c r="J1042" s="906">
        <v>44273</v>
      </c>
      <c r="K1042" s="862" t="s">
        <v>2399</v>
      </c>
    </row>
    <row r="1043" spans="1:11" ht="24" x14ac:dyDescent="0.2">
      <c r="A1043" s="862" t="s">
        <v>2549</v>
      </c>
      <c r="B1043" s="806" t="s">
        <v>2393</v>
      </c>
      <c r="C1043" s="806" t="s">
        <v>2394</v>
      </c>
      <c r="D1043" s="806" t="s">
        <v>2550</v>
      </c>
      <c r="E1043" s="415"/>
      <c r="F1043" s="936" t="s">
        <v>2512</v>
      </c>
      <c r="G1043" s="862" t="s">
        <v>2551</v>
      </c>
      <c r="H1043" s="713" t="s">
        <v>2398</v>
      </c>
      <c r="I1043" s="906">
        <v>44273</v>
      </c>
      <c r="J1043" s="906">
        <v>44273</v>
      </c>
      <c r="K1043" s="862" t="s">
        <v>2399</v>
      </c>
    </row>
    <row r="1044" spans="1:11" ht="24" x14ac:dyDescent="0.2">
      <c r="A1044" s="862" t="s">
        <v>2552</v>
      </c>
      <c r="B1044" s="806" t="s">
        <v>2393</v>
      </c>
      <c r="C1044" s="806" t="s">
        <v>2394</v>
      </c>
      <c r="D1044" s="806" t="s">
        <v>2553</v>
      </c>
      <c r="E1044" s="415"/>
      <c r="F1044" s="936" t="s">
        <v>2554</v>
      </c>
      <c r="G1044" s="862" t="s">
        <v>2555</v>
      </c>
      <c r="H1044" s="713" t="s">
        <v>2398</v>
      </c>
      <c r="I1044" s="906">
        <v>44315</v>
      </c>
      <c r="J1044" s="906">
        <v>44313</v>
      </c>
      <c r="K1044" s="862" t="s">
        <v>2399</v>
      </c>
    </row>
    <row r="1045" spans="1:11" ht="24" x14ac:dyDescent="0.2">
      <c r="A1045" s="862" t="s">
        <v>2556</v>
      </c>
      <c r="B1045" s="806" t="s">
        <v>2393</v>
      </c>
      <c r="C1045" s="806" t="s">
        <v>2394</v>
      </c>
      <c r="D1045" s="806" t="s">
        <v>2557</v>
      </c>
      <c r="E1045" s="415"/>
      <c r="F1045" s="936" t="s">
        <v>2558</v>
      </c>
      <c r="G1045" s="862" t="s">
        <v>2495</v>
      </c>
      <c r="H1045" s="713" t="s">
        <v>2398</v>
      </c>
      <c r="I1045" s="906">
        <v>44363</v>
      </c>
      <c r="J1045" s="906">
        <v>44363</v>
      </c>
      <c r="K1045" s="862" t="s">
        <v>2399</v>
      </c>
    </row>
    <row r="1046" spans="1:11" ht="24" x14ac:dyDescent="0.2">
      <c r="A1046" s="862" t="s">
        <v>2559</v>
      </c>
      <c r="B1046" s="806" t="s">
        <v>2393</v>
      </c>
      <c r="C1046" s="806" t="s">
        <v>2394</v>
      </c>
      <c r="D1046" s="806" t="s">
        <v>2560</v>
      </c>
      <c r="E1046" s="415"/>
      <c r="F1046" s="936" t="s">
        <v>2561</v>
      </c>
      <c r="G1046" s="862" t="s">
        <v>2562</v>
      </c>
      <c r="H1046" s="713" t="s">
        <v>2398</v>
      </c>
      <c r="I1046" s="906">
        <v>44396</v>
      </c>
      <c r="J1046" s="906">
        <v>44396</v>
      </c>
      <c r="K1046" s="862" t="s">
        <v>2399</v>
      </c>
    </row>
    <row r="1047" spans="1:11" ht="24" x14ac:dyDescent="0.2">
      <c r="A1047" s="862" t="s">
        <v>2563</v>
      </c>
      <c r="B1047" s="806" t="s">
        <v>2393</v>
      </c>
      <c r="C1047" s="806" t="s">
        <v>2394</v>
      </c>
      <c r="D1047" s="806" t="s">
        <v>2564</v>
      </c>
      <c r="E1047" s="415"/>
      <c r="F1047" s="936" t="s">
        <v>2565</v>
      </c>
      <c r="G1047" s="862" t="s">
        <v>2495</v>
      </c>
      <c r="H1047" s="713" t="s">
        <v>2398</v>
      </c>
      <c r="I1047" s="906">
        <v>44399</v>
      </c>
      <c r="J1047" s="906">
        <v>44399</v>
      </c>
      <c r="K1047" s="862" t="s">
        <v>2399</v>
      </c>
    </row>
    <row r="1048" spans="1:11" ht="24" x14ac:dyDescent="0.2">
      <c r="A1048" s="862" t="s">
        <v>2566</v>
      </c>
      <c r="B1048" s="806" t="s">
        <v>2393</v>
      </c>
      <c r="C1048" s="806" t="s">
        <v>2394</v>
      </c>
      <c r="D1048" s="806" t="s">
        <v>2567</v>
      </c>
      <c r="E1048" s="415"/>
      <c r="F1048" s="936" t="s">
        <v>2568</v>
      </c>
      <c r="G1048" s="862" t="s">
        <v>2495</v>
      </c>
      <c r="H1048" s="713" t="s">
        <v>2398</v>
      </c>
      <c r="I1048" s="906">
        <v>44399</v>
      </c>
      <c r="J1048" s="906">
        <v>44399</v>
      </c>
      <c r="K1048" s="862" t="s">
        <v>2399</v>
      </c>
    </row>
    <row r="1049" spans="1:11" ht="24" x14ac:dyDescent="0.2">
      <c r="A1049" s="862" t="s">
        <v>2569</v>
      </c>
      <c r="B1049" s="806" t="s">
        <v>2393</v>
      </c>
      <c r="C1049" s="806" t="s">
        <v>2394</v>
      </c>
      <c r="D1049" s="806" t="s">
        <v>2570</v>
      </c>
      <c r="E1049" s="415"/>
      <c r="F1049" s="936" t="s">
        <v>2571</v>
      </c>
      <c r="G1049" s="862" t="s">
        <v>2572</v>
      </c>
      <c r="H1049" s="713" t="s">
        <v>2398</v>
      </c>
      <c r="I1049" s="906">
        <v>44407</v>
      </c>
      <c r="J1049" s="906">
        <v>44407</v>
      </c>
      <c r="K1049" s="862" t="s">
        <v>2399</v>
      </c>
    </row>
    <row r="1050" spans="1:11" ht="36" x14ac:dyDescent="0.2">
      <c r="A1050" s="862" t="s">
        <v>2573</v>
      </c>
      <c r="B1050" s="806" t="s">
        <v>2393</v>
      </c>
      <c r="C1050" s="806" t="s">
        <v>2394</v>
      </c>
      <c r="D1050" s="806" t="s">
        <v>2574</v>
      </c>
      <c r="E1050" s="415"/>
      <c r="F1050" s="936" t="s">
        <v>2575</v>
      </c>
      <c r="G1050" s="862" t="s">
        <v>2576</v>
      </c>
      <c r="H1050" s="713" t="s">
        <v>2398</v>
      </c>
      <c r="I1050" s="906">
        <v>44407</v>
      </c>
      <c r="J1050" s="906">
        <v>44407</v>
      </c>
      <c r="K1050" s="862" t="s">
        <v>2399</v>
      </c>
    </row>
    <row r="1051" spans="1:11" ht="36" x14ac:dyDescent="0.2">
      <c r="A1051" s="862" t="s">
        <v>2577</v>
      </c>
      <c r="B1051" s="806" t="s">
        <v>2393</v>
      </c>
      <c r="C1051" s="806" t="s">
        <v>2394</v>
      </c>
      <c r="D1051" s="806" t="s">
        <v>2578</v>
      </c>
      <c r="E1051" s="415"/>
      <c r="F1051" s="936" t="s">
        <v>2579</v>
      </c>
      <c r="G1051" s="862" t="s">
        <v>2580</v>
      </c>
      <c r="H1051" s="713" t="s">
        <v>2398</v>
      </c>
      <c r="I1051" s="906">
        <v>44407</v>
      </c>
      <c r="J1051" s="906">
        <v>44407</v>
      </c>
      <c r="K1051" s="862" t="s">
        <v>2399</v>
      </c>
    </row>
    <row r="1052" spans="1:11" ht="48" x14ac:dyDescent="0.2">
      <c r="A1052" s="862" t="s">
        <v>2581</v>
      </c>
      <c r="B1052" s="806" t="s">
        <v>2393</v>
      </c>
      <c r="C1052" s="806" t="s">
        <v>2394</v>
      </c>
      <c r="D1052" s="806" t="s">
        <v>2582</v>
      </c>
      <c r="E1052" s="415"/>
      <c r="F1052" s="936" t="s">
        <v>2583</v>
      </c>
      <c r="G1052" s="862" t="s">
        <v>2584</v>
      </c>
      <c r="H1052" s="713" t="s">
        <v>2398</v>
      </c>
      <c r="I1052" s="906">
        <v>44407</v>
      </c>
      <c r="J1052" s="906">
        <v>44407</v>
      </c>
      <c r="K1052" s="862" t="s">
        <v>2399</v>
      </c>
    </row>
    <row r="1053" spans="1:11" ht="24" x14ac:dyDescent="0.2">
      <c r="A1053" s="862" t="s">
        <v>2585</v>
      </c>
      <c r="B1053" s="806" t="s">
        <v>2411</v>
      </c>
      <c r="C1053" s="806" t="s">
        <v>2394</v>
      </c>
      <c r="D1053" s="806" t="s">
        <v>2586</v>
      </c>
      <c r="E1053" s="415"/>
      <c r="F1053" s="936" t="s">
        <v>2587</v>
      </c>
      <c r="G1053" s="862" t="s">
        <v>2405</v>
      </c>
      <c r="H1053" s="713" t="s">
        <v>2398</v>
      </c>
      <c r="I1053" s="906">
        <v>44428</v>
      </c>
      <c r="J1053" s="906">
        <v>44428</v>
      </c>
      <c r="K1053" s="862" t="s">
        <v>2399</v>
      </c>
    </row>
    <row r="1054" spans="1:11" ht="24" x14ac:dyDescent="0.2">
      <c r="A1054" s="862" t="s">
        <v>2588</v>
      </c>
      <c r="B1054" s="806" t="s">
        <v>2393</v>
      </c>
      <c r="C1054" s="806" t="s">
        <v>2394</v>
      </c>
      <c r="D1054" s="806" t="s">
        <v>2589</v>
      </c>
      <c r="E1054" s="415"/>
      <c r="F1054" s="936" t="s">
        <v>2590</v>
      </c>
      <c r="G1054" s="862" t="s">
        <v>2551</v>
      </c>
      <c r="H1054" s="713" t="s">
        <v>2398</v>
      </c>
      <c r="I1054" s="906">
        <v>44440</v>
      </c>
      <c r="J1054" s="906">
        <v>44440</v>
      </c>
      <c r="K1054" s="862" t="s">
        <v>2399</v>
      </c>
    </row>
    <row r="1055" spans="1:11" x14ac:dyDescent="0.2">
      <c r="A1055" s="862"/>
      <c r="B1055" s="806"/>
      <c r="C1055" s="806"/>
      <c r="D1055" s="806"/>
      <c r="E1055" s="415"/>
      <c r="F1055" s="936"/>
      <c r="G1055" s="862"/>
      <c r="H1055" s="713"/>
      <c r="I1055" s="906"/>
      <c r="J1055" s="906"/>
      <c r="K1055" s="862"/>
    </row>
    <row r="1056" spans="1:11" ht="24" x14ac:dyDescent="0.2">
      <c r="A1056" s="862" t="s">
        <v>2591</v>
      </c>
      <c r="B1056" s="806" t="s">
        <v>2393</v>
      </c>
      <c r="C1056" s="806" t="s">
        <v>2394</v>
      </c>
      <c r="D1056" s="806" t="s">
        <v>2592</v>
      </c>
      <c r="E1056" s="415"/>
      <c r="F1056" s="936" t="s">
        <v>2547</v>
      </c>
      <c r="G1056" s="862" t="s">
        <v>2593</v>
      </c>
      <c r="H1056" s="713" t="s">
        <v>2398</v>
      </c>
      <c r="I1056" s="897">
        <v>43853</v>
      </c>
      <c r="J1056" s="897">
        <v>43853</v>
      </c>
      <c r="K1056" s="862" t="s">
        <v>2399</v>
      </c>
    </row>
    <row r="1057" spans="1:11" ht="84" x14ac:dyDescent="0.2">
      <c r="A1057" s="862" t="s">
        <v>2594</v>
      </c>
      <c r="B1057" s="806" t="s">
        <v>2393</v>
      </c>
      <c r="C1057" s="806" t="s">
        <v>2394</v>
      </c>
      <c r="D1057" s="806" t="s">
        <v>2595</v>
      </c>
      <c r="E1057" s="415"/>
      <c r="F1057" s="936" t="s">
        <v>2416</v>
      </c>
      <c r="G1057" s="862" t="s">
        <v>2421</v>
      </c>
      <c r="H1057" s="713" t="s">
        <v>2398</v>
      </c>
      <c r="I1057" s="897">
        <v>43865</v>
      </c>
      <c r="J1057" s="897">
        <v>43865</v>
      </c>
      <c r="K1057" s="862" t="s">
        <v>2399</v>
      </c>
    </row>
    <row r="1058" spans="1:11" ht="60" x14ac:dyDescent="0.2">
      <c r="A1058" s="862" t="s">
        <v>2596</v>
      </c>
      <c r="B1058" s="806" t="s">
        <v>2393</v>
      </c>
      <c r="C1058" s="806" t="s">
        <v>2394</v>
      </c>
      <c r="D1058" s="806" t="s">
        <v>2597</v>
      </c>
      <c r="E1058" s="415"/>
      <c r="F1058" s="936" t="s">
        <v>2416</v>
      </c>
      <c r="G1058" s="862" t="s">
        <v>2419</v>
      </c>
      <c r="H1058" s="713" t="s">
        <v>2398</v>
      </c>
      <c r="I1058" s="897">
        <v>43865</v>
      </c>
      <c r="J1058" s="897">
        <v>43865</v>
      </c>
      <c r="K1058" s="862" t="s">
        <v>2399</v>
      </c>
    </row>
    <row r="1059" spans="1:11" ht="48" x14ac:dyDescent="0.2">
      <c r="A1059" s="862" t="s">
        <v>2598</v>
      </c>
      <c r="B1059" s="806" t="s">
        <v>2393</v>
      </c>
      <c r="C1059" s="806" t="s">
        <v>2394</v>
      </c>
      <c r="D1059" s="806" t="s">
        <v>2599</v>
      </c>
      <c r="E1059" s="415"/>
      <c r="F1059" s="936" t="s">
        <v>2600</v>
      </c>
      <c r="G1059" s="862" t="s">
        <v>2601</v>
      </c>
      <c r="H1059" s="713" t="s">
        <v>2398</v>
      </c>
      <c r="I1059" s="897">
        <v>43867</v>
      </c>
      <c r="J1059" s="897">
        <v>43867</v>
      </c>
      <c r="K1059" s="862" t="s">
        <v>2399</v>
      </c>
    </row>
    <row r="1060" spans="1:11" ht="48" x14ac:dyDescent="0.2">
      <c r="A1060" s="862" t="s">
        <v>2602</v>
      </c>
      <c r="B1060" s="806" t="s">
        <v>2393</v>
      </c>
      <c r="C1060" s="806" t="s">
        <v>2394</v>
      </c>
      <c r="D1060" s="806" t="s">
        <v>2603</v>
      </c>
      <c r="E1060" s="415"/>
      <c r="F1060" s="936" t="s">
        <v>2604</v>
      </c>
      <c r="G1060" s="862" t="s">
        <v>2439</v>
      </c>
      <c r="H1060" s="713" t="s">
        <v>2398</v>
      </c>
      <c r="I1060" s="897">
        <v>43873</v>
      </c>
      <c r="J1060" s="897">
        <v>43873</v>
      </c>
      <c r="K1060" s="862" t="s">
        <v>2399</v>
      </c>
    </row>
    <row r="1061" spans="1:11" ht="72" x14ac:dyDescent="0.2">
      <c r="A1061" s="862" t="s">
        <v>2605</v>
      </c>
      <c r="B1061" s="806" t="s">
        <v>2393</v>
      </c>
      <c r="C1061" s="806" t="s">
        <v>2394</v>
      </c>
      <c r="D1061" s="806" t="s">
        <v>2606</v>
      </c>
      <c r="E1061" s="415"/>
      <c r="F1061" s="936" t="s">
        <v>2607</v>
      </c>
      <c r="G1061" s="862" t="s">
        <v>2608</v>
      </c>
      <c r="H1061" s="713" t="s">
        <v>2398</v>
      </c>
      <c r="I1061" s="897">
        <v>43886</v>
      </c>
      <c r="J1061" s="897">
        <v>43886</v>
      </c>
      <c r="K1061" s="862" t="s">
        <v>2399</v>
      </c>
    </row>
    <row r="1062" spans="1:11" ht="84" x14ac:dyDescent="0.2">
      <c r="A1062" s="862" t="s">
        <v>2609</v>
      </c>
      <c r="B1062" s="806" t="s">
        <v>2393</v>
      </c>
      <c r="C1062" s="806" t="s">
        <v>2394</v>
      </c>
      <c r="D1062" s="806" t="s">
        <v>2610</v>
      </c>
      <c r="E1062" s="415"/>
      <c r="F1062" s="936" t="s">
        <v>2416</v>
      </c>
      <c r="G1062" s="862" t="s">
        <v>2421</v>
      </c>
      <c r="H1062" s="713" t="s">
        <v>2398</v>
      </c>
      <c r="I1062" s="897">
        <v>43910</v>
      </c>
      <c r="J1062" s="897">
        <v>43910</v>
      </c>
      <c r="K1062" s="862" t="s">
        <v>2399</v>
      </c>
    </row>
    <row r="1063" spans="1:11" ht="60" x14ac:dyDescent="0.2">
      <c r="A1063" s="862" t="s">
        <v>2611</v>
      </c>
      <c r="B1063" s="806" t="s">
        <v>2393</v>
      </c>
      <c r="C1063" s="806" t="s">
        <v>2394</v>
      </c>
      <c r="D1063" s="806" t="s">
        <v>2612</v>
      </c>
      <c r="E1063" s="415"/>
      <c r="F1063" s="936" t="s">
        <v>2416</v>
      </c>
      <c r="G1063" s="862" t="s">
        <v>2419</v>
      </c>
      <c r="H1063" s="713" t="s">
        <v>2398</v>
      </c>
      <c r="I1063" s="897">
        <v>43910</v>
      </c>
      <c r="J1063" s="897">
        <v>43910</v>
      </c>
      <c r="K1063" s="862" t="s">
        <v>2399</v>
      </c>
    </row>
    <row r="1064" spans="1:11" ht="84" x14ac:dyDescent="0.2">
      <c r="A1064" s="862" t="s">
        <v>2613</v>
      </c>
      <c r="B1064" s="806" t="s">
        <v>2393</v>
      </c>
      <c r="C1064" s="806" t="s">
        <v>2394</v>
      </c>
      <c r="D1064" s="806" t="s">
        <v>2614</v>
      </c>
      <c r="E1064" s="415"/>
      <c r="F1064" s="936" t="s">
        <v>2416</v>
      </c>
      <c r="G1064" s="862" t="s">
        <v>2421</v>
      </c>
      <c r="H1064" s="713" t="s">
        <v>2398</v>
      </c>
      <c r="I1064" s="897">
        <v>43920</v>
      </c>
      <c r="J1064" s="897">
        <v>43920</v>
      </c>
      <c r="K1064" s="862" t="s">
        <v>2399</v>
      </c>
    </row>
    <row r="1065" spans="1:11" ht="60" x14ac:dyDescent="0.2">
      <c r="A1065" s="862" t="s">
        <v>2615</v>
      </c>
      <c r="B1065" s="806" t="s">
        <v>2393</v>
      </c>
      <c r="C1065" s="806" t="s">
        <v>2394</v>
      </c>
      <c r="D1065" s="806" t="s">
        <v>2616</v>
      </c>
      <c r="E1065" s="415"/>
      <c r="F1065" s="936" t="s">
        <v>2416</v>
      </c>
      <c r="G1065" s="862" t="s">
        <v>2419</v>
      </c>
      <c r="H1065" s="713" t="s">
        <v>2398</v>
      </c>
      <c r="I1065" s="897">
        <v>43921</v>
      </c>
      <c r="J1065" s="897">
        <v>43921</v>
      </c>
      <c r="K1065" s="862" t="s">
        <v>2399</v>
      </c>
    </row>
    <row r="1066" spans="1:11" ht="96" x14ac:dyDescent="0.2">
      <c r="A1066" s="862" t="s">
        <v>2617</v>
      </c>
      <c r="B1066" s="806" t="s">
        <v>2393</v>
      </c>
      <c r="C1066" s="806" t="s">
        <v>2394</v>
      </c>
      <c r="D1066" s="806" t="s">
        <v>2618</v>
      </c>
      <c r="E1066" s="415"/>
      <c r="F1066" s="936" t="s">
        <v>2619</v>
      </c>
      <c r="G1066" s="862" t="s">
        <v>2453</v>
      </c>
      <c r="H1066" s="713" t="s">
        <v>2398</v>
      </c>
      <c r="I1066" s="897">
        <v>43936</v>
      </c>
      <c r="J1066" s="897">
        <v>43936</v>
      </c>
      <c r="K1066" s="862" t="s">
        <v>2399</v>
      </c>
    </row>
    <row r="1067" spans="1:11" ht="24" x14ac:dyDescent="0.2">
      <c r="A1067" s="862" t="s">
        <v>2620</v>
      </c>
      <c r="B1067" s="806" t="s">
        <v>2393</v>
      </c>
      <c r="C1067" s="806" t="s">
        <v>2394</v>
      </c>
      <c r="D1067" s="806" t="s">
        <v>2621</v>
      </c>
      <c r="E1067" s="415"/>
      <c r="F1067" s="936" t="s">
        <v>2622</v>
      </c>
      <c r="G1067" s="862" t="s">
        <v>2593</v>
      </c>
      <c r="H1067" s="713" t="s">
        <v>2398</v>
      </c>
      <c r="I1067" s="897">
        <v>43963</v>
      </c>
      <c r="J1067" s="897">
        <v>43963</v>
      </c>
      <c r="K1067" s="862" t="s">
        <v>2399</v>
      </c>
    </row>
    <row r="1068" spans="1:11" ht="36" x14ac:dyDescent="0.2">
      <c r="A1068" s="862" t="s">
        <v>2623</v>
      </c>
      <c r="B1068" s="806" t="s">
        <v>2393</v>
      </c>
      <c r="C1068" s="806" t="s">
        <v>2394</v>
      </c>
      <c r="D1068" s="806" t="s">
        <v>2624</v>
      </c>
      <c r="E1068" s="415"/>
      <c r="F1068" s="936" t="s">
        <v>2625</v>
      </c>
      <c r="G1068" s="862" t="s">
        <v>2626</v>
      </c>
      <c r="H1068" s="713" t="s">
        <v>2398</v>
      </c>
      <c r="I1068" s="897">
        <v>43976</v>
      </c>
      <c r="J1068" s="897">
        <v>43976</v>
      </c>
      <c r="K1068" s="862" t="s">
        <v>2399</v>
      </c>
    </row>
    <row r="1069" spans="1:11" ht="48" x14ac:dyDescent="0.2">
      <c r="A1069" s="715" t="s">
        <v>2627</v>
      </c>
      <c r="B1069" s="903" t="s">
        <v>2628</v>
      </c>
      <c r="C1069" s="903" t="s">
        <v>2394</v>
      </c>
      <c r="D1069" s="903" t="s">
        <v>2629</v>
      </c>
      <c r="E1069" s="415"/>
      <c r="F1069" s="975" t="s">
        <v>2630</v>
      </c>
      <c r="G1069" s="715" t="s">
        <v>2427</v>
      </c>
      <c r="H1069" s="717" t="s">
        <v>2398</v>
      </c>
      <c r="I1069" s="976">
        <v>43999</v>
      </c>
      <c r="J1069" s="976">
        <v>43999</v>
      </c>
      <c r="K1069" s="715" t="s">
        <v>2399</v>
      </c>
    </row>
    <row r="1070" spans="1:11" ht="48" x14ac:dyDescent="0.2">
      <c r="A1070" s="715" t="s">
        <v>2631</v>
      </c>
      <c r="B1070" s="903" t="s">
        <v>2628</v>
      </c>
      <c r="C1070" s="903" t="s">
        <v>2394</v>
      </c>
      <c r="D1070" s="903" t="s">
        <v>2632</v>
      </c>
      <c r="E1070" s="415"/>
      <c r="F1070" s="975" t="s">
        <v>2630</v>
      </c>
      <c r="G1070" s="715" t="s">
        <v>2427</v>
      </c>
      <c r="H1070" s="717" t="s">
        <v>2398</v>
      </c>
      <c r="I1070" s="976">
        <v>44001</v>
      </c>
      <c r="J1070" s="976">
        <v>44001</v>
      </c>
      <c r="K1070" s="715" t="s">
        <v>2399</v>
      </c>
    </row>
    <row r="1071" spans="1:11" ht="48" x14ac:dyDescent="0.2">
      <c r="A1071" s="715" t="s">
        <v>2633</v>
      </c>
      <c r="B1071" s="903" t="s">
        <v>2628</v>
      </c>
      <c r="C1071" s="903" t="s">
        <v>2394</v>
      </c>
      <c r="D1071" s="903" t="s">
        <v>2634</v>
      </c>
      <c r="E1071" s="415"/>
      <c r="F1071" s="975" t="s">
        <v>2635</v>
      </c>
      <c r="G1071" s="715" t="s">
        <v>2427</v>
      </c>
      <c r="H1071" s="717" t="s">
        <v>2398</v>
      </c>
      <c r="I1071" s="976">
        <v>44047</v>
      </c>
      <c r="J1071" s="976">
        <v>44047</v>
      </c>
      <c r="K1071" s="715" t="s">
        <v>2399</v>
      </c>
    </row>
    <row r="1072" spans="1:11" ht="96" x14ac:dyDescent="0.2">
      <c r="A1072" s="862" t="s">
        <v>2636</v>
      </c>
      <c r="B1072" s="806" t="s">
        <v>2393</v>
      </c>
      <c r="C1072" s="806" t="s">
        <v>2394</v>
      </c>
      <c r="D1072" s="806" t="s">
        <v>2637</v>
      </c>
      <c r="E1072" s="415"/>
      <c r="F1072" s="936" t="s">
        <v>2638</v>
      </c>
      <c r="G1072" s="862" t="s">
        <v>2453</v>
      </c>
      <c r="H1072" s="713" t="s">
        <v>2398</v>
      </c>
      <c r="I1072" s="897">
        <v>44076</v>
      </c>
      <c r="J1072" s="897">
        <v>44076</v>
      </c>
      <c r="K1072" s="862" t="s">
        <v>2399</v>
      </c>
    </row>
    <row r="1073" spans="1:11" ht="42.75" x14ac:dyDescent="0.2">
      <c r="A1073" s="862" t="s">
        <v>2639</v>
      </c>
      <c r="B1073" s="806" t="s">
        <v>2393</v>
      </c>
      <c r="C1073" s="806" t="s">
        <v>2394</v>
      </c>
      <c r="D1073" s="806" t="s">
        <v>2640</v>
      </c>
      <c r="E1073" s="415"/>
      <c r="F1073" s="936" t="s">
        <v>2641</v>
      </c>
      <c r="G1073" s="977" t="s">
        <v>2468</v>
      </c>
      <c r="H1073" s="713" t="s">
        <v>2398</v>
      </c>
      <c r="I1073" s="897">
        <v>44081</v>
      </c>
      <c r="J1073" s="897">
        <v>44081</v>
      </c>
      <c r="K1073" s="862" t="s">
        <v>2399</v>
      </c>
    </row>
    <row r="1074" spans="1:11" ht="96" x14ac:dyDescent="0.2">
      <c r="A1074" s="862" t="s">
        <v>2642</v>
      </c>
      <c r="B1074" s="806" t="s">
        <v>2393</v>
      </c>
      <c r="C1074" s="806" t="s">
        <v>2394</v>
      </c>
      <c r="D1074" s="806" t="s">
        <v>2643</v>
      </c>
      <c r="E1074" s="415"/>
      <c r="F1074" s="936" t="s">
        <v>2644</v>
      </c>
      <c r="G1074" s="862" t="s">
        <v>2453</v>
      </c>
      <c r="H1074" s="713" t="s">
        <v>2398</v>
      </c>
      <c r="I1074" s="897">
        <v>44159</v>
      </c>
      <c r="J1074" s="897">
        <v>44159</v>
      </c>
      <c r="K1074" s="862" t="s">
        <v>2399</v>
      </c>
    </row>
    <row r="1075" spans="1:11" ht="42.75" x14ac:dyDescent="0.2">
      <c r="A1075" s="862" t="s">
        <v>2645</v>
      </c>
      <c r="B1075" s="806" t="s">
        <v>2393</v>
      </c>
      <c r="C1075" s="806" t="s">
        <v>2394</v>
      </c>
      <c r="D1075" s="806" t="s">
        <v>2646</v>
      </c>
      <c r="E1075" s="415"/>
      <c r="F1075" s="936" t="s">
        <v>2647</v>
      </c>
      <c r="G1075" s="977" t="s">
        <v>2468</v>
      </c>
      <c r="H1075" s="713" t="s">
        <v>2398</v>
      </c>
      <c r="I1075" s="897">
        <v>44172</v>
      </c>
      <c r="J1075" s="897">
        <v>44172</v>
      </c>
      <c r="K1075" s="862" t="s">
        <v>2399</v>
      </c>
    </row>
    <row r="1076" spans="1:11" ht="96" x14ac:dyDescent="0.2">
      <c r="A1076" s="862" t="s">
        <v>2648</v>
      </c>
      <c r="B1076" s="806" t="s">
        <v>2393</v>
      </c>
      <c r="C1076" s="806" t="s">
        <v>2394</v>
      </c>
      <c r="D1076" s="806" t="s">
        <v>2649</v>
      </c>
      <c r="E1076" s="415"/>
      <c r="F1076" s="936" t="s">
        <v>2619</v>
      </c>
      <c r="G1076" s="862" t="s">
        <v>2453</v>
      </c>
      <c r="H1076" s="713" t="s">
        <v>2398</v>
      </c>
      <c r="I1076" s="897">
        <v>44186</v>
      </c>
      <c r="J1076" s="897">
        <v>44186</v>
      </c>
      <c r="K1076" s="862" t="s">
        <v>2399</v>
      </c>
    </row>
    <row r="1077" spans="1:11" ht="24" x14ac:dyDescent="0.2">
      <c r="A1077" s="862" t="s">
        <v>2650</v>
      </c>
      <c r="B1077" s="806" t="s">
        <v>2393</v>
      </c>
      <c r="C1077" s="806" t="s">
        <v>2394</v>
      </c>
      <c r="D1077" s="806" t="s">
        <v>2651</v>
      </c>
      <c r="E1077" s="415"/>
      <c r="F1077" s="936" t="s">
        <v>2536</v>
      </c>
      <c r="G1077" s="862" t="s">
        <v>2537</v>
      </c>
      <c r="H1077" s="713" t="s">
        <v>2398</v>
      </c>
      <c r="I1077" s="897">
        <v>43881</v>
      </c>
      <c r="J1077" s="897">
        <v>43881</v>
      </c>
      <c r="K1077" s="862" t="s">
        <v>2399</v>
      </c>
    </row>
    <row r="1078" spans="1:11" ht="24" x14ac:dyDescent="0.2">
      <c r="A1078" s="862" t="s">
        <v>2652</v>
      </c>
      <c r="B1078" s="806" t="s">
        <v>2393</v>
      </c>
      <c r="C1078" s="806" t="s">
        <v>2394</v>
      </c>
      <c r="D1078" s="806" t="s">
        <v>2653</v>
      </c>
      <c r="E1078" s="415"/>
      <c r="F1078" s="936" t="s">
        <v>2540</v>
      </c>
      <c r="G1078" s="862" t="s">
        <v>2537</v>
      </c>
      <c r="H1078" s="713" t="s">
        <v>2398</v>
      </c>
      <c r="I1078" s="897">
        <v>43881</v>
      </c>
      <c r="J1078" s="897">
        <v>43881</v>
      </c>
      <c r="K1078" s="862" t="s">
        <v>2399</v>
      </c>
    </row>
    <row r="1079" spans="1:11" ht="60" x14ac:dyDescent="0.2">
      <c r="A1079" s="862" t="s">
        <v>2654</v>
      </c>
      <c r="B1079" s="806" t="s">
        <v>2393</v>
      </c>
      <c r="C1079" s="806" t="s">
        <v>2394</v>
      </c>
      <c r="D1079" s="806" t="s">
        <v>2655</v>
      </c>
      <c r="E1079" s="415"/>
      <c r="F1079" s="936" t="s">
        <v>2656</v>
      </c>
      <c r="G1079" s="862" t="s">
        <v>2657</v>
      </c>
      <c r="H1079" s="713" t="s">
        <v>2398</v>
      </c>
      <c r="I1079" s="897">
        <v>43899</v>
      </c>
      <c r="J1079" s="897">
        <v>43899</v>
      </c>
      <c r="K1079" s="862" t="s">
        <v>2399</v>
      </c>
    </row>
    <row r="1080" spans="1:11" ht="60" x14ac:dyDescent="0.2">
      <c r="A1080" s="862" t="s">
        <v>2658</v>
      </c>
      <c r="B1080" s="806" t="s">
        <v>2393</v>
      </c>
      <c r="C1080" s="806" t="s">
        <v>2394</v>
      </c>
      <c r="D1080" s="806" t="s">
        <v>2659</v>
      </c>
      <c r="E1080" s="415"/>
      <c r="F1080" s="936" t="s">
        <v>2660</v>
      </c>
      <c r="G1080" s="862" t="s">
        <v>2657</v>
      </c>
      <c r="H1080" s="713" t="s">
        <v>2398</v>
      </c>
      <c r="I1080" s="897">
        <v>43899</v>
      </c>
      <c r="J1080" s="897">
        <v>43899</v>
      </c>
      <c r="K1080" s="862" t="s">
        <v>2399</v>
      </c>
    </row>
    <row r="1081" spans="1:11" ht="48" x14ac:dyDescent="0.2">
      <c r="A1081" s="862" t="s">
        <v>2661</v>
      </c>
      <c r="B1081" s="806" t="s">
        <v>2393</v>
      </c>
      <c r="C1081" s="806" t="s">
        <v>2394</v>
      </c>
      <c r="D1081" s="806" t="s">
        <v>2662</v>
      </c>
      <c r="E1081" s="415"/>
      <c r="F1081" s="936" t="s">
        <v>2663</v>
      </c>
      <c r="G1081" s="862" t="s">
        <v>2657</v>
      </c>
      <c r="H1081" s="713" t="s">
        <v>2398</v>
      </c>
      <c r="I1081" s="897">
        <v>43899</v>
      </c>
      <c r="J1081" s="897">
        <v>43899</v>
      </c>
      <c r="K1081" s="862" t="s">
        <v>2399</v>
      </c>
    </row>
    <row r="1082" spans="1:11" ht="60" x14ac:dyDescent="0.2">
      <c r="A1082" s="862" t="s">
        <v>2664</v>
      </c>
      <c r="B1082" s="806" t="s">
        <v>2393</v>
      </c>
      <c r="C1082" s="806" t="s">
        <v>2394</v>
      </c>
      <c r="D1082" s="806" t="s">
        <v>2665</v>
      </c>
      <c r="E1082" s="415"/>
      <c r="F1082" s="936" t="s">
        <v>2666</v>
      </c>
      <c r="G1082" s="862" t="s">
        <v>2405</v>
      </c>
      <c r="H1082" s="713" t="s">
        <v>2398</v>
      </c>
      <c r="I1082" s="897">
        <v>43963</v>
      </c>
      <c r="J1082" s="897">
        <v>43963</v>
      </c>
      <c r="K1082" s="862" t="s">
        <v>2399</v>
      </c>
    </row>
    <row r="1083" spans="1:11" ht="60" x14ac:dyDescent="0.2">
      <c r="A1083" s="862" t="s">
        <v>2667</v>
      </c>
      <c r="B1083" s="806" t="s">
        <v>2393</v>
      </c>
      <c r="C1083" s="806" t="s">
        <v>2394</v>
      </c>
      <c r="D1083" s="806" t="s">
        <v>2668</v>
      </c>
      <c r="E1083" s="415"/>
      <c r="F1083" s="936" t="s">
        <v>2474</v>
      </c>
      <c r="G1083" s="862" t="s">
        <v>2405</v>
      </c>
      <c r="H1083" s="713" t="s">
        <v>2398</v>
      </c>
      <c r="I1083" s="897">
        <v>43963</v>
      </c>
      <c r="J1083" s="897">
        <v>43963</v>
      </c>
      <c r="K1083" s="862" t="s">
        <v>2399</v>
      </c>
    </row>
    <row r="1084" spans="1:11" ht="36" x14ac:dyDescent="0.2">
      <c r="A1084" s="862" t="s">
        <v>2669</v>
      </c>
      <c r="B1084" s="806" t="s">
        <v>2393</v>
      </c>
      <c r="C1084" s="806" t="s">
        <v>2394</v>
      </c>
      <c r="D1084" s="806" t="s">
        <v>2670</v>
      </c>
      <c r="E1084" s="415"/>
      <c r="F1084" s="936" t="s">
        <v>2671</v>
      </c>
      <c r="G1084" s="862" t="s">
        <v>2657</v>
      </c>
      <c r="H1084" s="713" t="s">
        <v>2398</v>
      </c>
      <c r="I1084" s="897">
        <v>43984</v>
      </c>
      <c r="J1084" s="897">
        <v>43984</v>
      </c>
      <c r="K1084" s="862" t="s">
        <v>2399</v>
      </c>
    </row>
    <row r="1085" spans="1:11" ht="36" x14ac:dyDescent="0.2">
      <c r="A1085" s="862" t="s">
        <v>2672</v>
      </c>
      <c r="B1085" s="806" t="s">
        <v>2393</v>
      </c>
      <c r="C1085" s="806" t="s">
        <v>2394</v>
      </c>
      <c r="D1085" s="806" t="s">
        <v>2673</v>
      </c>
      <c r="E1085" s="415"/>
      <c r="F1085" s="936" t="s">
        <v>2561</v>
      </c>
      <c r="G1085" s="862" t="s">
        <v>2562</v>
      </c>
      <c r="H1085" s="713" t="s">
        <v>2398</v>
      </c>
      <c r="I1085" s="897">
        <v>44008</v>
      </c>
      <c r="J1085" s="897">
        <v>44008</v>
      </c>
      <c r="K1085" s="862" t="s">
        <v>2399</v>
      </c>
    </row>
    <row r="1086" spans="1:11" ht="36" x14ac:dyDescent="0.2">
      <c r="A1086" s="862" t="s">
        <v>2674</v>
      </c>
      <c r="B1086" s="806" t="s">
        <v>2393</v>
      </c>
      <c r="C1086" s="806" t="s">
        <v>2394</v>
      </c>
      <c r="D1086" s="806" t="s">
        <v>2675</v>
      </c>
      <c r="E1086" s="415"/>
      <c r="F1086" s="936" t="s">
        <v>2676</v>
      </c>
      <c r="G1086" s="862" t="s">
        <v>2548</v>
      </c>
      <c r="H1086" s="713" t="s">
        <v>2398</v>
      </c>
      <c r="I1086" s="897">
        <v>44021</v>
      </c>
      <c r="J1086" s="897">
        <v>44021</v>
      </c>
      <c r="K1086" s="862" t="s">
        <v>2399</v>
      </c>
    </row>
    <row r="1087" spans="1:11" ht="36" x14ac:dyDescent="0.2">
      <c r="A1087" s="862" t="s">
        <v>2677</v>
      </c>
      <c r="B1087" s="806" t="s">
        <v>2393</v>
      </c>
      <c r="C1087" s="806" t="s">
        <v>2394</v>
      </c>
      <c r="D1087" s="806" t="s">
        <v>2678</v>
      </c>
      <c r="E1087" s="415"/>
      <c r="F1087" s="936" t="s">
        <v>2679</v>
      </c>
      <c r="G1087" s="862" t="s">
        <v>2680</v>
      </c>
      <c r="H1087" s="713" t="s">
        <v>2398</v>
      </c>
      <c r="I1087" s="897">
        <v>44126</v>
      </c>
      <c r="J1087" s="897">
        <v>44126</v>
      </c>
      <c r="K1087" s="862" t="s">
        <v>2399</v>
      </c>
    </row>
    <row r="1088" spans="1:11" ht="48" x14ac:dyDescent="0.2">
      <c r="A1088" s="862" t="s">
        <v>2681</v>
      </c>
      <c r="B1088" s="806" t="s">
        <v>2393</v>
      </c>
      <c r="C1088" s="806" t="s">
        <v>2394</v>
      </c>
      <c r="D1088" s="806" t="s">
        <v>2682</v>
      </c>
      <c r="E1088" s="415"/>
      <c r="F1088" s="936" t="s">
        <v>2683</v>
      </c>
      <c r="G1088" s="862" t="s">
        <v>2562</v>
      </c>
      <c r="H1088" s="713" t="s">
        <v>2398</v>
      </c>
      <c r="I1088" s="897">
        <v>44153</v>
      </c>
      <c r="J1088" s="897">
        <v>44153</v>
      </c>
      <c r="K1088" s="862" t="s">
        <v>2399</v>
      </c>
    </row>
    <row r="1089" spans="1:11" ht="48" x14ac:dyDescent="0.2">
      <c r="A1089" s="862" t="s">
        <v>2684</v>
      </c>
      <c r="B1089" s="806" t="s">
        <v>2393</v>
      </c>
      <c r="C1089" s="806" t="s">
        <v>2394</v>
      </c>
      <c r="D1089" s="806" t="s">
        <v>2685</v>
      </c>
      <c r="E1089" s="415"/>
      <c r="F1089" s="936" t="s">
        <v>2686</v>
      </c>
      <c r="G1089" s="862" t="s">
        <v>2405</v>
      </c>
      <c r="H1089" s="713" t="s">
        <v>2398</v>
      </c>
      <c r="I1089" s="897">
        <v>44153</v>
      </c>
      <c r="J1089" s="897">
        <v>44153</v>
      </c>
      <c r="K1089" s="862" t="s">
        <v>2399</v>
      </c>
    </row>
    <row r="1090" spans="1:11" ht="24" x14ac:dyDescent="0.2">
      <c r="A1090" s="862" t="s">
        <v>2687</v>
      </c>
      <c r="B1090" s="806" t="s">
        <v>2393</v>
      </c>
      <c r="C1090" s="806" t="s">
        <v>2394</v>
      </c>
      <c r="D1090" s="806" t="s">
        <v>2688</v>
      </c>
      <c r="E1090" s="415"/>
      <c r="F1090" s="936" t="s">
        <v>2689</v>
      </c>
      <c r="G1090" s="862" t="s">
        <v>2562</v>
      </c>
      <c r="H1090" s="713" t="s">
        <v>2398</v>
      </c>
      <c r="I1090" s="897">
        <v>44172</v>
      </c>
      <c r="J1090" s="897">
        <v>44172</v>
      </c>
      <c r="K1090" s="862" t="s">
        <v>2399</v>
      </c>
    </row>
    <row r="1091" spans="1:11" ht="36" x14ac:dyDescent="0.2">
      <c r="A1091" s="862" t="s">
        <v>2690</v>
      </c>
      <c r="B1091" s="806" t="s">
        <v>2393</v>
      </c>
      <c r="C1091" s="806" t="s">
        <v>2394</v>
      </c>
      <c r="D1091" s="806" t="s">
        <v>2691</v>
      </c>
      <c r="E1091" s="415"/>
      <c r="F1091" s="936" t="s">
        <v>2692</v>
      </c>
      <c r="G1091" s="862" t="s">
        <v>2468</v>
      </c>
      <c r="H1091" s="713" t="s">
        <v>2398</v>
      </c>
      <c r="I1091" s="897">
        <v>44182</v>
      </c>
      <c r="J1091" s="897">
        <v>44182</v>
      </c>
      <c r="K1091" s="862" t="s">
        <v>2399</v>
      </c>
    </row>
    <row r="1092" spans="1:11" ht="36" x14ac:dyDescent="0.2">
      <c r="A1092" s="862" t="s">
        <v>2693</v>
      </c>
      <c r="B1092" s="806" t="s">
        <v>2393</v>
      </c>
      <c r="C1092" s="806" t="s">
        <v>2394</v>
      </c>
      <c r="D1092" s="806" t="s">
        <v>2694</v>
      </c>
      <c r="E1092" s="415"/>
      <c r="F1092" s="936" t="s">
        <v>2695</v>
      </c>
      <c r="G1092" s="862" t="s">
        <v>2696</v>
      </c>
      <c r="H1092" s="713" t="s">
        <v>2398</v>
      </c>
      <c r="I1092" s="897">
        <v>44182</v>
      </c>
      <c r="J1092" s="897">
        <v>44182</v>
      </c>
      <c r="K1092" s="862" t="s">
        <v>2399</v>
      </c>
    </row>
    <row r="1093" spans="1:11" x14ac:dyDescent="0.2">
      <c r="A1093" s="915" t="s">
        <v>2697</v>
      </c>
      <c r="B1093" s="915"/>
      <c r="C1093" s="915"/>
      <c r="D1093" s="915"/>
      <c r="E1093" s="930"/>
      <c r="F1093" s="931"/>
      <c r="G1093" s="932"/>
      <c r="H1093" s="930"/>
      <c r="I1093" s="933"/>
      <c r="J1093" s="933"/>
      <c r="K1093" s="932"/>
    </row>
    <row r="1094" spans="1:11" ht="24" x14ac:dyDescent="0.2">
      <c r="A1094" s="862" t="s">
        <v>2698</v>
      </c>
      <c r="B1094" s="806" t="s">
        <v>2699</v>
      </c>
      <c r="C1094" s="806" t="s">
        <v>1491</v>
      </c>
      <c r="D1094" s="806" t="s">
        <v>2700</v>
      </c>
      <c r="E1094" s="415"/>
      <c r="F1094" s="935">
        <v>60000</v>
      </c>
      <c r="G1094" s="862" t="s">
        <v>2701</v>
      </c>
      <c r="H1094" s="713" t="s">
        <v>2702</v>
      </c>
      <c r="I1094" s="978" t="s">
        <v>2703</v>
      </c>
      <c r="J1094" s="978" t="s">
        <v>2703</v>
      </c>
      <c r="K1094" s="862"/>
    </row>
    <row r="1095" spans="1:11" ht="24" x14ac:dyDescent="0.2">
      <c r="A1095" s="862" t="s">
        <v>2704</v>
      </c>
      <c r="B1095" s="806" t="s">
        <v>2705</v>
      </c>
      <c r="C1095" s="806" t="s">
        <v>1491</v>
      </c>
      <c r="D1095" s="806" t="s">
        <v>2705</v>
      </c>
      <c r="E1095" s="415"/>
      <c r="F1095" s="935">
        <v>60000</v>
      </c>
      <c r="G1095" s="862" t="s">
        <v>2705</v>
      </c>
      <c r="H1095" s="713" t="s">
        <v>2705</v>
      </c>
      <c r="I1095" s="897" t="s">
        <v>2705</v>
      </c>
      <c r="J1095" s="897" t="s">
        <v>2705</v>
      </c>
      <c r="K1095" s="862" t="s">
        <v>2706</v>
      </c>
    </row>
  </sheetData>
  <mergeCells count="14">
    <mergeCell ref="A291:A296"/>
    <mergeCell ref="B291:B296"/>
    <mergeCell ref="C291:C296"/>
    <mergeCell ref="D291:D296"/>
    <mergeCell ref="E291:E296"/>
    <mergeCell ref="A283:A284"/>
    <mergeCell ref="B283:B284"/>
    <mergeCell ref="C283:C284"/>
    <mergeCell ref="D283:D284"/>
    <mergeCell ref="A1:K1"/>
    <mergeCell ref="A191:A192"/>
    <mergeCell ref="B191:B192"/>
    <mergeCell ref="C191:C192"/>
    <mergeCell ref="E191:E192"/>
  </mergeCells>
  <phoneticPr fontId="11" type="noConversion"/>
  <printOptions horizontalCentered="1"/>
  <pageMargins left="0.23622047244094491" right="0.23622047244094491" top="0.74803149606299213" bottom="0.62992125984251968" header="0.31496062992125984" footer="0.31496062992125984"/>
  <pageSetup paperSize="9" scale="60"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theme="9" tint="-0.249977111117893"/>
  </sheetPr>
  <dimension ref="A1:W59"/>
  <sheetViews>
    <sheetView topLeftCell="A5" zoomScaleNormal="100" zoomScaleSheetLayoutView="100" zoomScalePageLayoutView="85" workbookViewId="0">
      <selection activeCell="D21" sqref="D21"/>
    </sheetView>
  </sheetViews>
  <sheetFormatPr baseColWidth="10" defaultColWidth="11.42578125" defaultRowHeight="12" x14ac:dyDescent="0.2"/>
  <cols>
    <col min="1" max="1" width="42.85546875" style="3" customWidth="1"/>
    <col min="2" max="2" width="30.7109375" style="3" customWidth="1"/>
    <col min="3" max="3" width="21.85546875" style="3" customWidth="1"/>
    <col min="4" max="6" width="17" style="749" customWidth="1"/>
    <col min="7" max="7" width="39.5703125" style="17" customWidth="1"/>
    <col min="8" max="8" width="23.5703125" style="506" customWidth="1"/>
    <col min="9" max="16384" width="11.42578125" style="3"/>
  </cols>
  <sheetData>
    <row r="1" spans="1:23" ht="18" x14ac:dyDescent="0.2">
      <c r="A1" s="1474" t="s">
        <v>2707</v>
      </c>
      <c r="B1" s="1474"/>
      <c r="C1" s="1474"/>
      <c r="D1" s="1474"/>
      <c r="E1" s="1474"/>
      <c r="F1" s="1474"/>
      <c r="G1" s="1474"/>
      <c r="H1" s="1474"/>
    </row>
    <row r="2" spans="1:23" x14ac:dyDescent="0.2">
      <c r="A2" s="2" t="s">
        <v>2708</v>
      </c>
      <c r="B2" s="2"/>
      <c r="C2" s="2"/>
      <c r="D2" s="986"/>
      <c r="E2" s="986"/>
      <c r="F2" s="986"/>
      <c r="G2" s="886"/>
      <c r="H2" s="172"/>
      <c r="I2" s="2"/>
      <c r="J2" s="2"/>
      <c r="K2" s="2"/>
      <c r="L2" s="2"/>
      <c r="M2" s="2"/>
      <c r="N2" s="2"/>
      <c r="O2" s="2"/>
      <c r="P2" s="2"/>
      <c r="Q2" s="2"/>
      <c r="R2" s="2"/>
      <c r="S2" s="2"/>
      <c r="T2" s="2"/>
      <c r="U2" s="2"/>
      <c r="V2" s="2"/>
      <c r="W2" s="2"/>
    </row>
    <row r="3" spans="1:23" x14ac:dyDescent="0.2">
      <c r="A3" s="5"/>
      <c r="B3" s="5"/>
      <c r="C3" s="5"/>
      <c r="D3" s="987"/>
      <c r="E3" s="987"/>
      <c r="F3" s="987"/>
    </row>
    <row r="4" spans="1:23" ht="39" customHeight="1" x14ac:dyDescent="0.2">
      <c r="A4" s="1510" t="s">
        <v>2709</v>
      </c>
      <c r="B4" s="1510" t="s">
        <v>2710</v>
      </c>
      <c r="C4" s="1510" t="s">
        <v>2711</v>
      </c>
      <c r="D4" s="988" t="s">
        <v>2712</v>
      </c>
      <c r="E4" s="988" t="s">
        <v>2713</v>
      </c>
      <c r="F4" s="988" t="s">
        <v>2714</v>
      </c>
      <c r="G4" s="1511" t="s">
        <v>2715</v>
      </c>
      <c r="H4" s="1510" t="s">
        <v>2716</v>
      </c>
    </row>
    <row r="5" spans="1:23" ht="21" customHeight="1" x14ac:dyDescent="0.2">
      <c r="A5" s="1510"/>
      <c r="B5" s="1510"/>
      <c r="C5" s="1510"/>
      <c r="D5" s="988" t="s">
        <v>2717</v>
      </c>
      <c r="E5" s="988" t="s">
        <v>2717</v>
      </c>
      <c r="F5" s="988" t="s">
        <v>2717</v>
      </c>
      <c r="G5" s="1511"/>
      <c r="H5" s="1510"/>
    </row>
    <row r="6" spans="1:23" ht="12" customHeight="1" x14ac:dyDescent="0.2">
      <c r="A6" s="980" t="s">
        <v>1488</v>
      </c>
      <c r="B6" s="980"/>
      <c r="C6" s="980"/>
      <c r="D6" s="989"/>
      <c r="E6" s="989"/>
      <c r="F6" s="989"/>
      <c r="G6" s="981"/>
      <c r="H6" s="980"/>
    </row>
    <row r="7" spans="1:23" x14ac:dyDescent="0.2">
      <c r="A7" s="88" t="s">
        <v>2718</v>
      </c>
      <c r="B7" s="88"/>
      <c r="C7" s="88">
        <v>735435570</v>
      </c>
      <c r="D7" s="935">
        <v>22000</v>
      </c>
      <c r="E7" s="935">
        <v>12000</v>
      </c>
      <c r="F7" s="935">
        <v>24000</v>
      </c>
      <c r="G7" s="806" t="s">
        <v>2719</v>
      </c>
      <c r="H7" s="88" t="s">
        <v>2720</v>
      </c>
    </row>
    <row r="8" spans="1:23" ht="24" x14ac:dyDescent="0.2">
      <c r="A8" s="88" t="s">
        <v>2721</v>
      </c>
      <c r="B8" s="88"/>
      <c r="C8" s="88">
        <v>704617734</v>
      </c>
      <c r="D8" s="935">
        <v>30380</v>
      </c>
      <c r="E8" s="935"/>
      <c r="F8" s="935">
        <v>30000</v>
      </c>
      <c r="G8" s="806" t="s">
        <v>2722</v>
      </c>
      <c r="H8" s="88" t="s">
        <v>2723</v>
      </c>
    </row>
    <row r="9" spans="1:23" ht="24" x14ac:dyDescent="0.2">
      <c r="A9" s="88" t="s">
        <v>2724</v>
      </c>
      <c r="B9" s="88"/>
      <c r="C9" s="88">
        <v>718204980</v>
      </c>
      <c r="D9" s="935">
        <v>20100</v>
      </c>
      <c r="E9" s="935"/>
      <c r="F9" s="935">
        <v>20000</v>
      </c>
      <c r="G9" s="806" t="s">
        <v>2722</v>
      </c>
      <c r="H9" s="88" t="s">
        <v>2723</v>
      </c>
    </row>
    <row r="10" spans="1:23" ht="24" x14ac:dyDescent="0.2">
      <c r="A10" s="88" t="s">
        <v>2725</v>
      </c>
      <c r="B10" s="88"/>
      <c r="C10" s="88">
        <v>441485579</v>
      </c>
      <c r="D10" s="935">
        <v>28371.599999999999</v>
      </c>
      <c r="E10" s="935">
        <v>4152.24</v>
      </c>
      <c r="F10" s="935">
        <v>12000</v>
      </c>
      <c r="G10" s="806" t="s">
        <v>2722</v>
      </c>
      <c r="H10" s="88" t="s">
        <v>2723</v>
      </c>
    </row>
    <row r="11" spans="1:23" x14ac:dyDescent="0.2">
      <c r="A11" s="88" t="s">
        <v>2726</v>
      </c>
      <c r="B11" s="88"/>
      <c r="C11" s="911" t="s">
        <v>2727</v>
      </c>
      <c r="D11" s="935">
        <v>6000</v>
      </c>
      <c r="E11" s="935"/>
      <c r="F11" s="935">
        <v>10000</v>
      </c>
      <c r="G11" s="806" t="s">
        <v>2728</v>
      </c>
      <c r="H11" s="88" t="s">
        <v>2729</v>
      </c>
    </row>
    <row r="12" spans="1:23" ht="24" x14ac:dyDescent="0.2">
      <c r="A12" s="88" t="s">
        <v>2730</v>
      </c>
      <c r="B12" s="88"/>
      <c r="C12" s="88">
        <v>728515177</v>
      </c>
      <c r="D12" s="935">
        <v>12110.7</v>
      </c>
      <c r="E12" s="935">
        <v>12110.7</v>
      </c>
      <c r="F12" s="935">
        <v>12000</v>
      </c>
      <c r="G12" s="806" t="s">
        <v>2722</v>
      </c>
      <c r="H12" s="88" t="s">
        <v>2723</v>
      </c>
    </row>
    <row r="13" spans="1:23" ht="24" x14ac:dyDescent="0.2">
      <c r="A13" s="88" t="s">
        <v>2731</v>
      </c>
      <c r="B13" s="88"/>
      <c r="C13" s="88">
        <v>476670565</v>
      </c>
      <c r="D13" s="935">
        <v>12110.7</v>
      </c>
      <c r="E13" s="935">
        <v>4844.28</v>
      </c>
      <c r="F13" s="935">
        <v>12000</v>
      </c>
      <c r="G13" s="806" t="s">
        <v>2722</v>
      </c>
      <c r="H13" s="88" t="s">
        <v>2723</v>
      </c>
    </row>
    <row r="14" spans="1:23" ht="24" x14ac:dyDescent="0.2">
      <c r="A14" s="88" t="s">
        <v>2732</v>
      </c>
      <c r="B14" s="88"/>
      <c r="C14" s="88">
        <v>423778551</v>
      </c>
      <c r="D14" s="935">
        <v>6920.3</v>
      </c>
      <c r="E14" s="935">
        <v>2768.12</v>
      </c>
      <c r="F14" s="935">
        <v>7000</v>
      </c>
      <c r="G14" s="806" t="s">
        <v>2722</v>
      </c>
      <c r="H14" s="88" t="s">
        <v>2723</v>
      </c>
    </row>
    <row r="15" spans="1:23" ht="24" x14ac:dyDescent="0.2">
      <c r="A15" s="88" t="s">
        <v>2733</v>
      </c>
      <c r="B15" s="88"/>
      <c r="C15" s="88">
        <v>728515177</v>
      </c>
      <c r="D15" s="935">
        <v>12110.7</v>
      </c>
      <c r="E15" s="935"/>
      <c r="F15" s="935">
        <v>12000</v>
      </c>
      <c r="G15" s="806" t="s">
        <v>2722</v>
      </c>
      <c r="H15" s="88" t="s">
        <v>2723</v>
      </c>
    </row>
    <row r="16" spans="1:23" x14ac:dyDescent="0.2">
      <c r="A16" s="88" t="s">
        <v>2734</v>
      </c>
      <c r="B16" s="88"/>
      <c r="C16" s="88">
        <v>437034481</v>
      </c>
      <c r="D16" s="935"/>
      <c r="E16" s="935">
        <v>24945</v>
      </c>
      <c r="F16" s="935">
        <v>15000</v>
      </c>
      <c r="G16" s="806" t="s">
        <v>2735</v>
      </c>
      <c r="H16" s="88" t="s">
        <v>2736</v>
      </c>
    </row>
    <row r="17" spans="1:8" x14ac:dyDescent="0.2">
      <c r="A17" s="88" t="s">
        <v>2737</v>
      </c>
      <c r="B17" s="88"/>
      <c r="C17" s="911" t="s">
        <v>2738</v>
      </c>
      <c r="D17" s="935"/>
      <c r="E17" s="935">
        <v>26145</v>
      </c>
      <c r="F17" s="935">
        <v>15000</v>
      </c>
      <c r="G17" s="806" t="s">
        <v>2735</v>
      </c>
      <c r="H17" s="88" t="s">
        <v>2736</v>
      </c>
    </row>
    <row r="18" spans="1:8" x14ac:dyDescent="0.2">
      <c r="A18" s="88" t="s">
        <v>2739</v>
      </c>
      <c r="B18" s="88"/>
      <c r="C18" s="88">
        <v>706942969</v>
      </c>
      <c r="D18" s="935"/>
      <c r="E18" s="935">
        <v>1260</v>
      </c>
      <c r="F18" s="935"/>
      <c r="G18" s="806" t="s">
        <v>2735</v>
      </c>
      <c r="H18" s="88" t="s">
        <v>2736</v>
      </c>
    </row>
    <row r="19" spans="1:8" ht="12" customHeight="1" x14ac:dyDescent="0.2">
      <c r="A19" s="980" t="s">
        <v>2740</v>
      </c>
      <c r="B19" s="980"/>
      <c r="C19" s="980"/>
      <c r="D19" s="989"/>
      <c r="E19" s="989"/>
      <c r="F19" s="989"/>
      <c r="G19" s="981"/>
      <c r="H19" s="980"/>
    </row>
    <row r="20" spans="1:8" ht="84" x14ac:dyDescent="0.2">
      <c r="A20" s="862" t="s">
        <v>2741</v>
      </c>
      <c r="B20" s="89" t="s">
        <v>2742</v>
      </c>
      <c r="C20" s="88"/>
      <c r="D20" s="935">
        <v>168560</v>
      </c>
      <c r="E20" s="935"/>
      <c r="F20" s="935"/>
      <c r="G20" s="713" t="s">
        <v>2743</v>
      </c>
      <c r="H20" s="88"/>
    </row>
    <row r="21" spans="1:8" ht="84" x14ac:dyDescent="0.2">
      <c r="A21" s="862" t="s">
        <v>2744</v>
      </c>
      <c r="B21" s="862" t="s">
        <v>2745</v>
      </c>
      <c r="C21" s="88"/>
      <c r="D21" s="935">
        <v>130900</v>
      </c>
      <c r="E21" s="935"/>
      <c r="F21" s="935"/>
      <c r="G21" s="713" t="s">
        <v>2746</v>
      </c>
      <c r="H21" s="88"/>
    </row>
    <row r="22" spans="1:8" ht="96" x14ac:dyDescent="0.2">
      <c r="A22" s="862" t="s">
        <v>2747</v>
      </c>
      <c r="B22" s="862" t="s">
        <v>2748</v>
      </c>
      <c r="C22" s="88"/>
      <c r="D22" s="935">
        <v>144400</v>
      </c>
      <c r="E22" s="935"/>
      <c r="F22" s="935"/>
      <c r="G22" s="713" t="s">
        <v>2746</v>
      </c>
      <c r="H22" s="88"/>
    </row>
    <row r="23" spans="1:8" ht="72" x14ac:dyDescent="0.2">
      <c r="A23" s="862" t="s">
        <v>2749</v>
      </c>
      <c r="B23" s="862" t="s">
        <v>2750</v>
      </c>
      <c r="C23" s="88"/>
      <c r="D23" s="935">
        <v>159985</v>
      </c>
      <c r="E23" s="935"/>
      <c r="F23" s="935"/>
      <c r="G23" s="713" t="s">
        <v>2746</v>
      </c>
      <c r="H23" s="88"/>
    </row>
    <row r="24" spans="1:8" ht="96" x14ac:dyDescent="0.2">
      <c r="A24" s="862" t="s">
        <v>2751</v>
      </c>
      <c r="B24" s="862" t="s">
        <v>2752</v>
      </c>
      <c r="C24" s="88"/>
      <c r="D24" s="935">
        <v>315810</v>
      </c>
      <c r="E24" s="935"/>
      <c r="F24" s="935"/>
      <c r="G24" s="713" t="s">
        <v>2753</v>
      </c>
      <c r="H24" s="88"/>
    </row>
    <row r="25" spans="1:8" ht="84" x14ac:dyDescent="0.2">
      <c r="A25" s="862" t="s">
        <v>2754</v>
      </c>
      <c r="B25" s="862" t="s">
        <v>2755</v>
      </c>
      <c r="C25" s="88"/>
      <c r="D25" s="935">
        <v>60150</v>
      </c>
      <c r="E25" s="935"/>
      <c r="F25" s="935"/>
      <c r="G25" s="713" t="s">
        <v>2753</v>
      </c>
      <c r="H25" s="88"/>
    </row>
    <row r="26" spans="1:8" ht="96" x14ac:dyDescent="0.2">
      <c r="A26" s="862" t="s">
        <v>2756</v>
      </c>
      <c r="B26" s="862" t="s">
        <v>2755</v>
      </c>
      <c r="C26" s="89"/>
      <c r="D26" s="935">
        <v>73075</v>
      </c>
      <c r="E26" s="935"/>
      <c r="F26" s="935"/>
      <c r="G26" s="713" t="s">
        <v>2753</v>
      </c>
      <c r="H26" s="694"/>
    </row>
    <row r="27" spans="1:8" ht="96" x14ac:dyDescent="0.2">
      <c r="A27" s="862" t="s">
        <v>2757</v>
      </c>
      <c r="B27" s="862" t="s">
        <v>2758</v>
      </c>
      <c r="C27" s="87"/>
      <c r="D27" s="935"/>
      <c r="E27" s="935">
        <v>170974.8</v>
      </c>
      <c r="F27" s="935"/>
      <c r="G27" s="713" t="s">
        <v>2753</v>
      </c>
      <c r="H27" s="694"/>
    </row>
    <row r="28" spans="1:8" ht="84" x14ac:dyDescent="0.2">
      <c r="A28" s="862" t="s">
        <v>2759</v>
      </c>
      <c r="B28" s="88"/>
      <c r="C28" s="88"/>
      <c r="D28" s="935"/>
      <c r="E28" s="935">
        <v>178417.24</v>
      </c>
      <c r="F28" s="935"/>
      <c r="G28" s="713" t="s">
        <v>2746</v>
      </c>
      <c r="H28" s="694"/>
    </row>
    <row r="29" spans="1:8" x14ac:dyDescent="0.2">
      <c r="A29" s="83"/>
      <c r="B29" s="84"/>
      <c r="C29" s="84"/>
      <c r="D29" s="80"/>
      <c r="E29" s="80"/>
      <c r="F29" s="80"/>
      <c r="G29" s="421"/>
      <c r="H29" s="694"/>
    </row>
    <row r="30" spans="1:8" ht="12" customHeight="1" x14ac:dyDescent="0.2">
      <c r="A30" s="980" t="s">
        <v>2760</v>
      </c>
      <c r="B30" s="980"/>
      <c r="C30" s="980"/>
      <c r="D30" s="989"/>
      <c r="E30" s="989"/>
      <c r="F30" s="989"/>
      <c r="G30" s="981"/>
      <c r="H30" s="980"/>
    </row>
    <row r="31" spans="1:8" ht="120" x14ac:dyDescent="0.2">
      <c r="A31" s="862" t="s">
        <v>2761</v>
      </c>
      <c r="B31" s="862" t="s">
        <v>2762</v>
      </c>
      <c r="C31" s="88"/>
      <c r="D31" s="935">
        <v>35000</v>
      </c>
      <c r="E31" s="935">
        <v>35000</v>
      </c>
      <c r="F31" s="935"/>
      <c r="G31" s="713" t="s">
        <v>2763</v>
      </c>
      <c r="H31" s="88" t="s">
        <v>2764</v>
      </c>
    </row>
    <row r="32" spans="1:8" ht="120" x14ac:dyDescent="0.2">
      <c r="A32" s="862" t="s">
        <v>2765</v>
      </c>
      <c r="B32" s="88" t="s">
        <v>2766</v>
      </c>
      <c r="C32" s="862" t="s">
        <v>2767</v>
      </c>
      <c r="D32" s="935">
        <v>10000</v>
      </c>
      <c r="E32" s="935">
        <v>10000</v>
      </c>
      <c r="F32" s="935"/>
      <c r="G32" s="713" t="s">
        <v>2768</v>
      </c>
      <c r="H32" s="88" t="s">
        <v>2769</v>
      </c>
    </row>
    <row r="33" spans="1:8" ht="96" x14ac:dyDescent="0.2">
      <c r="A33" s="862" t="s">
        <v>2770</v>
      </c>
      <c r="B33" s="862" t="s">
        <v>2771</v>
      </c>
      <c r="C33" s="88"/>
      <c r="D33" s="935">
        <v>7000</v>
      </c>
      <c r="E33" s="935">
        <v>7000</v>
      </c>
      <c r="F33" s="935"/>
      <c r="G33" s="713" t="s">
        <v>2772</v>
      </c>
      <c r="H33" s="862" t="s">
        <v>2773</v>
      </c>
    </row>
    <row r="34" spans="1:8" ht="96" x14ac:dyDescent="0.2">
      <c r="A34" s="862" t="s">
        <v>2774</v>
      </c>
      <c r="B34" s="88" t="s">
        <v>2766</v>
      </c>
      <c r="C34" s="862" t="s">
        <v>2775</v>
      </c>
      <c r="D34" s="935">
        <v>6000</v>
      </c>
      <c r="E34" s="935">
        <v>7000</v>
      </c>
      <c r="F34" s="935"/>
      <c r="G34" s="713" t="s">
        <v>2772</v>
      </c>
      <c r="H34" s="862" t="s">
        <v>2776</v>
      </c>
    </row>
    <row r="35" spans="1:8" ht="120" x14ac:dyDescent="0.2">
      <c r="A35" s="862" t="s">
        <v>2777</v>
      </c>
      <c r="B35" s="88" t="s">
        <v>2766</v>
      </c>
      <c r="C35" s="862" t="s">
        <v>2778</v>
      </c>
      <c r="D35" s="935">
        <v>6000</v>
      </c>
      <c r="E35" s="935">
        <v>7000</v>
      </c>
      <c r="F35" s="935"/>
      <c r="G35" s="713" t="s">
        <v>2779</v>
      </c>
      <c r="H35" s="862" t="s">
        <v>2780</v>
      </c>
    </row>
    <row r="36" spans="1:8" x14ac:dyDescent="0.2">
      <c r="A36" s="713" t="s">
        <v>2781</v>
      </c>
      <c r="B36" s="88"/>
      <c r="C36" s="88"/>
      <c r="D36" s="935"/>
      <c r="E36" s="935"/>
      <c r="F36" s="935"/>
      <c r="G36" s="713"/>
      <c r="H36" s="88"/>
    </row>
    <row r="37" spans="1:8" ht="84" x14ac:dyDescent="0.2">
      <c r="A37" s="862" t="s">
        <v>2782</v>
      </c>
      <c r="B37" s="862" t="s">
        <v>2771</v>
      </c>
      <c r="C37" s="862"/>
      <c r="D37" s="935">
        <v>25000</v>
      </c>
      <c r="E37" s="935">
        <v>7000</v>
      </c>
      <c r="F37" s="935"/>
      <c r="G37" s="713" t="s">
        <v>2763</v>
      </c>
      <c r="H37" s="862" t="s">
        <v>2780</v>
      </c>
    </row>
    <row r="38" spans="1:8" ht="120" x14ac:dyDescent="0.2">
      <c r="A38" s="862" t="s">
        <v>2783</v>
      </c>
      <c r="B38" s="88"/>
      <c r="C38" s="862" t="s">
        <v>2784</v>
      </c>
      <c r="D38" s="935">
        <v>25000</v>
      </c>
      <c r="E38" s="935">
        <v>25000</v>
      </c>
      <c r="F38" s="935"/>
      <c r="G38" s="713" t="s">
        <v>2763</v>
      </c>
      <c r="H38" s="862" t="s">
        <v>2785</v>
      </c>
    </row>
    <row r="39" spans="1:8" ht="240" x14ac:dyDescent="0.2">
      <c r="A39" s="862" t="s">
        <v>2786</v>
      </c>
      <c r="B39" s="88"/>
      <c r="C39" s="862" t="s">
        <v>2787</v>
      </c>
      <c r="D39" s="935">
        <v>29900</v>
      </c>
      <c r="E39" s="935">
        <v>29900</v>
      </c>
      <c r="F39" s="935"/>
      <c r="G39" s="713" t="s">
        <v>2788</v>
      </c>
      <c r="H39" s="862" t="s">
        <v>2776</v>
      </c>
    </row>
    <row r="40" spans="1:8" ht="60" x14ac:dyDescent="0.2">
      <c r="A40" s="862" t="s">
        <v>2789</v>
      </c>
      <c r="B40" s="88"/>
      <c r="C40" s="88" t="s">
        <v>2790</v>
      </c>
      <c r="D40" s="935">
        <v>18000</v>
      </c>
      <c r="E40" s="935">
        <v>18000</v>
      </c>
      <c r="F40" s="935"/>
      <c r="G40" s="713" t="s">
        <v>2788</v>
      </c>
      <c r="H40" s="862" t="s">
        <v>2776</v>
      </c>
    </row>
    <row r="41" spans="1:8" ht="12" customHeight="1" x14ac:dyDescent="0.2">
      <c r="A41" s="980" t="s">
        <v>2791</v>
      </c>
      <c r="B41" s="980"/>
      <c r="C41" s="980"/>
      <c r="D41" s="989"/>
      <c r="E41" s="989"/>
      <c r="F41" s="989"/>
      <c r="G41" s="981"/>
      <c r="H41" s="980"/>
    </row>
    <row r="42" spans="1:8" ht="108" x14ac:dyDescent="0.2">
      <c r="A42" s="806" t="s">
        <v>2792</v>
      </c>
      <c r="B42" s="90" t="s">
        <v>2766</v>
      </c>
      <c r="C42" s="90">
        <v>46131222</v>
      </c>
      <c r="D42" s="935"/>
      <c r="E42" s="935" t="s">
        <v>2793</v>
      </c>
      <c r="F42" s="935"/>
      <c r="G42" s="416" t="s">
        <v>2794</v>
      </c>
      <c r="H42" s="88" t="s">
        <v>2795</v>
      </c>
    </row>
    <row r="43" spans="1:8" x14ac:dyDescent="0.2">
      <c r="A43" s="83"/>
      <c r="B43" s="86"/>
      <c r="C43" s="86"/>
      <c r="D43" s="737"/>
      <c r="E43" s="737"/>
      <c r="F43" s="737"/>
      <c r="G43" s="421"/>
      <c r="H43" s="694"/>
    </row>
    <row r="44" spans="1:8" ht="12" customHeight="1" x14ac:dyDescent="0.2">
      <c r="A44" s="980" t="s">
        <v>2796</v>
      </c>
      <c r="B44" s="980"/>
      <c r="C44" s="980"/>
      <c r="D44" s="989"/>
      <c r="E44" s="989"/>
      <c r="F44" s="989"/>
      <c r="G44" s="981"/>
      <c r="H44" s="980"/>
    </row>
    <row r="45" spans="1:8" ht="120" x14ac:dyDescent="0.2">
      <c r="A45" s="862" t="s">
        <v>2797</v>
      </c>
      <c r="B45" s="862" t="s">
        <v>2798</v>
      </c>
      <c r="C45" s="88" t="s">
        <v>2766</v>
      </c>
      <c r="D45" s="982">
        <v>130000</v>
      </c>
      <c r="E45" s="982"/>
      <c r="F45" s="935"/>
      <c r="G45" s="806" t="s">
        <v>2799</v>
      </c>
      <c r="H45" s="983" t="s">
        <v>2800</v>
      </c>
    </row>
    <row r="46" spans="1:8" ht="120" x14ac:dyDescent="0.2">
      <c r="A46" s="862" t="s">
        <v>2801</v>
      </c>
      <c r="B46" s="862" t="s">
        <v>2798</v>
      </c>
      <c r="C46" s="88" t="s">
        <v>2766</v>
      </c>
      <c r="D46" s="982">
        <v>122000</v>
      </c>
      <c r="E46" s="935"/>
      <c r="F46" s="935"/>
      <c r="G46" s="806" t="s">
        <v>2799</v>
      </c>
      <c r="H46" s="984" t="s">
        <v>2802</v>
      </c>
    </row>
    <row r="47" spans="1:8" ht="96" x14ac:dyDescent="0.2">
      <c r="A47" s="862" t="s">
        <v>2803</v>
      </c>
      <c r="B47" s="862" t="s">
        <v>2804</v>
      </c>
      <c r="C47" s="88" t="s">
        <v>2766</v>
      </c>
      <c r="D47" s="982">
        <v>158198</v>
      </c>
      <c r="E47" s="935"/>
      <c r="F47" s="935"/>
      <c r="G47" s="806" t="s">
        <v>2753</v>
      </c>
      <c r="H47" s="984" t="s">
        <v>2805</v>
      </c>
    </row>
    <row r="48" spans="1:8" ht="120" x14ac:dyDescent="0.2">
      <c r="A48" s="862" t="s">
        <v>2806</v>
      </c>
      <c r="B48" s="862"/>
      <c r="C48" s="862" t="s">
        <v>2807</v>
      </c>
      <c r="D48" s="982">
        <v>129869</v>
      </c>
      <c r="E48" s="935"/>
      <c r="F48" s="935"/>
      <c r="G48" s="806" t="s">
        <v>2753</v>
      </c>
      <c r="H48" s="984" t="s">
        <v>2802</v>
      </c>
    </row>
    <row r="49" spans="1:8" ht="108" x14ac:dyDescent="0.2">
      <c r="A49" s="862" t="s">
        <v>2808</v>
      </c>
      <c r="B49" s="88" t="s">
        <v>2766</v>
      </c>
      <c r="C49" s="862" t="s">
        <v>2809</v>
      </c>
      <c r="D49" s="935">
        <v>22715</v>
      </c>
      <c r="E49" s="935"/>
      <c r="F49" s="935"/>
      <c r="G49" s="806" t="s">
        <v>2746</v>
      </c>
      <c r="H49" s="984" t="s">
        <v>1443</v>
      </c>
    </row>
    <row r="50" spans="1:8" ht="96" x14ac:dyDescent="0.2">
      <c r="A50" s="862" t="s">
        <v>2810</v>
      </c>
      <c r="B50" s="862" t="s">
        <v>2811</v>
      </c>
      <c r="C50" s="88"/>
      <c r="D50" s="935">
        <v>34150</v>
      </c>
      <c r="E50" s="935"/>
      <c r="F50" s="935"/>
      <c r="G50" s="806" t="s">
        <v>2812</v>
      </c>
      <c r="H50" s="984" t="s">
        <v>2813</v>
      </c>
    </row>
    <row r="51" spans="1:8" ht="120" x14ac:dyDescent="0.2">
      <c r="A51" s="862" t="s">
        <v>2814</v>
      </c>
      <c r="B51" s="862"/>
      <c r="C51" s="862" t="s">
        <v>2815</v>
      </c>
      <c r="D51" s="935"/>
      <c r="E51" s="935">
        <v>227978</v>
      </c>
      <c r="F51" s="935"/>
      <c r="G51" s="806" t="s">
        <v>2753</v>
      </c>
      <c r="H51" s="984" t="s">
        <v>2802</v>
      </c>
    </row>
    <row r="52" spans="1:8" ht="108" x14ac:dyDescent="0.2">
      <c r="A52" s="862" t="s">
        <v>2816</v>
      </c>
      <c r="B52" s="88"/>
      <c r="C52" s="862" t="s">
        <v>2809</v>
      </c>
      <c r="D52" s="935"/>
      <c r="E52" s="935">
        <v>17400</v>
      </c>
      <c r="F52" s="935"/>
      <c r="G52" s="806" t="s">
        <v>2746</v>
      </c>
      <c r="H52" s="983" t="s">
        <v>2800</v>
      </c>
    </row>
    <row r="53" spans="1:8" ht="120" x14ac:dyDescent="0.2">
      <c r="A53" s="862" t="s">
        <v>2817</v>
      </c>
      <c r="B53" s="88"/>
      <c r="C53" s="862" t="s">
        <v>2818</v>
      </c>
      <c r="D53" s="935"/>
      <c r="E53" s="935">
        <v>32000</v>
      </c>
      <c r="F53" s="935"/>
      <c r="G53" s="806" t="s">
        <v>2746</v>
      </c>
      <c r="H53" s="984" t="s">
        <v>1443</v>
      </c>
    </row>
    <row r="54" spans="1:8" ht="96" x14ac:dyDescent="0.2">
      <c r="A54" s="862" t="s">
        <v>2819</v>
      </c>
      <c r="B54" s="88"/>
      <c r="C54" s="862" t="s">
        <v>2820</v>
      </c>
      <c r="D54" s="935"/>
      <c r="E54" s="935">
        <v>16100</v>
      </c>
      <c r="F54" s="935"/>
      <c r="G54" s="806" t="s">
        <v>2821</v>
      </c>
      <c r="H54" s="984" t="s">
        <v>1443</v>
      </c>
    </row>
    <row r="55" spans="1:8" ht="84" x14ac:dyDescent="0.2">
      <c r="A55" s="862" t="s">
        <v>2822</v>
      </c>
      <c r="B55" s="89"/>
      <c r="C55" s="862" t="s">
        <v>2820</v>
      </c>
      <c r="D55" s="935"/>
      <c r="E55" s="935">
        <v>15000</v>
      </c>
      <c r="F55" s="935"/>
      <c r="G55" s="806" t="s">
        <v>2821</v>
      </c>
      <c r="H55" s="984" t="s">
        <v>1443</v>
      </c>
    </row>
    <row r="56" spans="1:8" x14ac:dyDescent="0.2">
      <c r="A56" s="701" t="s">
        <v>2823</v>
      </c>
      <c r="B56" s="693"/>
      <c r="C56" s="693"/>
      <c r="D56" s="741">
        <f>SUM(D6:D55)</f>
        <v>1961816</v>
      </c>
      <c r="E56" s="741">
        <f>SUM(E6:E55)</f>
        <v>891995.38</v>
      </c>
      <c r="F56" s="741">
        <f>SUM(F6:F55)</f>
        <v>169000</v>
      </c>
      <c r="G56" s="712"/>
      <c r="H56" s="985"/>
    </row>
    <row r="57" spans="1:8" x14ac:dyDescent="0.2">
      <c r="A57" s="91"/>
    </row>
    <row r="58" spans="1:8" x14ac:dyDescent="0.2">
      <c r="A58" s="6" t="s">
        <v>2824</v>
      </c>
    </row>
    <row r="59" spans="1:8" x14ac:dyDescent="0.2">
      <c r="A59" s="1" t="s">
        <v>2825</v>
      </c>
    </row>
  </sheetData>
  <mergeCells count="6">
    <mergeCell ref="A1:H1"/>
    <mergeCell ref="B4:B5"/>
    <mergeCell ref="H4:H5"/>
    <mergeCell ref="A4:A5"/>
    <mergeCell ref="G4:G5"/>
    <mergeCell ref="C4:C5"/>
  </mergeCells>
  <phoneticPr fontId="0" type="noConversion"/>
  <printOptions horizontalCentered="1"/>
  <pageMargins left="0.23622047244094491" right="0.31496062992125984" top="0.74803149606299213" bottom="0.74803149606299213" header="0.31496062992125984" footer="0.31496062992125984"/>
  <pageSetup paperSize="9" scale="68"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V404"/>
  <sheetViews>
    <sheetView zoomScaleNormal="100" zoomScaleSheetLayoutView="100" zoomScalePageLayoutView="85" workbookViewId="0">
      <selection activeCell="C36" sqref="C36"/>
    </sheetView>
  </sheetViews>
  <sheetFormatPr baseColWidth="10" defaultColWidth="11.42578125" defaultRowHeight="12" x14ac:dyDescent="0.2"/>
  <cols>
    <col min="1" max="1" width="48.85546875" style="1000" customWidth="1"/>
    <col min="2" max="2" width="39" style="1013" customWidth="1"/>
    <col min="3" max="3" width="35.42578125" style="35" customWidth="1"/>
    <col min="4" max="4" width="17.85546875" style="1013" customWidth="1"/>
    <col min="5" max="6" width="15.5703125" style="35" customWidth="1"/>
    <col min="7" max="8" width="15.5703125" style="412" customWidth="1"/>
    <col min="9" max="16384" width="11.42578125" style="35"/>
  </cols>
  <sheetData>
    <row r="1" spans="1:22" s="92" customFormat="1" ht="18" x14ac:dyDescent="0.25">
      <c r="A1" s="1516" t="s">
        <v>2826</v>
      </c>
      <c r="B1" s="1516"/>
      <c r="C1" s="1516"/>
      <c r="D1" s="1516"/>
      <c r="E1" s="1516"/>
      <c r="F1" s="1516"/>
      <c r="G1" s="1516"/>
      <c r="H1" s="1516"/>
    </row>
    <row r="2" spans="1:22" ht="18" customHeight="1" x14ac:dyDescent="0.2">
      <c r="A2" s="1443" t="s">
        <v>2827</v>
      </c>
      <c r="B2" s="1443"/>
      <c r="C2" s="91"/>
      <c r="D2" s="913"/>
      <c r="E2" s="912"/>
      <c r="F2" s="91"/>
      <c r="G2" s="306"/>
      <c r="H2" s="306"/>
      <c r="I2" s="2"/>
      <c r="J2" s="2"/>
      <c r="K2" s="2"/>
      <c r="L2" s="2"/>
      <c r="M2" s="2"/>
      <c r="N2" s="2"/>
      <c r="O2" s="2"/>
      <c r="P2" s="2"/>
      <c r="Q2" s="2"/>
      <c r="R2" s="2"/>
      <c r="S2" s="2"/>
      <c r="T2" s="2"/>
      <c r="U2" s="2"/>
      <c r="V2" s="2"/>
    </row>
    <row r="3" spans="1:22" ht="12.75" thickBot="1" x14ac:dyDescent="0.25">
      <c r="C3" s="93"/>
      <c r="E3" s="93"/>
      <c r="F3" s="94"/>
    </row>
    <row r="4" spans="1:22" ht="19.5" customHeight="1" thickBot="1" x14ac:dyDescent="0.25">
      <c r="A4" s="1521" t="s">
        <v>2828</v>
      </c>
      <c r="B4" s="1519" t="s">
        <v>2829</v>
      </c>
      <c r="C4" s="1517" t="s">
        <v>2830</v>
      </c>
      <c r="D4" s="1518"/>
      <c r="E4" s="1518"/>
      <c r="F4" s="1518"/>
      <c r="G4" s="1518"/>
      <c r="H4" s="1518"/>
    </row>
    <row r="5" spans="1:22" s="96" customFormat="1" ht="25.5" customHeight="1" thickBot="1" x14ac:dyDescent="0.25">
      <c r="A5" s="1522"/>
      <c r="B5" s="1520"/>
      <c r="C5" s="992" t="s">
        <v>2831</v>
      </c>
      <c r="D5" s="1031" t="s">
        <v>2832</v>
      </c>
      <c r="E5" s="993" t="s">
        <v>2833</v>
      </c>
      <c r="F5" s="994" t="s">
        <v>2834</v>
      </c>
      <c r="G5" s="995" t="s">
        <v>2835</v>
      </c>
      <c r="H5" s="995" t="s">
        <v>2836</v>
      </c>
      <c r="I5" s="95"/>
    </row>
    <row r="6" spans="1:22" x14ac:dyDescent="0.2">
      <c r="A6" s="1025" t="s">
        <v>2837</v>
      </c>
      <c r="B6" s="1026"/>
      <c r="C6" s="1027"/>
      <c r="D6" s="1032"/>
      <c r="E6" s="1028"/>
      <c r="F6" s="1029"/>
      <c r="G6" s="1030"/>
      <c r="H6" s="1030"/>
    </row>
    <row r="7" spans="1:22" x14ac:dyDescent="0.2">
      <c r="A7" s="1001" t="s">
        <v>308</v>
      </c>
      <c r="B7" s="1014" t="s">
        <v>2838</v>
      </c>
      <c r="C7" s="97" t="s">
        <v>2839</v>
      </c>
      <c r="D7" s="1033" t="s">
        <v>2840</v>
      </c>
      <c r="E7" s="98" t="s">
        <v>2841</v>
      </c>
      <c r="F7" s="99" t="s">
        <v>2842</v>
      </c>
      <c r="G7" s="100"/>
      <c r="H7" s="100"/>
    </row>
    <row r="8" spans="1:22" x14ac:dyDescent="0.2">
      <c r="A8" s="1002"/>
      <c r="B8" s="1014"/>
      <c r="C8" s="101"/>
      <c r="D8" s="1034"/>
      <c r="E8" s="102"/>
      <c r="F8" s="99"/>
      <c r="G8" s="100"/>
      <c r="H8" s="100"/>
    </row>
    <row r="9" spans="1:22" x14ac:dyDescent="0.2">
      <c r="A9" s="1001" t="s">
        <v>2843</v>
      </c>
      <c r="B9" s="1014"/>
      <c r="C9" s="101"/>
      <c r="D9" s="1034"/>
      <c r="E9" s="102"/>
      <c r="F9" s="99"/>
      <c r="G9" s="100"/>
      <c r="H9" s="100"/>
    </row>
    <row r="10" spans="1:22" x14ac:dyDescent="0.2">
      <c r="A10" s="1003" t="s">
        <v>2844</v>
      </c>
      <c r="B10" s="1014" t="s">
        <v>2838</v>
      </c>
      <c r="C10" s="97" t="s">
        <v>2839</v>
      </c>
      <c r="D10" s="1033" t="s">
        <v>2845</v>
      </c>
      <c r="E10" s="103" t="s">
        <v>2846</v>
      </c>
      <c r="F10" s="99" t="s">
        <v>2842</v>
      </c>
      <c r="G10" s="100">
        <v>116.35</v>
      </c>
      <c r="H10" s="100">
        <v>116.35</v>
      </c>
    </row>
    <row r="11" spans="1:22" x14ac:dyDescent="0.2">
      <c r="A11" s="1003" t="s">
        <v>2844</v>
      </c>
      <c r="B11" s="1014" t="s">
        <v>2838</v>
      </c>
      <c r="C11" s="97" t="s">
        <v>2839</v>
      </c>
      <c r="D11" s="1033" t="s">
        <v>2847</v>
      </c>
      <c r="E11" s="103" t="s">
        <v>2848</v>
      </c>
      <c r="F11" s="99" t="s">
        <v>2842</v>
      </c>
      <c r="G11" s="100">
        <v>8</v>
      </c>
      <c r="H11" s="100">
        <v>8</v>
      </c>
    </row>
    <row r="12" spans="1:22" x14ac:dyDescent="0.2">
      <c r="A12" s="1003" t="s">
        <v>2849</v>
      </c>
      <c r="B12" s="1014" t="s">
        <v>2838</v>
      </c>
      <c r="C12" s="97" t="s">
        <v>2839</v>
      </c>
      <c r="D12" s="1033" t="s">
        <v>2850</v>
      </c>
      <c r="E12" s="103" t="s">
        <v>2851</v>
      </c>
      <c r="F12" s="99" t="s">
        <v>2842</v>
      </c>
      <c r="G12" s="100">
        <v>182</v>
      </c>
      <c r="H12" s="100">
        <v>11538.82</v>
      </c>
    </row>
    <row r="13" spans="1:22" x14ac:dyDescent="0.2">
      <c r="A13" s="1003" t="s">
        <v>2849</v>
      </c>
      <c r="B13" s="1014" t="s">
        <v>2838</v>
      </c>
      <c r="C13" s="97" t="s">
        <v>2839</v>
      </c>
      <c r="D13" s="1033" t="s">
        <v>2852</v>
      </c>
      <c r="E13" s="103" t="s">
        <v>2851</v>
      </c>
      <c r="F13" s="99" t="s">
        <v>2842</v>
      </c>
      <c r="G13" s="100">
        <v>3.63</v>
      </c>
      <c r="H13" s="100">
        <v>3.63</v>
      </c>
    </row>
    <row r="14" spans="1:22" x14ac:dyDescent="0.2">
      <c r="A14" s="1003" t="s">
        <v>2849</v>
      </c>
      <c r="B14" s="1014" t="s">
        <v>2838</v>
      </c>
      <c r="C14" s="97" t="s">
        <v>2839</v>
      </c>
      <c r="D14" s="1033" t="s">
        <v>2853</v>
      </c>
      <c r="E14" s="103" t="s">
        <v>2851</v>
      </c>
      <c r="F14" s="99" t="s">
        <v>2842</v>
      </c>
      <c r="G14" s="100">
        <v>3.7</v>
      </c>
      <c r="H14" s="100">
        <v>3.7</v>
      </c>
    </row>
    <row r="15" spans="1:22" x14ac:dyDescent="0.2">
      <c r="A15" s="1003" t="s">
        <v>2849</v>
      </c>
      <c r="B15" s="1014" t="s">
        <v>2838</v>
      </c>
      <c r="C15" s="97" t="s">
        <v>2839</v>
      </c>
      <c r="D15" s="1033" t="s">
        <v>2854</v>
      </c>
      <c r="E15" s="103" t="s">
        <v>2851</v>
      </c>
      <c r="F15" s="99" t="s">
        <v>2842</v>
      </c>
      <c r="G15" s="100">
        <v>2.44</v>
      </c>
      <c r="H15" s="100">
        <v>2.44</v>
      </c>
    </row>
    <row r="16" spans="1:22" x14ac:dyDescent="0.2">
      <c r="A16" s="1003" t="s">
        <v>2849</v>
      </c>
      <c r="B16" s="1014" t="s">
        <v>2838</v>
      </c>
      <c r="C16" s="97" t="s">
        <v>2839</v>
      </c>
      <c r="D16" s="1033" t="s">
        <v>2855</v>
      </c>
      <c r="E16" s="103" t="s">
        <v>2851</v>
      </c>
      <c r="F16" s="99" t="s">
        <v>2842</v>
      </c>
      <c r="G16" s="100">
        <v>36.79</v>
      </c>
      <c r="H16" s="100">
        <v>36.79</v>
      </c>
    </row>
    <row r="17" spans="1:8" x14ac:dyDescent="0.2">
      <c r="A17" s="1003" t="s">
        <v>2849</v>
      </c>
      <c r="B17" s="1014" t="s">
        <v>2838</v>
      </c>
      <c r="C17" s="97" t="s">
        <v>2839</v>
      </c>
      <c r="D17" s="1033" t="s">
        <v>2856</v>
      </c>
      <c r="E17" s="103" t="s">
        <v>2857</v>
      </c>
      <c r="F17" s="99" t="s">
        <v>2858</v>
      </c>
      <c r="G17" s="100">
        <v>0.41</v>
      </c>
      <c r="H17" s="100">
        <v>0.41</v>
      </c>
    </row>
    <row r="18" spans="1:8" x14ac:dyDescent="0.2">
      <c r="A18" s="1003" t="s">
        <v>2849</v>
      </c>
      <c r="B18" s="1014" t="s">
        <v>2838</v>
      </c>
      <c r="C18" s="97" t="s">
        <v>2839</v>
      </c>
      <c r="D18" s="1033" t="s">
        <v>2859</v>
      </c>
      <c r="E18" s="103" t="s">
        <v>2857</v>
      </c>
      <c r="F18" s="99" t="s">
        <v>2858</v>
      </c>
      <c r="G18" s="100">
        <v>0</v>
      </c>
      <c r="H18" s="100">
        <v>0</v>
      </c>
    </row>
    <row r="19" spans="1:8" x14ac:dyDescent="0.2">
      <c r="A19" s="1003"/>
      <c r="B19" s="1014"/>
      <c r="C19" s="97"/>
      <c r="D19" s="1035"/>
      <c r="E19" s="103"/>
      <c r="F19" s="99"/>
      <c r="G19" s="100"/>
      <c r="H19" s="100"/>
    </row>
    <row r="20" spans="1:8" x14ac:dyDescent="0.2">
      <c r="A20" s="1004" t="s">
        <v>2860</v>
      </c>
      <c r="B20" s="1014"/>
      <c r="C20" s="97"/>
      <c r="D20" s="1035"/>
      <c r="E20" s="103"/>
      <c r="F20" s="99"/>
      <c r="G20" s="100"/>
      <c r="H20" s="100"/>
    </row>
    <row r="21" spans="1:8" x14ac:dyDescent="0.2">
      <c r="A21" s="1003" t="s">
        <v>2861</v>
      </c>
      <c r="B21" s="1014" t="s">
        <v>2838</v>
      </c>
      <c r="C21" s="97" t="s">
        <v>2839</v>
      </c>
      <c r="D21" s="1033" t="s">
        <v>2840</v>
      </c>
      <c r="E21" s="103" t="s">
        <v>2862</v>
      </c>
      <c r="F21" s="99" t="s">
        <v>2842</v>
      </c>
      <c r="G21" s="100">
        <v>0</v>
      </c>
      <c r="H21" s="100">
        <v>729.49</v>
      </c>
    </row>
    <row r="22" spans="1:8" x14ac:dyDescent="0.2">
      <c r="A22" s="1002"/>
      <c r="B22" s="1014"/>
      <c r="C22" s="101"/>
      <c r="D22" s="1034"/>
      <c r="E22" s="102"/>
      <c r="F22" s="99"/>
      <c r="G22" s="100"/>
      <c r="H22" s="100"/>
    </row>
    <row r="23" spans="1:8" x14ac:dyDescent="0.2">
      <c r="A23" s="1001" t="s">
        <v>2863</v>
      </c>
      <c r="B23" s="1014"/>
      <c r="C23" s="101"/>
      <c r="D23" s="1034"/>
      <c r="E23" s="102"/>
      <c r="F23" s="99"/>
      <c r="G23" s="100"/>
      <c r="H23" s="100"/>
    </row>
    <row r="24" spans="1:8" x14ac:dyDescent="0.2">
      <c r="A24" s="1001"/>
      <c r="B24" s="1014"/>
      <c r="C24" s="101"/>
      <c r="D24" s="1034"/>
      <c r="E24" s="102"/>
      <c r="F24" s="99"/>
      <c r="G24" s="100"/>
      <c r="H24" s="100"/>
    </row>
    <row r="25" spans="1:8" x14ac:dyDescent="0.2">
      <c r="A25" s="1004" t="s">
        <v>2860</v>
      </c>
      <c r="B25" s="1014"/>
      <c r="C25" s="101"/>
      <c r="D25" s="1034"/>
      <c r="E25" s="102"/>
      <c r="F25" s="99"/>
      <c r="G25" s="100"/>
      <c r="H25" s="100"/>
    </row>
    <row r="26" spans="1:8" x14ac:dyDescent="0.2">
      <c r="A26" s="1003" t="s">
        <v>2864</v>
      </c>
      <c r="B26" s="1014" t="s">
        <v>2838</v>
      </c>
      <c r="C26" s="97" t="s">
        <v>2839</v>
      </c>
      <c r="D26" s="1033" t="s">
        <v>2840</v>
      </c>
      <c r="E26" s="98" t="s">
        <v>2865</v>
      </c>
      <c r="F26" s="99" t="s">
        <v>2842</v>
      </c>
      <c r="G26" s="100">
        <v>23227806.149999999</v>
      </c>
      <c r="H26" s="100">
        <v>14229979.050000001</v>
      </c>
    </row>
    <row r="27" spans="1:8" x14ac:dyDescent="0.2">
      <c r="A27" s="1003" t="s">
        <v>2866</v>
      </c>
      <c r="B27" s="1014" t="s">
        <v>2838</v>
      </c>
      <c r="C27" s="97" t="s">
        <v>2839</v>
      </c>
      <c r="D27" s="1033" t="s">
        <v>2840</v>
      </c>
      <c r="E27" s="98" t="s">
        <v>2865</v>
      </c>
      <c r="F27" s="99" t="s">
        <v>2842</v>
      </c>
      <c r="G27" s="100">
        <v>294333.78000000003</v>
      </c>
      <c r="H27" s="100">
        <v>294333.78000000003</v>
      </c>
    </row>
    <row r="28" spans="1:8" ht="24" x14ac:dyDescent="0.2">
      <c r="A28" s="1003" t="s">
        <v>2867</v>
      </c>
      <c r="B28" s="1014" t="s">
        <v>2838</v>
      </c>
      <c r="C28" s="97" t="s">
        <v>2839</v>
      </c>
      <c r="D28" s="1033" t="s">
        <v>2840</v>
      </c>
      <c r="E28" s="98" t="s">
        <v>2868</v>
      </c>
      <c r="F28" s="99" t="s">
        <v>2842</v>
      </c>
      <c r="G28" s="100">
        <v>55.97</v>
      </c>
      <c r="H28" s="100">
        <v>55.97</v>
      </c>
    </row>
    <row r="29" spans="1:8" x14ac:dyDescent="0.2">
      <c r="A29" s="1003" t="s">
        <v>2869</v>
      </c>
      <c r="B29" s="1014" t="s">
        <v>2838</v>
      </c>
      <c r="C29" s="97" t="s">
        <v>2839</v>
      </c>
      <c r="D29" s="1033" t="s">
        <v>2840</v>
      </c>
      <c r="E29" s="98" t="s">
        <v>2870</v>
      </c>
      <c r="F29" s="99" t="s">
        <v>2842</v>
      </c>
      <c r="G29" s="100">
        <v>7505.54</v>
      </c>
      <c r="H29" s="100">
        <v>7505.54</v>
      </c>
    </row>
    <row r="30" spans="1:8" x14ac:dyDescent="0.2">
      <c r="A30" s="1003" t="s">
        <v>2871</v>
      </c>
      <c r="B30" s="1014" t="s">
        <v>2838</v>
      </c>
      <c r="C30" s="97" t="s">
        <v>2839</v>
      </c>
      <c r="D30" s="1033" t="s">
        <v>2840</v>
      </c>
      <c r="E30" s="98" t="s">
        <v>2872</v>
      </c>
      <c r="F30" s="99" t="s">
        <v>2842</v>
      </c>
      <c r="G30" s="100">
        <v>0</v>
      </c>
      <c r="H30" s="100">
        <f>2093984-112485.6</f>
        <v>1981498.4</v>
      </c>
    </row>
    <row r="31" spans="1:8" x14ac:dyDescent="0.2">
      <c r="A31" s="1003" t="s">
        <v>2873</v>
      </c>
      <c r="B31" s="1014" t="s">
        <v>2838</v>
      </c>
      <c r="C31" s="97" t="s">
        <v>2839</v>
      </c>
      <c r="D31" s="1033" t="s">
        <v>2840</v>
      </c>
      <c r="E31" s="98" t="s">
        <v>2874</v>
      </c>
      <c r="F31" s="99" t="s">
        <v>2842</v>
      </c>
      <c r="G31" s="100">
        <v>0</v>
      </c>
      <c r="H31" s="100">
        <v>2195854</v>
      </c>
    </row>
    <row r="32" spans="1:8" x14ac:dyDescent="0.2">
      <c r="A32" s="1002"/>
      <c r="B32" s="1014"/>
      <c r="C32" s="101"/>
      <c r="D32" s="1034"/>
      <c r="E32" s="102"/>
      <c r="F32" s="99"/>
      <c r="G32" s="100"/>
      <c r="H32" s="100"/>
    </row>
    <row r="33" spans="1:8" x14ac:dyDescent="0.2">
      <c r="A33" s="1001" t="s">
        <v>312</v>
      </c>
      <c r="B33" s="1014"/>
      <c r="C33" s="101"/>
      <c r="D33" s="1034"/>
      <c r="E33" s="102"/>
      <c r="F33" s="99"/>
      <c r="G33" s="100"/>
      <c r="H33" s="100"/>
    </row>
    <row r="34" spans="1:8" x14ac:dyDescent="0.2">
      <c r="A34" s="1003" t="s">
        <v>2875</v>
      </c>
      <c r="B34" s="1014" t="s">
        <v>2838</v>
      </c>
      <c r="C34" s="97" t="s">
        <v>2839</v>
      </c>
      <c r="D34" s="1033" t="s">
        <v>2876</v>
      </c>
      <c r="E34" s="98" t="s">
        <v>2877</v>
      </c>
      <c r="F34" s="99" t="s">
        <v>2842</v>
      </c>
      <c r="G34" s="100">
        <v>12.05</v>
      </c>
      <c r="H34" s="100">
        <v>12.05</v>
      </c>
    </row>
    <row r="35" spans="1:8" x14ac:dyDescent="0.2">
      <c r="A35" s="1003" t="s">
        <v>2875</v>
      </c>
      <c r="B35" s="1014" t="s">
        <v>2838</v>
      </c>
      <c r="C35" s="97" t="s">
        <v>2839</v>
      </c>
      <c r="D35" s="1033" t="s">
        <v>2878</v>
      </c>
      <c r="E35" s="98" t="s">
        <v>2879</v>
      </c>
      <c r="F35" s="99" t="s">
        <v>2842</v>
      </c>
      <c r="G35" s="100">
        <v>0.11</v>
      </c>
      <c r="H35" s="100">
        <v>0.11</v>
      </c>
    </row>
    <row r="36" spans="1:8" x14ac:dyDescent="0.2">
      <c r="A36" s="1003" t="s">
        <v>2875</v>
      </c>
      <c r="B36" s="1014" t="s">
        <v>2838</v>
      </c>
      <c r="C36" s="97" t="s">
        <v>2839</v>
      </c>
      <c r="D36" s="1033" t="s">
        <v>2880</v>
      </c>
      <c r="E36" s="98" t="s">
        <v>2881</v>
      </c>
      <c r="F36" s="99" t="s">
        <v>2842</v>
      </c>
      <c r="G36" s="100">
        <v>0.01</v>
      </c>
      <c r="H36" s="100">
        <v>0.01</v>
      </c>
    </row>
    <row r="37" spans="1:8" x14ac:dyDescent="0.2">
      <c r="A37" s="1003" t="s">
        <v>2875</v>
      </c>
      <c r="B37" s="1014" t="s">
        <v>2838</v>
      </c>
      <c r="C37" s="97" t="s">
        <v>2839</v>
      </c>
      <c r="D37" s="1033" t="s">
        <v>2882</v>
      </c>
      <c r="E37" s="98" t="s">
        <v>2883</v>
      </c>
      <c r="F37" s="99" t="s">
        <v>2842</v>
      </c>
      <c r="G37" s="100">
        <v>5</v>
      </c>
      <c r="H37" s="100">
        <v>5</v>
      </c>
    </row>
    <row r="38" spans="1:8" x14ac:dyDescent="0.2">
      <c r="A38" s="1002"/>
      <c r="B38" s="1014"/>
      <c r="C38" s="101"/>
      <c r="D38" s="1034"/>
      <c r="E38" s="102"/>
      <c r="F38" s="99"/>
      <c r="G38" s="100"/>
      <c r="H38" s="100"/>
    </row>
    <row r="39" spans="1:8" x14ac:dyDescent="0.2">
      <c r="A39" s="1004" t="s">
        <v>2860</v>
      </c>
      <c r="B39" s="1014"/>
      <c r="C39" s="101"/>
      <c r="D39" s="1034"/>
      <c r="E39" s="102"/>
      <c r="F39" s="99"/>
      <c r="G39" s="100"/>
      <c r="H39" s="100"/>
    </row>
    <row r="40" spans="1:8" ht="24" x14ac:dyDescent="0.2">
      <c r="A40" s="1003" t="s">
        <v>2884</v>
      </c>
      <c r="B40" s="1014" t="s">
        <v>2838</v>
      </c>
      <c r="C40" s="97" t="s">
        <v>2839</v>
      </c>
      <c r="D40" s="1033" t="s">
        <v>2840</v>
      </c>
      <c r="E40" s="98" t="s">
        <v>2885</v>
      </c>
      <c r="F40" s="99" t="s">
        <v>2842</v>
      </c>
      <c r="G40" s="100">
        <v>88968.33</v>
      </c>
      <c r="H40" s="100">
        <v>99479.21</v>
      </c>
    </row>
    <row r="41" spans="1:8" ht="24" x14ac:dyDescent="0.2">
      <c r="A41" s="1003" t="s">
        <v>2886</v>
      </c>
      <c r="B41" s="1014" t="s">
        <v>2838</v>
      </c>
      <c r="C41" s="97" t="s">
        <v>2839</v>
      </c>
      <c r="D41" s="1033" t="s">
        <v>2840</v>
      </c>
      <c r="E41" s="98" t="s">
        <v>2868</v>
      </c>
      <c r="F41" s="99" t="s">
        <v>2842</v>
      </c>
      <c r="G41" s="100">
        <v>770036.6</v>
      </c>
      <c r="H41" s="100">
        <f>864770.54+10000+111159.5+6250+5400+3120-700-2400+1000+538+1410.74</f>
        <v>1000548.78</v>
      </c>
    </row>
    <row r="42" spans="1:8" ht="24" x14ac:dyDescent="0.2">
      <c r="A42" s="1003" t="s">
        <v>2887</v>
      </c>
      <c r="B42" s="1014" t="s">
        <v>2838</v>
      </c>
      <c r="C42" s="97" t="s">
        <v>2839</v>
      </c>
      <c r="D42" s="1033" t="s">
        <v>2840</v>
      </c>
      <c r="E42" s="98" t="s">
        <v>2888</v>
      </c>
      <c r="F42" s="99" t="s">
        <v>2842</v>
      </c>
      <c r="G42" s="100">
        <v>2851</v>
      </c>
      <c r="H42" s="100">
        <v>2851</v>
      </c>
    </row>
    <row r="43" spans="1:8" ht="24" x14ac:dyDescent="0.2">
      <c r="A43" s="1003" t="s">
        <v>2889</v>
      </c>
      <c r="B43" s="1014" t="s">
        <v>2838</v>
      </c>
      <c r="C43" s="97" t="s">
        <v>2839</v>
      </c>
      <c r="D43" s="1033" t="s">
        <v>2840</v>
      </c>
      <c r="E43" s="98" t="s">
        <v>2890</v>
      </c>
      <c r="F43" s="99" t="s">
        <v>2842</v>
      </c>
      <c r="G43" s="100">
        <v>52965.84</v>
      </c>
      <c r="H43" s="100">
        <v>52965.84</v>
      </c>
    </row>
    <row r="44" spans="1:8" x14ac:dyDescent="0.2">
      <c r="A44" s="1002"/>
      <c r="B44" s="1014"/>
      <c r="C44" s="101"/>
      <c r="D44" s="1034"/>
      <c r="E44" s="102"/>
      <c r="F44" s="99"/>
      <c r="G44" s="100"/>
      <c r="H44" s="100"/>
    </row>
    <row r="45" spans="1:8" x14ac:dyDescent="0.2">
      <c r="A45" s="1001" t="s">
        <v>313</v>
      </c>
      <c r="B45" s="1014"/>
      <c r="C45" s="101"/>
      <c r="D45" s="1034"/>
      <c r="E45" s="102"/>
      <c r="F45" s="99"/>
      <c r="G45" s="100"/>
      <c r="H45" s="100"/>
    </row>
    <row r="46" spans="1:8" x14ac:dyDescent="0.2">
      <c r="A46" s="1003" t="s">
        <v>2891</v>
      </c>
      <c r="B46" s="1014" t="s">
        <v>2838</v>
      </c>
      <c r="C46" s="97" t="s">
        <v>2839</v>
      </c>
      <c r="D46" s="1033" t="s">
        <v>2840</v>
      </c>
      <c r="E46" s="98" t="s">
        <v>2892</v>
      </c>
      <c r="F46" s="99" t="s">
        <v>2842</v>
      </c>
      <c r="G46" s="100">
        <v>0</v>
      </c>
      <c r="H46" s="100">
        <v>4316146.2699999996</v>
      </c>
    </row>
    <row r="47" spans="1:8" x14ac:dyDescent="0.2">
      <c r="A47" s="1003" t="s">
        <v>2893</v>
      </c>
      <c r="B47" s="1014" t="s">
        <v>2838</v>
      </c>
      <c r="C47" s="97" t="s">
        <v>2839</v>
      </c>
      <c r="D47" s="1033" t="s">
        <v>2840</v>
      </c>
      <c r="E47" s="98" t="s">
        <v>2894</v>
      </c>
      <c r="F47" s="99" t="s">
        <v>2842</v>
      </c>
      <c r="G47" s="100">
        <v>14769.22</v>
      </c>
      <c r="H47" s="100">
        <v>14780.28</v>
      </c>
    </row>
    <row r="48" spans="1:8" x14ac:dyDescent="0.2">
      <c r="A48" s="1003" t="s">
        <v>2895</v>
      </c>
      <c r="B48" s="1014" t="s">
        <v>2838</v>
      </c>
      <c r="C48" s="97" t="s">
        <v>2839</v>
      </c>
      <c r="D48" s="1033" t="s">
        <v>2840</v>
      </c>
      <c r="E48" s="98" t="s">
        <v>2896</v>
      </c>
      <c r="F48" s="99" t="s">
        <v>2842</v>
      </c>
      <c r="G48" s="100">
        <v>302404.67</v>
      </c>
      <c r="H48" s="100">
        <v>302404.67</v>
      </c>
    </row>
    <row r="49" spans="1:8" x14ac:dyDescent="0.2">
      <c r="A49" s="1003" t="s">
        <v>2897</v>
      </c>
      <c r="B49" s="1014" t="s">
        <v>2838</v>
      </c>
      <c r="C49" s="97" t="s">
        <v>2839</v>
      </c>
      <c r="D49" s="1033" t="s">
        <v>2840</v>
      </c>
      <c r="E49" s="98" t="s">
        <v>2898</v>
      </c>
      <c r="F49" s="99" t="s">
        <v>2842</v>
      </c>
      <c r="G49" s="100">
        <v>1339661.75</v>
      </c>
      <c r="H49" s="100">
        <v>2060960.82</v>
      </c>
    </row>
    <row r="50" spans="1:8" x14ac:dyDescent="0.2">
      <c r="A50" s="1003" t="s">
        <v>2899</v>
      </c>
      <c r="B50" s="1014" t="s">
        <v>2838</v>
      </c>
      <c r="C50" s="97" t="s">
        <v>2839</v>
      </c>
      <c r="D50" s="1033" t="s">
        <v>2840</v>
      </c>
      <c r="E50" s="98" t="s">
        <v>2898</v>
      </c>
      <c r="F50" s="99" t="s">
        <v>2842</v>
      </c>
      <c r="G50" s="100">
        <v>114279.35</v>
      </c>
      <c r="H50" s="100">
        <v>114365.12</v>
      </c>
    </row>
    <row r="51" spans="1:8" x14ac:dyDescent="0.2">
      <c r="A51" s="1003" t="s">
        <v>2900</v>
      </c>
      <c r="B51" s="1014" t="s">
        <v>2838</v>
      </c>
      <c r="C51" s="97" t="s">
        <v>2839</v>
      </c>
      <c r="D51" s="1033" t="s">
        <v>2840</v>
      </c>
      <c r="E51" s="98" t="s">
        <v>2901</v>
      </c>
      <c r="F51" s="99" t="s">
        <v>2842</v>
      </c>
      <c r="G51" s="100">
        <v>0</v>
      </c>
      <c r="H51" s="100">
        <v>0</v>
      </c>
    </row>
    <row r="52" spans="1:8" x14ac:dyDescent="0.2">
      <c r="A52" s="1003" t="s">
        <v>2902</v>
      </c>
      <c r="B52" s="1014" t="s">
        <v>2838</v>
      </c>
      <c r="C52" s="97" t="s">
        <v>2839</v>
      </c>
      <c r="D52" s="1033" t="s">
        <v>2840</v>
      </c>
      <c r="E52" s="98" t="s">
        <v>2885</v>
      </c>
      <c r="F52" s="99" t="s">
        <v>2842</v>
      </c>
      <c r="G52" s="100">
        <v>431226.8</v>
      </c>
      <c r="H52" s="100">
        <v>546272.30000000005</v>
      </c>
    </row>
    <row r="53" spans="1:8" x14ac:dyDescent="0.2">
      <c r="A53" s="1003" t="s">
        <v>2903</v>
      </c>
      <c r="B53" s="1014" t="s">
        <v>2838</v>
      </c>
      <c r="C53" s="97" t="s">
        <v>2839</v>
      </c>
      <c r="D53" s="1033" t="s">
        <v>2840</v>
      </c>
      <c r="E53" s="98" t="s">
        <v>2904</v>
      </c>
      <c r="F53" s="99" t="s">
        <v>2842</v>
      </c>
      <c r="G53" s="100">
        <v>0</v>
      </c>
      <c r="H53" s="100">
        <v>438115</v>
      </c>
    </row>
    <row r="54" spans="1:8" x14ac:dyDescent="0.2">
      <c r="A54" s="1003" t="s">
        <v>2905</v>
      </c>
      <c r="B54" s="1014" t="s">
        <v>2838</v>
      </c>
      <c r="C54" s="97" t="s">
        <v>2839</v>
      </c>
      <c r="D54" s="1033" t="s">
        <v>2840</v>
      </c>
      <c r="E54" s="98" t="s">
        <v>2906</v>
      </c>
      <c r="F54" s="99" t="s">
        <v>2842</v>
      </c>
      <c r="G54" s="100">
        <v>0</v>
      </c>
      <c r="H54" s="100">
        <v>5610310.0700000003</v>
      </c>
    </row>
    <row r="55" spans="1:8" x14ac:dyDescent="0.2">
      <c r="A55" s="1003" t="s">
        <v>2907</v>
      </c>
      <c r="B55" s="1014" t="s">
        <v>2838</v>
      </c>
      <c r="C55" s="97" t="s">
        <v>2839</v>
      </c>
      <c r="D55" s="1033" t="s">
        <v>2840</v>
      </c>
      <c r="E55" s="98" t="s">
        <v>2908</v>
      </c>
      <c r="F55" s="99" t="s">
        <v>2842</v>
      </c>
      <c r="G55" s="100">
        <v>40.83</v>
      </c>
      <c r="H55" s="100">
        <v>40.83</v>
      </c>
    </row>
    <row r="56" spans="1:8" x14ac:dyDescent="0.2">
      <c r="A56" s="1002"/>
      <c r="B56" s="1014"/>
      <c r="C56" s="101"/>
      <c r="D56" s="1034"/>
      <c r="E56" s="102"/>
      <c r="F56" s="99"/>
      <c r="G56" s="100"/>
      <c r="H56" s="100"/>
    </row>
    <row r="57" spans="1:8" x14ac:dyDescent="0.2">
      <c r="A57" s="1001" t="s">
        <v>2909</v>
      </c>
      <c r="B57" s="1014"/>
      <c r="C57" s="101"/>
      <c r="D57" s="1034"/>
      <c r="E57" s="102"/>
      <c r="F57" s="99"/>
      <c r="G57" s="100"/>
      <c r="H57" s="100"/>
    </row>
    <row r="58" spans="1:8" x14ac:dyDescent="0.2">
      <c r="A58" s="1003" t="s">
        <v>2910</v>
      </c>
      <c r="B58" s="1014" t="s">
        <v>2838</v>
      </c>
      <c r="C58" s="97" t="s">
        <v>2839</v>
      </c>
      <c r="D58" s="1033" t="s">
        <v>2911</v>
      </c>
      <c r="E58" s="98" t="s">
        <v>2912</v>
      </c>
      <c r="F58" s="99" t="s">
        <v>2842</v>
      </c>
      <c r="G58" s="100">
        <v>5080224.0199999996</v>
      </c>
      <c r="H58" s="100">
        <v>6613649.25</v>
      </c>
    </row>
    <row r="59" spans="1:8" ht="12.75" thickBot="1" x14ac:dyDescent="0.25">
      <c r="A59" s="1003" t="s">
        <v>2913</v>
      </c>
      <c r="B59" s="1014" t="s">
        <v>2838</v>
      </c>
      <c r="C59" s="101" t="s">
        <v>2914</v>
      </c>
      <c r="D59" s="1033" t="s">
        <v>2915</v>
      </c>
      <c r="E59" s="98" t="s">
        <v>2885</v>
      </c>
      <c r="F59" s="99" t="s">
        <v>2842</v>
      </c>
      <c r="G59" s="100">
        <v>1275.31</v>
      </c>
      <c r="H59" s="100">
        <v>595.19000000000005</v>
      </c>
    </row>
    <row r="60" spans="1:8" x14ac:dyDescent="0.2">
      <c r="A60" s="1025" t="s">
        <v>1092</v>
      </c>
      <c r="B60" s="1026"/>
      <c r="C60" s="1027"/>
      <c r="D60" s="1032"/>
      <c r="E60" s="1028"/>
      <c r="F60" s="1029"/>
      <c r="G60" s="1030"/>
      <c r="H60" s="1030"/>
    </row>
    <row r="61" spans="1:8" x14ac:dyDescent="0.2">
      <c r="A61" s="1002" t="s">
        <v>308</v>
      </c>
      <c r="B61" s="1014" t="s">
        <v>2916</v>
      </c>
      <c r="C61" s="97" t="s">
        <v>2839</v>
      </c>
      <c r="D61" s="1034"/>
      <c r="E61" s="104"/>
      <c r="F61" s="40" t="s">
        <v>2842</v>
      </c>
      <c r="G61" s="100">
        <v>0</v>
      </c>
      <c r="H61" s="100">
        <v>0</v>
      </c>
    </row>
    <row r="62" spans="1:8" x14ac:dyDescent="0.2">
      <c r="A62" s="1002"/>
      <c r="B62" s="1014"/>
      <c r="C62" s="40"/>
      <c r="D62" s="1034"/>
      <c r="E62" s="104"/>
      <c r="F62" s="40"/>
      <c r="G62" s="100"/>
      <c r="H62" s="100"/>
    </row>
    <row r="63" spans="1:8" x14ac:dyDescent="0.2">
      <c r="A63" s="1002" t="s">
        <v>309</v>
      </c>
      <c r="B63" s="1014" t="s">
        <v>2916</v>
      </c>
      <c r="C63" s="97" t="s">
        <v>2839</v>
      </c>
      <c r="D63" s="1036">
        <v>512076386</v>
      </c>
      <c r="E63" s="104">
        <v>2017</v>
      </c>
      <c r="F63" s="40" t="s">
        <v>2842</v>
      </c>
      <c r="G63" s="100">
        <f>35193.85+6033.36</f>
        <v>41227.21</v>
      </c>
      <c r="H63" s="100">
        <f>4041.98+30782.39</f>
        <v>34824.370000000003</v>
      </c>
    </row>
    <row r="64" spans="1:8" x14ac:dyDescent="0.2">
      <c r="A64" s="1002"/>
      <c r="B64" s="1014"/>
      <c r="C64" s="40"/>
      <c r="D64" s="1036"/>
      <c r="E64" s="104"/>
      <c r="F64" s="40"/>
      <c r="G64" s="100"/>
      <c r="H64" s="100"/>
    </row>
    <row r="65" spans="1:8" x14ac:dyDescent="0.2">
      <c r="A65" s="1002" t="s">
        <v>310</v>
      </c>
      <c r="B65" s="1014" t="s">
        <v>2916</v>
      </c>
      <c r="C65" s="97" t="s">
        <v>2839</v>
      </c>
      <c r="D65" s="1036">
        <v>512076378</v>
      </c>
      <c r="E65" s="104">
        <v>2020</v>
      </c>
      <c r="F65" s="40" t="s">
        <v>2842</v>
      </c>
      <c r="G65" s="100">
        <v>649257.48</v>
      </c>
      <c r="H65" s="100">
        <v>375486</v>
      </c>
    </row>
    <row r="66" spans="1:8" x14ac:dyDescent="0.2">
      <c r="A66" s="1002" t="s">
        <v>2917</v>
      </c>
      <c r="B66" s="1014"/>
      <c r="C66" s="40"/>
      <c r="D66" s="1036"/>
      <c r="E66" s="104"/>
      <c r="F66" s="40"/>
      <c r="G66" s="100"/>
      <c r="H66" s="100"/>
    </row>
    <row r="67" spans="1:8" x14ac:dyDescent="0.2">
      <c r="A67" s="1002"/>
      <c r="B67" s="1014"/>
      <c r="C67" s="40"/>
      <c r="D67" s="1036"/>
      <c r="E67" s="104"/>
      <c r="F67" s="40"/>
      <c r="G67" s="100"/>
      <c r="H67" s="100"/>
    </row>
    <row r="68" spans="1:8" x14ac:dyDescent="0.2">
      <c r="A68" s="1002" t="s">
        <v>312</v>
      </c>
      <c r="B68" s="1014" t="s">
        <v>2916</v>
      </c>
      <c r="C68" s="97" t="s">
        <v>2839</v>
      </c>
      <c r="D68" s="1036">
        <v>512076378</v>
      </c>
      <c r="E68" s="104">
        <v>2017</v>
      </c>
      <c r="F68" s="40" t="s">
        <v>2842</v>
      </c>
      <c r="G68" s="100">
        <v>365818.16</v>
      </c>
      <c r="H68" s="100">
        <v>319531</v>
      </c>
    </row>
    <row r="69" spans="1:8" x14ac:dyDescent="0.2">
      <c r="A69" s="1002"/>
      <c r="B69" s="1014"/>
      <c r="C69" s="40"/>
      <c r="D69" s="1036"/>
      <c r="E69" s="104"/>
      <c r="F69" s="40"/>
      <c r="G69" s="100"/>
      <c r="H69" s="100"/>
    </row>
    <row r="70" spans="1:8" x14ac:dyDescent="0.2">
      <c r="A70" s="1002" t="s">
        <v>313</v>
      </c>
      <c r="B70" s="1014" t="s">
        <v>2916</v>
      </c>
      <c r="C70" s="97" t="s">
        <v>2839</v>
      </c>
      <c r="D70" s="1036" t="s">
        <v>2918</v>
      </c>
      <c r="E70" s="104">
        <v>2017</v>
      </c>
      <c r="F70" s="40" t="s">
        <v>2842</v>
      </c>
      <c r="G70" s="100"/>
      <c r="H70" s="100"/>
    </row>
    <row r="71" spans="1:8" x14ac:dyDescent="0.2">
      <c r="A71" s="1002"/>
      <c r="B71" s="1014"/>
      <c r="C71" s="40"/>
      <c r="D71" s="1036"/>
      <c r="E71" s="104"/>
      <c r="F71" s="40"/>
      <c r="G71" s="100"/>
      <c r="H71" s="100"/>
    </row>
    <row r="72" spans="1:8" x14ac:dyDescent="0.2">
      <c r="A72" s="1002" t="s">
        <v>314</v>
      </c>
      <c r="B72" s="1014" t="s">
        <v>2916</v>
      </c>
      <c r="C72" s="97" t="s">
        <v>2839</v>
      </c>
      <c r="D72" s="1036" t="s">
        <v>2918</v>
      </c>
      <c r="E72" s="104">
        <v>2017</v>
      </c>
      <c r="F72" s="40"/>
      <c r="G72" s="100">
        <v>2285</v>
      </c>
      <c r="H72" s="100">
        <v>284044.2</v>
      </c>
    </row>
    <row r="73" spans="1:8" ht="12.75" thickBot="1" x14ac:dyDescent="0.25">
      <c r="A73" s="1005" t="s">
        <v>315</v>
      </c>
      <c r="B73" s="1015"/>
      <c r="C73" s="105"/>
      <c r="D73" s="1037"/>
      <c r="E73" s="106"/>
      <c r="F73" s="105"/>
      <c r="G73" s="112"/>
      <c r="H73" s="112"/>
    </row>
    <row r="74" spans="1:8" x14ac:dyDescent="0.2">
      <c r="A74" s="1025" t="s">
        <v>2919</v>
      </c>
      <c r="B74" s="1026"/>
      <c r="C74" s="1027"/>
      <c r="D74" s="1032"/>
      <c r="E74" s="1028"/>
      <c r="F74" s="1029"/>
      <c r="G74" s="1030"/>
      <c r="H74" s="1030"/>
    </row>
    <row r="75" spans="1:8" x14ac:dyDescent="0.2">
      <c r="A75" s="1002"/>
      <c r="B75" s="1014"/>
      <c r="C75" s="40"/>
      <c r="D75" s="1036"/>
      <c r="E75" s="104"/>
      <c r="F75" s="40"/>
      <c r="G75" s="100"/>
      <c r="H75" s="100"/>
    </row>
    <row r="76" spans="1:8" x14ac:dyDescent="0.2">
      <c r="A76" s="1002" t="s">
        <v>308</v>
      </c>
      <c r="B76" s="1014" t="s">
        <v>2920</v>
      </c>
      <c r="C76" s="101" t="s">
        <v>2839</v>
      </c>
      <c r="D76" s="1034" t="s">
        <v>2921</v>
      </c>
      <c r="E76" s="102">
        <v>2005</v>
      </c>
      <c r="F76" s="101" t="s">
        <v>2842</v>
      </c>
      <c r="G76" s="100">
        <v>0</v>
      </c>
      <c r="H76" s="100">
        <v>0</v>
      </c>
    </row>
    <row r="77" spans="1:8" x14ac:dyDescent="0.2">
      <c r="A77" s="1002"/>
      <c r="B77" s="1014"/>
      <c r="C77" s="101"/>
      <c r="D77" s="1034"/>
      <c r="E77" s="102"/>
      <c r="F77" s="101"/>
      <c r="G77" s="100"/>
      <c r="H77" s="100"/>
    </row>
    <row r="78" spans="1:8" x14ac:dyDescent="0.2">
      <c r="A78" s="1002" t="s">
        <v>309</v>
      </c>
      <c r="B78" s="1014" t="s">
        <v>2920</v>
      </c>
      <c r="C78" s="101" t="s">
        <v>2839</v>
      </c>
      <c r="D78" s="1034" t="s">
        <v>2921</v>
      </c>
      <c r="E78" s="102">
        <v>2013</v>
      </c>
      <c r="F78" s="101" t="s">
        <v>2842</v>
      </c>
      <c r="G78" s="100">
        <v>7958.7</v>
      </c>
      <c r="H78" s="100">
        <v>2157.33</v>
      </c>
    </row>
    <row r="79" spans="1:8" x14ac:dyDescent="0.2">
      <c r="A79" s="1002"/>
      <c r="B79" s="1014"/>
      <c r="C79" s="101"/>
      <c r="D79" s="1034"/>
      <c r="E79" s="102"/>
      <c r="F79" s="101"/>
      <c r="G79" s="100"/>
      <c r="H79" s="100"/>
    </row>
    <row r="80" spans="1:8" x14ac:dyDescent="0.2">
      <c r="A80" s="1002" t="s">
        <v>310</v>
      </c>
      <c r="B80" s="1014" t="s">
        <v>2920</v>
      </c>
      <c r="C80" s="101" t="s">
        <v>2839</v>
      </c>
      <c r="D80" s="1034" t="s">
        <v>2921</v>
      </c>
      <c r="E80" s="102">
        <v>2020</v>
      </c>
      <c r="F80" s="101" t="s">
        <v>2842</v>
      </c>
      <c r="G80" s="100">
        <v>790009.81</v>
      </c>
      <c r="H80" s="100">
        <v>720</v>
      </c>
    </row>
    <row r="81" spans="1:8" x14ac:dyDescent="0.2">
      <c r="A81" s="1002" t="s">
        <v>2917</v>
      </c>
      <c r="B81" s="1014"/>
      <c r="C81" s="101"/>
      <c r="D81" s="1034"/>
      <c r="E81" s="102"/>
      <c r="F81" s="101"/>
      <c r="G81" s="100"/>
      <c r="H81" s="100"/>
    </row>
    <row r="82" spans="1:8" x14ac:dyDescent="0.2">
      <c r="A82" s="1002"/>
      <c r="B82" s="1014"/>
      <c r="C82" s="101"/>
      <c r="D82" s="1034"/>
      <c r="E82" s="102"/>
      <c r="F82" s="101"/>
      <c r="G82" s="100"/>
      <c r="H82" s="100"/>
    </row>
    <row r="83" spans="1:8" x14ac:dyDescent="0.2">
      <c r="A83" s="1002" t="s">
        <v>312</v>
      </c>
      <c r="B83" s="1014" t="s">
        <v>2920</v>
      </c>
      <c r="C83" s="101" t="s">
        <v>2839</v>
      </c>
      <c r="D83" s="1034" t="s">
        <v>2921</v>
      </c>
      <c r="E83" s="102">
        <v>2017</v>
      </c>
      <c r="F83" s="101" t="s">
        <v>2842</v>
      </c>
      <c r="G83" s="100">
        <v>26908.03</v>
      </c>
      <c r="H83" s="100">
        <v>5790.03</v>
      </c>
    </row>
    <row r="84" spans="1:8" x14ac:dyDescent="0.2">
      <c r="A84" s="1002"/>
      <c r="B84" s="1014"/>
      <c r="C84" s="101"/>
      <c r="D84" s="1034"/>
      <c r="E84" s="102"/>
      <c r="F84" s="101"/>
      <c r="G84" s="100"/>
      <c r="H84" s="100"/>
    </row>
    <row r="85" spans="1:8" x14ac:dyDescent="0.2">
      <c r="A85" s="1002" t="s">
        <v>313</v>
      </c>
      <c r="B85" s="1014" t="s">
        <v>2920</v>
      </c>
      <c r="C85" s="101" t="s">
        <v>2839</v>
      </c>
      <c r="D85" s="1034" t="s">
        <v>2921</v>
      </c>
      <c r="E85" s="102">
        <v>2017</v>
      </c>
      <c r="F85" s="101" t="s">
        <v>2842</v>
      </c>
      <c r="G85" s="100">
        <v>360070.8</v>
      </c>
      <c r="H85" s="100">
        <v>408435.5</v>
      </c>
    </row>
    <row r="86" spans="1:8" x14ac:dyDescent="0.2">
      <c r="A86" s="1002"/>
      <c r="B86" s="1014"/>
      <c r="C86" s="101"/>
      <c r="D86" s="1034"/>
      <c r="E86" s="102"/>
      <c r="F86" s="101"/>
      <c r="G86" s="100"/>
      <c r="H86" s="100"/>
    </row>
    <row r="87" spans="1:8" x14ac:dyDescent="0.2">
      <c r="A87" s="1002" t="s">
        <v>314</v>
      </c>
      <c r="B87" s="1014"/>
      <c r="C87" s="101"/>
      <c r="D87" s="1034"/>
      <c r="E87" s="102"/>
      <c r="F87" s="101"/>
      <c r="G87" s="100">
        <v>1362.65</v>
      </c>
      <c r="H87" s="100">
        <v>1363.64</v>
      </c>
    </row>
    <row r="88" spans="1:8" x14ac:dyDescent="0.2">
      <c r="A88" s="1002"/>
      <c r="B88" s="1014"/>
      <c r="C88" s="101"/>
      <c r="D88" s="1034"/>
      <c r="E88" s="102"/>
      <c r="F88" s="101"/>
      <c r="G88" s="100"/>
      <c r="H88" s="100"/>
    </row>
    <row r="89" spans="1:8" ht="12.75" thickBot="1" x14ac:dyDescent="0.25">
      <c r="A89" s="1005" t="s">
        <v>2922</v>
      </c>
      <c r="B89" s="1015"/>
      <c r="C89" s="107"/>
      <c r="D89" s="1038"/>
      <c r="E89" s="108"/>
      <c r="F89" s="107"/>
      <c r="G89" s="112">
        <v>84320.16</v>
      </c>
      <c r="H89" s="112">
        <v>224614.55</v>
      </c>
    </row>
    <row r="90" spans="1:8" ht="12.75" thickBot="1" x14ac:dyDescent="0.25">
      <c r="A90" s="1025" t="s">
        <v>2923</v>
      </c>
      <c r="B90" s="1026"/>
      <c r="C90" s="1027"/>
      <c r="D90" s="1032"/>
      <c r="E90" s="1028"/>
      <c r="F90" s="1029"/>
      <c r="G90" s="1030"/>
      <c r="H90" s="1030"/>
    </row>
    <row r="91" spans="1:8" ht="24" customHeight="1" x14ac:dyDescent="0.2">
      <c r="A91" s="1002" t="s">
        <v>308</v>
      </c>
      <c r="B91" s="1523" t="s">
        <v>2924</v>
      </c>
      <c r="C91" s="40" t="s">
        <v>2839</v>
      </c>
      <c r="D91" s="1034" t="s">
        <v>2925</v>
      </c>
      <c r="E91" s="109">
        <v>2013</v>
      </c>
      <c r="F91" s="40" t="s">
        <v>2842</v>
      </c>
      <c r="G91" s="133">
        <v>9508801.7899999991</v>
      </c>
      <c r="H91" s="133">
        <v>4805078.93</v>
      </c>
    </row>
    <row r="92" spans="1:8" x14ac:dyDescent="0.2">
      <c r="A92" s="1002"/>
      <c r="B92" s="1524"/>
      <c r="C92" s="40"/>
      <c r="D92" s="1034"/>
      <c r="E92" s="109"/>
      <c r="F92" s="40"/>
      <c r="G92" s="133"/>
      <c r="H92" s="133"/>
    </row>
    <row r="93" spans="1:8" x14ac:dyDescent="0.2">
      <c r="A93" s="1002" t="s">
        <v>309</v>
      </c>
      <c r="B93" s="1524"/>
      <c r="C93" s="40" t="s">
        <v>2839</v>
      </c>
      <c r="D93" s="1034" t="s">
        <v>2926</v>
      </c>
      <c r="E93" s="109">
        <v>2013</v>
      </c>
      <c r="F93" s="40" t="s">
        <v>2842</v>
      </c>
      <c r="G93" s="133">
        <v>624.86</v>
      </c>
      <c r="H93" s="133">
        <v>625.32000000000005</v>
      </c>
    </row>
    <row r="94" spans="1:8" x14ac:dyDescent="0.2">
      <c r="A94" s="1002"/>
      <c r="B94" s="1524"/>
      <c r="C94" s="40"/>
      <c r="D94" s="1034"/>
      <c r="E94" s="109"/>
      <c r="F94" s="40"/>
      <c r="G94" s="133"/>
      <c r="H94" s="133"/>
    </row>
    <row r="95" spans="1:8" x14ac:dyDescent="0.2">
      <c r="A95" s="1002" t="s">
        <v>310</v>
      </c>
      <c r="B95" s="1524"/>
      <c r="C95" s="40" t="s">
        <v>2839</v>
      </c>
      <c r="D95" s="1034" t="s">
        <v>2927</v>
      </c>
      <c r="E95" s="109">
        <v>2020</v>
      </c>
      <c r="F95" s="40" t="s">
        <v>2842</v>
      </c>
      <c r="G95" s="133">
        <v>1200</v>
      </c>
      <c r="H95" s="133">
        <v>0</v>
      </c>
    </row>
    <row r="96" spans="1:8" x14ac:dyDescent="0.2">
      <c r="A96" s="1002" t="s">
        <v>2917</v>
      </c>
      <c r="B96" s="1524"/>
      <c r="C96" s="40"/>
      <c r="D96" s="1034"/>
      <c r="E96" s="109"/>
      <c r="F96" s="40"/>
      <c r="G96" s="133"/>
      <c r="H96" s="133"/>
    </row>
    <row r="97" spans="1:8" x14ac:dyDescent="0.2">
      <c r="A97" s="1002"/>
      <c r="B97" s="1524"/>
      <c r="C97" s="40"/>
      <c r="D97" s="1034"/>
      <c r="E97" s="109"/>
      <c r="F97" s="40"/>
      <c r="G97" s="133"/>
      <c r="H97" s="133"/>
    </row>
    <row r="98" spans="1:8" x14ac:dyDescent="0.2">
      <c r="A98" s="1002" t="s">
        <v>312</v>
      </c>
      <c r="B98" s="1524"/>
      <c r="C98" s="40" t="s">
        <v>2839</v>
      </c>
      <c r="D98" s="1034" t="s">
        <v>2928</v>
      </c>
      <c r="E98" s="109">
        <v>2017</v>
      </c>
      <c r="F98" s="40" t="s">
        <v>2842</v>
      </c>
      <c r="G98" s="133">
        <v>20980</v>
      </c>
      <c r="H98" s="133">
        <v>7380</v>
      </c>
    </row>
    <row r="99" spans="1:8" x14ac:dyDescent="0.2">
      <c r="A99" s="1002"/>
      <c r="B99" s="1524"/>
      <c r="C99" s="40"/>
      <c r="D99" s="1034"/>
      <c r="E99" s="109"/>
      <c r="F99" s="40"/>
      <c r="G99" s="133"/>
      <c r="H99" s="133"/>
    </row>
    <row r="100" spans="1:8" x14ac:dyDescent="0.2">
      <c r="A100" s="1002" t="s">
        <v>313</v>
      </c>
      <c r="B100" s="1524"/>
      <c r="C100" s="40" t="s">
        <v>2839</v>
      </c>
      <c r="D100" s="1034" t="s">
        <v>2929</v>
      </c>
      <c r="E100" s="109">
        <v>2014</v>
      </c>
      <c r="F100" s="40" t="s">
        <v>2842</v>
      </c>
      <c r="G100" s="133">
        <v>22503.15</v>
      </c>
      <c r="H100" s="133">
        <v>45560.15</v>
      </c>
    </row>
    <row r="101" spans="1:8" x14ac:dyDescent="0.2">
      <c r="A101" s="1002"/>
      <c r="B101" s="1524"/>
      <c r="C101" s="40"/>
      <c r="D101" s="1034"/>
      <c r="E101" s="41"/>
      <c r="F101" s="40"/>
      <c r="G101" s="100"/>
      <c r="H101" s="100"/>
    </row>
    <row r="102" spans="1:8" x14ac:dyDescent="0.2">
      <c r="A102" s="1002" t="s">
        <v>314</v>
      </c>
      <c r="B102" s="1524"/>
      <c r="C102" s="40"/>
      <c r="D102" s="1034"/>
      <c r="E102" s="41"/>
      <c r="F102" s="40"/>
      <c r="G102" s="100"/>
      <c r="H102" s="100"/>
    </row>
    <row r="103" spans="1:8" x14ac:dyDescent="0.2">
      <c r="A103" s="1002" t="s">
        <v>315</v>
      </c>
      <c r="B103" s="1524"/>
      <c r="C103" s="40"/>
      <c r="D103" s="1034"/>
      <c r="E103" s="41"/>
      <c r="F103" s="40"/>
      <c r="G103" s="100"/>
      <c r="H103" s="100"/>
    </row>
    <row r="104" spans="1:8" x14ac:dyDescent="0.2">
      <c r="A104" s="1002" t="s">
        <v>316</v>
      </c>
      <c r="B104" s="1524"/>
      <c r="C104" s="40"/>
      <c r="D104" s="1034"/>
      <c r="E104" s="41"/>
      <c r="F104" s="40"/>
      <c r="G104" s="100"/>
      <c r="H104" s="100"/>
    </row>
    <row r="105" spans="1:8" x14ac:dyDescent="0.2">
      <c r="A105" s="1002" t="s">
        <v>317</v>
      </c>
      <c r="B105" s="1524"/>
      <c r="C105" s="40"/>
      <c r="D105" s="1034"/>
      <c r="E105" s="41"/>
      <c r="F105" s="40"/>
      <c r="G105" s="100"/>
      <c r="H105" s="100"/>
    </row>
    <row r="106" spans="1:8" x14ac:dyDescent="0.2">
      <c r="A106" s="1002" t="s">
        <v>318</v>
      </c>
      <c r="B106" s="1524"/>
      <c r="C106" s="40"/>
      <c r="D106" s="1034"/>
      <c r="E106" s="41"/>
      <c r="F106" s="40"/>
      <c r="G106" s="100"/>
      <c r="H106" s="100"/>
    </row>
    <row r="107" spans="1:8" x14ac:dyDescent="0.2">
      <c r="A107" s="1002" t="s">
        <v>2930</v>
      </c>
      <c r="B107" s="1524"/>
      <c r="C107" s="40"/>
      <c r="D107" s="1034"/>
      <c r="E107" s="41"/>
      <c r="F107" s="40"/>
      <c r="G107" s="100"/>
      <c r="H107" s="100"/>
    </row>
    <row r="108" spans="1:8" ht="12.75" thickBot="1" x14ac:dyDescent="0.25">
      <c r="A108" s="1006"/>
      <c r="B108" s="1525"/>
      <c r="C108" s="107"/>
      <c r="D108" s="1039"/>
      <c r="E108" s="110"/>
      <c r="F108" s="111"/>
      <c r="G108" s="112"/>
      <c r="H108" s="112"/>
    </row>
    <row r="109" spans="1:8" x14ac:dyDescent="0.2">
      <c r="A109" s="1025" t="s">
        <v>1634</v>
      </c>
      <c r="B109" s="1026"/>
      <c r="C109" s="1027"/>
      <c r="D109" s="1032"/>
      <c r="E109" s="1028"/>
      <c r="F109" s="1029"/>
      <c r="G109" s="1030"/>
      <c r="H109" s="1030"/>
    </row>
    <row r="110" spans="1:8" x14ac:dyDescent="0.2">
      <c r="A110" s="1002" t="s">
        <v>308</v>
      </c>
      <c r="B110" s="1526" t="s">
        <v>2931</v>
      </c>
      <c r="C110" s="40" t="s">
        <v>2839</v>
      </c>
      <c r="D110" s="1034" t="s">
        <v>2932</v>
      </c>
      <c r="E110" s="113">
        <v>2005</v>
      </c>
      <c r="F110" s="40" t="s">
        <v>2842</v>
      </c>
      <c r="G110" s="100">
        <v>0</v>
      </c>
      <c r="H110" s="100">
        <v>0</v>
      </c>
    </row>
    <row r="111" spans="1:8" ht="12.75" customHeight="1" x14ac:dyDescent="0.2">
      <c r="A111" s="1002"/>
      <c r="B111" s="1526"/>
      <c r="C111" s="40"/>
      <c r="D111" s="1034"/>
      <c r="E111" s="113"/>
      <c r="F111" s="40"/>
      <c r="G111" s="100"/>
      <c r="H111" s="100"/>
    </row>
    <row r="112" spans="1:8" ht="12.75" customHeight="1" x14ac:dyDescent="0.2">
      <c r="A112" s="1002" t="s">
        <v>309</v>
      </c>
      <c r="B112" s="1526"/>
      <c r="C112" s="40" t="s">
        <v>2839</v>
      </c>
      <c r="D112" s="1034" t="s">
        <v>2933</v>
      </c>
      <c r="E112" s="113">
        <v>2001</v>
      </c>
      <c r="F112" s="40" t="s">
        <v>2842</v>
      </c>
      <c r="G112" s="100">
        <v>0.81</v>
      </c>
      <c r="H112" s="100">
        <v>0.81</v>
      </c>
    </row>
    <row r="113" spans="1:8" ht="12.75" customHeight="1" x14ac:dyDescent="0.2">
      <c r="A113" s="1002"/>
      <c r="B113" s="1526"/>
      <c r="C113" s="40"/>
      <c r="D113" s="1034" t="s">
        <v>2934</v>
      </c>
      <c r="E113" s="113" t="s">
        <v>2935</v>
      </c>
      <c r="F113" s="40" t="s">
        <v>2842</v>
      </c>
      <c r="G113" s="100">
        <v>0.08</v>
      </c>
      <c r="H113" s="100">
        <v>0.08</v>
      </c>
    </row>
    <row r="114" spans="1:8" ht="12.75" customHeight="1" x14ac:dyDescent="0.2">
      <c r="A114" s="1002"/>
      <c r="B114" s="1526"/>
      <c r="C114" s="40"/>
      <c r="D114" s="1034" t="s">
        <v>2936</v>
      </c>
      <c r="E114" s="113" t="s">
        <v>2937</v>
      </c>
      <c r="F114" s="40" t="s">
        <v>2842</v>
      </c>
      <c r="G114" s="100">
        <v>0</v>
      </c>
      <c r="H114" s="100">
        <v>0</v>
      </c>
    </row>
    <row r="115" spans="1:8" ht="12.75" customHeight="1" x14ac:dyDescent="0.2">
      <c r="A115" s="1002"/>
      <c r="B115" s="1526"/>
      <c r="C115" s="40"/>
      <c r="D115" s="1034" t="s">
        <v>2938</v>
      </c>
      <c r="E115" s="113" t="s">
        <v>2939</v>
      </c>
      <c r="F115" s="40" t="s">
        <v>2842</v>
      </c>
      <c r="G115" s="100">
        <v>75</v>
      </c>
      <c r="H115" s="100">
        <v>75</v>
      </c>
    </row>
    <row r="116" spans="1:8" ht="12.75" customHeight="1" x14ac:dyDescent="0.2">
      <c r="A116" s="1002"/>
      <c r="B116" s="1526"/>
      <c r="C116" s="40"/>
      <c r="D116" s="1034"/>
      <c r="E116" s="113"/>
      <c r="F116" s="40"/>
      <c r="G116" s="100"/>
      <c r="H116" s="100"/>
    </row>
    <row r="117" spans="1:8" ht="12.75" customHeight="1" x14ac:dyDescent="0.2">
      <c r="A117" s="1002" t="s">
        <v>310</v>
      </c>
      <c r="B117" s="1526"/>
      <c r="C117" s="40"/>
      <c r="D117" s="1034"/>
      <c r="E117" s="113"/>
      <c r="F117" s="40"/>
      <c r="G117" s="100"/>
      <c r="H117" s="100"/>
    </row>
    <row r="118" spans="1:8" ht="12.75" customHeight="1" x14ac:dyDescent="0.2">
      <c r="A118" s="1002" t="s">
        <v>2917</v>
      </c>
      <c r="B118" s="1526"/>
      <c r="C118" s="40" t="s">
        <v>2839</v>
      </c>
      <c r="D118" s="1034"/>
      <c r="E118" s="113"/>
      <c r="F118" s="40"/>
      <c r="G118" s="100"/>
      <c r="H118" s="100"/>
    </row>
    <row r="119" spans="1:8" ht="12.75" customHeight="1" x14ac:dyDescent="0.2">
      <c r="A119" s="1002"/>
      <c r="B119" s="1526"/>
      <c r="C119" s="40"/>
      <c r="D119" s="1034"/>
      <c r="E119" s="113"/>
      <c r="F119" s="40"/>
      <c r="G119" s="100"/>
      <c r="H119" s="100"/>
    </row>
    <row r="120" spans="1:8" ht="12.75" customHeight="1" x14ac:dyDescent="0.2">
      <c r="A120" s="1002" t="s">
        <v>312</v>
      </c>
      <c r="B120" s="1526"/>
      <c r="C120" s="40" t="s">
        <v>2839</v>
      </c>
      <c r="D120" s="1034" t="s">
        <v>2940</v>
      </c>
      <c r="E120" s="113">
        <v>2004</v>
      </c>
      <c r="F120" s="40" t="s">
        <v>2842</v>
      </c>
      <c r="G120" s="100">
        <v>5.13</v>
      </c>
      <c r="H120" s="100">
        <v>5.13</v>
      </c>
    </row>
    <row r="121" spans="1:8" ht="12.75" customHeight="1" x14ac:dyDescent="0.2">
      <c r="A121" s="1002"/>
      <c r="B121" s="1526"/>
      <c r="C121" s="40"/>
      <c r="D121" s="1034" t="s">
        <v>2941</v>
      </c>
      <c r="E121" s="113">
        <v>2013</v>
      </c>
      <c r="F121" s="40" t="s">
        <v>2842</v>
      </c>
      <c r="G121" s="100">
        <v>0</v>
      </c>
      <c r="H121" s="100">
        <v>0</v>
      </c>
    </row>
    <row r="122" spans="1:8" ht="12.75" customHeight="1" x14ac:dyDescent="0.2">
      <c r="A122" s="1002" t="s">
        <v>313</v>
      </c>
      <c r="B122" s="1526"/>
      <c r="C122" s="40" t="s">
        <v>2839</v>
      </c>
      <c r="D122" s="1034"/>
      <c r="E122" s="113"/>
      <c r="F122" s="40"/>
      <c r="G122" s="100"/>
      <c r="H122" s="100"/>
    </row>
    <row r="123" spans="1:8" ht="12.75" customHeight="1" x14ac:dyDescent="0.2">
      <c r="A123" s="1002"/>
      <c r="B123" s="1526"/>
      <c r="C123" s="40"/>
      <c r="D123" s="1034"/>
      <c r="E123" s="113"/>
      <c r="F123" s="40"/>
      <c r="G123" s="100"/>
      <c r="H123" s="100"/>
    </row>
    <row r="124" spans="1:8" ht="12.75" customHeight="1" x14ac:dyDescent="0.2">
      <c r="A124" s="1002" t="s">
        <v>314</v>
      </c>
      <c r="B124" s="1526"/>
      <c r="C124" s="40"/>
      <c r="D124" s="1034"/>
      <c r="E124" s="113"/>
      <c r="F124" s="40"/>
      <c r="G124" s="100"/>
      <c r="H124" s="100"/>
    </row>
    <row r="125" spans="1:8" ht="12.75" customHeight="1" x14ac:dyDescent="0.2">
      <c r="A125" s="1002" t="s">
        <v>315</v>
      </c>
      <c r="B125" s="1526"/>
      <c r="C125" s="40" t="s">
        <v>2839</v>
      </c>
      <c r="D125" s="1034" t="s">
        <v>2942</v>
      </c>
      <c r="E125" s="113">
        <v>2009</v>
      </c>
      <c r="F125" s="40" t="s">
        <v>2842</v>
      </c>
      <c r="G125" s="100">
        <v>0.64</v>
      </c>
      <c r="H125" s="100">
        <v>0.64</v>
      </c>
    </row>
    <row r="126" spans="1:8" ht="12.75" customHeight="1" x14ac:dyDescent="0.2">
      <c r="A126" s="1002" t="s">
        <v>316</v>
      </c>
      <c r="B126" s="1526"/>
      <c r="C126" s="40" t="s">
        <v>2839</v>
      </c>
      <c r="D126" s="1034"/>
      <c r="E126" s="113"/>
      <c r="F126" s="40"/>
      <c r="G126" s="100"/>
      <c r="H126" s="100"/>
    </row>
    <row r="127" spans="1:8" ht="12.75" customHeight="1" x14ac:dyDescent="0.2">
      <c r="A127" s="1002" t="s">
        <v>317</v>
      </c>
      <c r="B127" s="1526"/>
      <c r="C127" s="40" t="s">
        <v>2839</v>
      </c>
      <c r="D127" s="1034"/>
      <c r="E127" s="113"/>
      <c r="F127" s="40"/>
      <c r="G127" s="100"/>
      <c r="H127" s="100"/>
    </row>
    <row r="128" spans="1:8" ht="12.75" customHeight="1" x14ac:dyDescent="0.2">
      <c r="A128" s="1002" t="s">
        <v>318</v>
      </c>
      <c r="B128" s="1526"/>
      <c r="C128" s="40" t="s">
        <v>2839</v>
      </c>
      <c r="D128" s="1034"/>
      <c r="E128" s="113"/>
      <c r="F128" s="40"/>
      <c r="G128" s="100"/>
      <c r="H128" s="100"/>
    </row>
    <row r="129" spans="1:8" ht="12.75" customHeight="1" thickBot="1" x14ac:dyDescent="0.25">
      <c r="A129" s="1005" t="s">
        <v>2930</v>
      </c>
      <c r="B129" s="1527"/>
      <c r="C129" s="105" t="s">
        <v>2839</v>
      </c>
      <c r="D129" s="1038" t="s">
        <v>2943</v>
      </c>
      <c r="E129" s="114">
        <v>2011</v>
      </c>
      <c r="F129" s="105" t="s">
        <v>2842</v>
      </c>
      <c r="G129" s="112">
        <v>20.46</v>
      </c>
      <c r="H129" s="112">
        <v>20.46</v>
      </c>
    </row>
    <row r="130" spans="1:8" x14ac:dyDescent="0.2">
      <c r="A130" s="1025" t="s">
        <v>2919</v>
      </c>
      <c r="B130" s="1026"/>
      <c r="C130" s="1027"/>
      <c r="D130" s="1032"/>
      <c r="E130" s="1028"/>
      <c r="F130" s="1029"/>
      <c r="G130" s="1030"/>
      <c r="H130" s="1030"/>
    </row>
    <row r="131" spans="1:8" x14ac:dyDescent="0.2">
      <c r="A131" s="1003"/>
      <c r="B131" s="1512" t="s">
        <v>2944</v>
      </c>
      <c r="C131" s="101"/>
      <c r="D131" s="1035"/>
      <c r="E131" s="98"/>
      <c r="F131" s="99"/>
      <c r="G131" s="100"/>
      <c r="H131" s="100"/>
    </row>
    <row r="132" spans="1:8" ht="12.75" customHeight="1" x14ac:dyDescent="0.2">
      <c r="A132" s="1002" t="s">
        <v>308</v>
      </c>
      <c r="B132" s="1512"/>
      <c r="C132" s="115" t="s">
        <v>2839</v>
      </c>
      <c r="D132" s="1040">
        <v>513002440</v>
      </c>
      <c r="E132" s="116"/>
      <c r="F132" s="115" t="s">
        <v>2842</v>
      </c>
      <c r="G132" s="117">
        <v>0</v>
      </c>
      <c r="H132" s="117">
        <v>0</v>
      </c>
    </row>
    <row r="133" spans="1:8" ht="12.75" customHeight="1" x14ac:dyDescent="0.2">
      <c r="A133" s="1002"/>
      <c r="B133" s="1512"/>
      <c r="C133" s="115"/>
      <c r="D133" s="1041"/>
      <c r="E133" s="116"/>
      <c r="F133" s="115"/>
      <c r="G133" s="117"/>
      <c r="H133" s="117"/>
    </row>
    <row r="134" spans="1:8" ht="12.75" customHeight="1" x14ac:dyDescent="0.2">
      <c r="A134" s="1002" t="s">
        <v>309</v>
      </c>
      <c r="B134" s="1512"/>
      <c r="C134" s="115" t="s">
        <v>2839</v>
      </c>
      <c r="D134" s="1040">
        <v>513002459</v>
      </c>
      <c r="E134" s="116"/>
      <c r="F134" s="115" t="s">
        <v>2842</v>
      </c>
      <c r="G134" s="117">
        <v>1574.04</v>
      </c>
      <c r="H134" s="117">
        <v>1575.8</v>
      </c>
    </row>
    <row r="135" spans="1:8" ht="12.75" customHeight="1" x14ac:dyDescent="0.2">
      <c r="A135" s="1002"/>
      <c r="B135" s="1512"/>
      <c r="C135" s="115"/>
      <c r="D135" s="1041"/>
      <c r="E135" s="116"/>
      <c r="F135" s="115"/>
      <c r="G135" s="117"/>
      <c r="H135" s="117"/>
    </row>
    <row r="136" spans="1:8" ht="12.75" customHeight="1" x14ac:dyDescent="0.2">
      <c r="A136" s="1002" t="s">
        <v>310</v>
      </c>
      <c r="B136" s="1512"/>
      <c r="C136" s="115" t="s">
        <v>2839</v>
      </c>
      <c r="D136" s="1041"/>
      <c r="E136" s="116"/>
      <c r="F136" s="115" t="s">
        <v>2842</v>
      </c>
      <c r="G136" s="117">
        <v>0</v>
      </c>
      <c r="H136" s="117">
        <v>0</v>
      </c>
    </row>
    <row r="137" spans="1:8" ht="12.75" customHeight="1" x14ac:dyDescent="0.2">
      <c r="A137" s="1002" t="s">
        <v>2917</v>
      </c>
      <c r="B137" s="1512"/>
      <c r="C137" s="115"/>
      <c r="D137" s="1041"/>
      <c r="E137" s="116"/>
      <c r="F137" s="115"/>
      <c r="G137" s="117"/>
      <c r="H137" s="117"/>
    </row>
    <row r="138" spans="1:8" ht="12.75" customHeight="1" x14ac:dyDescent="0.2">
      <c r="A138" s="1002"/>
      <c r="B138" s="1512"/>
      <c r="C138" s="115"/>
      <c r="D138" s="1041"/>
      <c r="E138" s="116"/>
      <c r="F138" s="115"/>
      <c r="G138" s="117"/>
      <c r="H138" s="117"/>
    </row>
    <row r="139" spans="1:8" ht="12.75" customHeight="1" x14ac:dyDescent="0.2">
      <c r="A139" s="1002" t="s">
        <v>312</v>
      </c>
      <c r="B139" s="1512"/>
      <c r="C139" s="115" t="s">
        <v>2839</v>
      </c>
      <c r="D139" s="1040">
        <v>513002440</v>
      </c>
      <c r="E139" s="116"/>
      <c r="F139" s="115" t="s">
        <v>2842</v>
      </c>
      <c r="G139" s="117">
        <v>130678.72</v>
      </c>
      <c r="H139" s="117">
        <v>31464.720000000001</v>
      </c>
    </row>
    <row r="140" spans="1:8" ht="12.75" customHeight="1" x14ac:dyDescent="0.2">
      <c r="A140" s="1002"/>
      <c r="B140" s="1512"/>
      <c r="C140" s="115"/>
      <c r="D140" s="1041"/>
      <c r="E140" s="116"/>
      <c r="F140" s="115"/>
      <c r="G140" s="117"/>
      <c r="H140" s="117"/>
    </row>
    <row r="141" spans="1:8" ht="12.75" customHeight="1" x14ac:dyDescent="0.2">
      <c r="A141" s="1002" t="s">
        <v>313</v>
      </c>
      <c r="B141" s="1512"/>
      <c r="C141" s="115"/>
      <c r="D141" s="1041"/>
      <c r="E141" s="116"/>
      <c r="F141" s="115"/>
      <c r="G141" s="117"/>
      <c r="H141" s="117"/>
    </row>
    <row r="142" spans="1:8" ht="12.75" customHeight="1" x14ac:dyDescent="0.2">
      <c r="A142" s="1002"/>
      <c r="B142" s="1512"/>
      <c r="C142" s="115"/>
      <c r="D142" s="1041"/>
      <c r="E142" s="116"/>
      <c r="F142" s="115"/>
      <c r="G142" s="117"/>
      <c r="H142" s="117"/>
    </row>
    <row r="143" spans="1:8" ht="12.75" customHeight="1" x14ac:dyDescent="0.2">
      <c r="A143" s="1002" t="s">
        <v>314</v>
      </c>
      <c r="B143" s="1512"/>
      <c r="C143" s="115" t="s">
        <v>2839</v>
      </c>
      <c r="D143" s="1040">
        <v>513002440</v>
      </c>
      <c r="E143" s="116"/>
      <c r="F143" s="115" t="s">
        <v>2842</v>
      </c>
      <c r="G143" s="117">
        <v>197.94</v>
      </c>
      <c r="H143" s="117">
        <v>198.06</v>
      </c>
    </row>
    <row r="144" spans="1:8" ht="12.75" customHeight="1" x14ac:dyDescent="0.2">
      <c r="A144" s="1002" t="s">
        <v>315</v>
      </c>
      <c r="B144" s="1512"/>
      <c r="C144" s="115"/>
      <c r="D144" s="1041"/>
      <c r="E144" s="116"/>
      <c r="F144" s="115"/>
      <c r="G144" s="117"/>
      <c r="H144" s="117"/>
    </row>
    <row r="145" spans="1:8" ht="12.75" customHeight="1" x14ac:dyDescent="0.2">
      <c r="A145" s="1002" t="s">
        <v>316</v>
      </c>
      <c r="B145" s="1512"/>
      <c r="C145" s="115" t="s">
        <v>2839</v>
      </c>
      <c r="D145" s="1040">
        <v>513002440</v>
      </c>
      <c r="E145" s="116"/>
      <c r="F145" s="115" t="s">
        <v>2842</v>
      </c>
      <c r="G145" s="117">
        <v>75009.31</v>
      </c>
      <c r="H145" s="117">
        <v>121257.31</v>
      </c>
    </row>
    <row r="146" spans="1:8" ht="12.75" customHeight="1" x14ac:dyDescent="0.2">
      <c r="A146" s="1002" t="s">
        <v>317</v>
      </c>
      <c r="B146" s="1512"/>
      <c r="C146" s="115" t="s">
        <v>2839</v>
      </c>
      <c r="D146" s="1040">
        <v>513002440</v>
      </c>
      <c r="E146" s="116"/>
      <c r="F146" s="115" t="s">
        <v>2842</v>
      </c>
      <c r="G146" s="117">
        <v>86732.19</v>
      </c>
      <c r="H146" s="117">
        <v>55287.08</v>
      </c>
    </row>
    <row r="147" spans="1:8" ht="12.75" customHeight="1" x14ac:dyDescent="0.2">
      <c r="A147" s="1002" t="s">
        <v>318</v>
      </c>
      <c r="B147" s="1512"/>
      <c r="C147" s="115"/>
      <c r="D147" s="1041"/>
      <c r="E147" s="116"/>
      <c r="F147" s="115"/>
      <c r="G147" s="117"/>
      <c r="H147" s="117"/>
    </row>
    <row r="148" spans="1:8" ht="13.5" customHeight="1" thickBot="1" x14ac:dyDescent="0.25">
      <c r="A148" s="1005" t="s">
        <v>2930</v>
      </c>
      <c r="B148" s="1513"/>
      <c r="C148" s="118"/>
      <c r="D148" s="1042"/>
      <c r="E148" s="119"/>
      <c r="F148" s="118"/>
      <c r="G148" s="996"/>
      <c r="H148" s="996"/>
    </row>
    <row r="149" spans="1:8" x14ac:dyDescent="0.2">
      <c r="A149" s="1025" t="s">
        <v>1384</v>
      </c>
      <c r="B149" s="1026"/>
      <c r="C149" s="1027"/>
      <c r="D149" s="1032"/>
      <c r="E149" s="1028"/>
      <c r="F149" s="1029"/>
      <c r="G149" s="1030"/>
      <c r="H149" s="1030"/>
    </row>
    <row r="150" spans="1:8" x14ac:dyDescent="0.2">
      <c r="A150" s="1007"/>
      <c r="F150" s="36"/>
      <c r="H150" s="100"/>
    </row>
    <row r="151" spans="1:8" x14ac:dyDescent="0.2">
      <c r="A151" s="1002" t="s">
        <v>308</v>
      </c>
      <c r="B151" s="1514" t="s">
        <v>2945</v>
      </c>
      <c r="C151" s="40" t="s">
        <v>2839</v>
      </c>
      <c r="D151" s="1034" t="s">
        <v>2946</v>
      </c>
      <c r="E151" s="102">
        <v>2005</v>
      </c>
      <c r="F151" s="101" t="s">
        <v>306</v>
      </c>
      <c r="G151" s="100">
        <v>0</v>
      </c>
      <c r="H151" s="100">
        <v>0</v>
      </c>
    </row>
    <row r="152" spans="1:8" x14ac:dyDescent="0.2">
      <c r="A152" s="1002"/>
      <c r="B152" s="1514"/>
      <c r="C152" s="40"/>
      <c r="D152" s="1034"/>
      <c r="E152" s="102"/>
      <c r="F152" s="101"/>
      <c r="G152" s="100"/>
      <c r="H152" s="100"/>
    </row>
    <row r="153" spans="1:8" x14ac:dyDescent="0.2">
      <c r="A153" s="1002" t="s">
        <v>309</v>
      </c>
      <c r="B153" s="1514"/>
      <c r="C153" s="40" t="s">
        <v>2839</v>
      </c>
      <c r="D153" s="1034" t="s">
        <v>2947</v>
      </c>
      <c r="E153" s="102">
        <v>2001</v>
      </c>
      <c r="F153" s="101" t="s">
        <v>306</v>
      </c>
      <c r="G153" s="100">
        <v>20436.5</v>
      </c>
      <c r="H153" s="100">
        <v>3836.94</v>
      </c>
    </row>
    <row r="154" spans="1:8" x14ac:dyDescent="0.2">
      <c r="A154" s="1002" t="s">
        <v>2948</v>
      </c>
      <c r="B154" s="1514"/>
      <c r="C154" s="40" t="s">
        <v>2839</v>
      </c>
      <c r="D154" s="1034" t="s">
        <v>2949</v>
      </c>
      <c r="E154" s="102">
        <v>2001</v>
      </c>
      <c r="F154" s="101" t="s">
        <v>306</v>
      </c>
      <c r="G154" s="100">
        <v>139874.84</v>
      </c>
      <c r="H154" s="100">
        <v>296091.01</v>
      </c>
    </row>
    <row r="155" spans="1:8" x14ac:dyDescent="0.2">
      <c r="A155" s="1002"/>
      <c r="B155" s="1514"/>
      <c r="C155" s="40"/>
      <c r="D155" s="1034"/>
      <c r="E155" s="102"/>
      <c r="F155" s="101"/>
      <c r="G155" s="100"/>
      <c r="H155" s="100"/>
    </row>
    <row r="156" spans="1:8" x14ac:dyDescent="0.2">
      <c r="A156" s="1002" t="s">
        <v>310</v>
      </c>
      <c r="B156" s="1514"/>
      <c r="C156" s="40" t="s">
        <v>2839</v>
      </c>
      <c r="D156" s="1034" t="s">
        <v>2946</v>
      </c>
      <c r="E156" s="102">
        <v>2020</v>
      </c>
      <c r="F156" s="101" t="s">
        <v>306</v>
      </c>
      <c r="G156" s="100">
        <v>1013823.39</v>
      </c>
      <c r="H156" s="100">
        <v>768.6</v>
      </c>
    </row>
    <row r="157" spans="1:8" x14ac:dyDescent="0.2">
      <c r="A157" s="1002" t="s">
        <v>2917</v>
      </c>
      <c r="B157" s="1514"/>
      <c r="C157" s="40"/>
      <c r="D157" s="1034"/>
      <c r="E157" s="102"/>
      <c r="F157" s="101"/>
      <c r="G157" s="100"/>
      <c r="H157" s="100"/>
    </row>
    <row r="158" spans="1:8" x14ac:dyDescent="0.2">
      <c r="A158" s="1002"/>
      <c r="B158" s="1514"/>
      <c r="C158" s="40"/>
      <c r="D158" s="1034"/>
      <c r="E158" s="102"/>
      <c r="F158" s="101"/>
      <c r="G158" s="100"/>
      <c r="H158" s="100"/>
    </row>
    <row r="159" spans="1:8" x14ac:dyDescent="0.2">
      <c r="A159" s="1002" t="s">
        <v>312</v>
      </c>
      <c r="B159" s="1514"/>
      <c r="C159" s="40" t="s">
        <v>2839</v>
      </c>
      <c r="D159" s="1034" t="s">
        <v>2950</v>
      </c>
      <c r="E159" s="102">
        <v>2009</v>
      </c>
      <c r="F159" s="101" t="s">
        <v>306</v>
      </c>
      <c r="G159" s="100">
        <v>3141.67</v>
      </c>
      <c r="H159" s="100">
        <v>3141.67</v>
      </c>
    </row>
    <row r="160" spans="1:8" x14ac:dyDescent="0.2">
      <c r="A160" s="1002"/>
      <c r="B160" s="1514"/>
      <c r="C160" s="40"/>
      <c r="D160" s="1034"/>
      <c r="E160" s="102"/>
      <c r="F160" s="101"/>
      <c r="G160" s="100"/>
      <c r="H160" s="100"/>
    </row>
    <row r="161" spans="1:8" x14ac:dyDescent="0.2">
      <c r="A161" s="1002" t="s">
        <v>313</v>
      </c>
      <c r="B161" s="1514"/>
      <c r="C161" s="40"/>
      <c r="D161" s="1034"/>
      <c r="E161" s="102"/>
      <c r="F161" s="101"/>
      <c r="G161" s="100"/>
      <c r="H161" s="100"/>
    </row>
    <row r="162" spans="1:8" x14ac:dyDescent="0.2">
      <c r="A162" s="1002"/>
      <c r="B162" s="1514"/>
      <c r="C162" s="40"/>
      <c r="D162" s="1034"/>
      <c r="E162" s="102"/>
      <c r="F162" s="101"/>
      <c r="G162" s="100"/>
      <c r="H162" s="100"/>
    </row>
    <row r="163" spans="1:8" x14ac:dyDescent="0.2">
      <c r="A163" s="1002" t="s">
        <v>314</v>
      </c>
      <c r="B163" s="1514"/>
      <c r="C163" s="40" t="s">
        <v>2839</v>
      </c>
      <c r="D163" s="1034" t="s">
        <v>2946</v>
      </c>
      <c r="E163" s="102">
        <v>2009</v>
      </c>
      <c r="F163" s="101" t="s">
        <v>306</v>
      </c>
      <c r="G163" s="100">
        <v>123.54</v>
      </c>
      <c r="H163" s="100">
        <v>7669.69</v>
      </c>
    </row>
    <row r="164" spans="1:8" x14ac:dyDescent="0.2">
      <c r="A164" s="1002" t="s">
        <v>315</v>
      </c>
      <c r="B164" s="1514"/>
      <c r="C164" s="40"/>
      <c r="D164" s="1034"/>
      <c r="E164" s="41"/>
      <c r="F164" s="40"/>
      <c r="G164" s="100"/>
      <c r="H164" s="100"/>
    </row>
    <row r="165" spans="1:8" x14ac:dyDescent="0.2">
      <c r="A165" s="1002" t="s">
        <v>316</v>
      </c>
      <c r="B165" s="1514"/>
      <c r="C165" s="40"/>
      <c r="D165" s="1034"/>
      <c r="E165" s="41"/>
      <c r="F165" s="40"/>
      <c r="G165" s="100"/>
      <c r="H165" s="100"/>
    </row>
    <row r="166" spans="1:8" x14ac:dyDescent="0.2">
      <c r="A166" s="1002" t="s">
        <v>317</v>
      </c>
      <c r="B166" s="1514"/>
      <c r="C166" s="40"/>
      <c r="D166" s="1034"/>
      <c r="E166" s="41"/>
      <c r="F166" s="40"/>
      <c r="G166" s="100"/>
      <c r="H166" s="100"/>
    </row>
    <row r="167" spans="1:8" x14ac:dyDescent="0.2">
      <c r="A167" s="1002" t="s">
        <v>318</v>
      </c>
      <c r="B167" s="1514"/>
      <c r="C167" s="40"/>
      <c r="D167" s="1034"/>
      <c r="E167" s="41"/>
      <c r="F167" s="40"/>
      <c r="G167" s="100"/>
      <c r="H167" s="100"/>
    </row>
    <row r="168" spans="1:8" ht="12.75" thickBot="1" x14ac:dyDescent="0.25">
      <c r="A168" s="1008"/>
      <c r="B168" s="1515"/>
      <c r="C168" s="120"/>
      <c r="D168" s="1016"/>
      <c r="E168" s="120"/>
      <c r="F168" s="38"/>
      <c r="G168" s="997"/>
      <c r="H168" s="112"/>
    </row>
    <row r="169" spans="1:8" x14ac:dyDescent="0.2">
      <c r="A169" s="1025" t="s">
        <v>2951</v>
      </c>
      <c r="B169" s="1026"/>
      <c r="C169" s="1027"/>
      <c r="D169" s="1032"/>
      <c r="E169" s="1028"/>
      <c r="F169" s="1029"/>
      <c r="G169" s="1030"/>
      <c r="H169" s="1030"/>
    </row>
    <row r="170" spans="1:8" x14ac:dyDescent="0.2">
      <c r="A170" s="1002" t="s">
        <v>308</v>
      </c>
      <c r="B170" s="1014"/>
      <c r="C170" s="101" t="s">
        <v>2952</v>
      </c>
      <c r="D170" s="1034" t="s">
        <v>2953</v>
      </c>
      <c r="E170" s="113">
        <v>2005</v>
      </c>
      <c r="F170" s="101" t="s">
        <v>2842</v>
      </c>
      <c r="G170" s="100">
        <v>0</v>
      </c>
      <c r="H170" s="100">
        <v>0</v>
      </c>
    </row>
    <row r="171" spans="1:8" x14ac:dyDescent="0.2">
      <c r="A171" s="1002"/>
      <c r="B171" s="1014"/>
      <c r="C171" s="101"/>
      <c r="D171" s="1034"/>
      <c r="E171" s="113"/>
      <c r="F171" s="101"/>
      <c r="G171" s="100"/>
      <c r="H171" s="100"/>
    </row>
    <row r="172" spans="1:8" x14ac:dyDescent="0.2">
      <c r="A172" s="1002" t="s">
        <v>2954</v>
      </c>
      <c r="B172" s="1014"/>
      <c r="C172" s="101"/>
      <c r="D172" s="1034"/>
      <c r="E172" s="113"/>
      <c r="F172" s="101"/>
      <c r="G172" s="100"/>
      <c r="H172" s="100"/>
    </row>
    <row r="173" spans="1:8" x14ac:dyDescent="0.2">
      <c r="A173" s="1002" t="s">
        <v>2955</v>
      </c>
      <c r="B173" s="1014"/>
      <c r="C173" s="101" t="s">
        <v>2952</v>
      </c>
      <c r="D173" s="1034" t="s">
        <v>2953</v>
      </c>
      <c r="E173" s="113" t="s">
        <v>2956</v>
      </c>
      <c r="F173" s="101" t="s">
        <v>2842</v>
      </c>
      <c r="G173" s="100">
        <v>182510.98</v>
      </c>
      <c r="H173" s="100">
        <v>49170.97</v>
      </c>
    </row>
    <row r="174" spans="1:8" x14ac:dyDescent="0.2">
      <c r="A174" s="1002" t="s">
        <v>2957</v>
      </c>
      <c r="B174" s="1014"/>
      <c r="C174" s="101" t="s">
        <v>2952</v>
      </c>
      <c r="D174" s="1034" t="s">
        <v>2958</v>
      </c>
      <c r="E174" s="113">
        <v>2001</v>
      </c>
      <c r="F174" s="101" t="s">
        <v>2842</v>
      </c>
      <c r="G174" s="100">
        <v>4282.76</v>
      </c>
      <c r="H174" s="100">
        <v>590.67999999999995</v>
      </c>
    </row>
    <row r="175" spans="1:8" x14ac:dyDescent="0.2">
      <c r="A175" s="1002"/>
      <c r="B175" s="1014"/>
      <c r="C175" s="101"/>
      <c r="D175" s="1034"/>
      <c r="E175" s="113"/>
      <c r="F175" s="101"/>
      <c r="G175" s="100"/>
      <c r="H175" s="100"/>
    </row>
    <row r="176" spans="1:8" x14ac:dyDescent="0.2">
      <c r="A176" s="1002" t="s">
        <v>310</v>
      </c>
      <c r="B176" s="1014"/>
      <c r="C176" s="101"/>
      <c r="D176" s="1034"/>
      <c r="E176" s="113"/>
      <c r="F176" s="101"/>
      <c r="G176" s="100"/>
      <c r="H176" s="100"/>
    </row>
    <row r="177" spans="1:8" x14ac:dyDescent="0.2">
      <c r="A177" s="1002" t="s">
        <v>2917</v>
      </c>
      <c r="B177" s="1014"/>
      <c r="C177" s="101"/>
      <c r="D177" s="1034"/>
      <c r="E177" s="113"/>
      <c r="F177" s="101"/>
      <c r="G177" s="100"/>
      <c r="H177" s="100"/>
    </row>
    <row r="178" spans="1:8" x14ac:dyDescent="0.2">
      <c r="A178" s="1002"/>
      <c r="B178" s="1014"/>
      <c r="C178" s="101"/>
      <c r="D178" s="1034"/>
      <c r="E178" s="113"/>
      <c r="F178" s="101"/>
      <c r="G178" s="100"/>
      <c r="H178" s="100"/>
    </row>
    <row r="179" spans="1:8" x14ac:dyDescent="0.2">
      <c r="A179" s="1002" t="s">
        <v>312</v>
      </c>
      <c r="B179" s="1014"/>
      <c r="C179" s="101"/>
      <c r="D179" s="1034"/>
      <c r="E179" s="113"/>
      <c r="F179" s="101"/>
      <c r="G179" s="100"/>
      <c r="H179" s="100"/>
    </row>
    <row r="180" spans="1:8" x14ac:dyDescent="0.2">
      <c r="A180" s="1002" t="s">
        <v>2959</v>
      </c>
      <c r="B180" s="1014"/>
      <c r="C180" s="101" t="s">
        <v>2952</v>
      </c>
      <c r="D180" s="1034" t="s">
        <v>2953</v>
      </c>
      <c r="E180" s="113" t="s">
        <v>2956</v>
      </c>
      <c r="F180" s="101" t="s">
        <v>2842</v>
      </c>
      <c r="G180" s="100">
        <v>145551.34</v>
      </c>
      <c r="H180" s="100">
        <v>466726.2</v>
      </c>
    </row>
    <row r="181" spans="1:8" x14ac:dyDescent="0.2">
      <c r="A181" s="1002" t="s">
        <v>2960</v>
      </c>
      <c r="B181" s="1014"/>
      <c r="C181" s="101" t="s">
        <v>2952</v>
      </c>
      <c r="D181" s="1034" t="s">
        <v>2961</v>
      </c>
      <c r="E181" s="113" t="s">
        <v>2962</v>
      </c>
      <c r="F181" s="101" t="s">
        <v>2842</v>
      </c>
      <c r="G181" s="100">
        <v>44339.98</v>
      </c>
      <c r="H181" s="100">
        <v>44339.98</v>
      </c>
    </row>
    <row r="182" spans="1:8" x14ac:dyDescent="0.2">
      <c r="A182" s="1002"/>
      <c r="B182" s="1014"/>
      <c r="C182" s="101"/>
      <c r="D182" s="1034"/>
      <c r="E182" s="113"/>
      <c r="F182" s="101"/>
      <c r="G182" s="100"/>
      <c r="H182" s="100"/>
    </row>
    <row r="183" spans="1:8" x14ac:dyDescent="0.2">
      <c r="A183" s="1002" t="s">
        <v>313</v>
      </c>
      <c r="B183" s="1014"/>
      <c r="C183" s="101"/>
      <c r="D183" s="1034"/>
      <c r="E183" s="113"/>
      <c r="F183" s="101"/>
      <c r="G183" s="133"/>
      <c r="H183" s="133"/>
    </row>
    <row r="184" spans="1:8" x14ac:dyDescent="0.2">
      <c r="A184" s="1002"/>
      <c r="B184" s="1014"/>
      <c r="C184" s="101"/>
      <c r="D184" s="1034"/>
      <c r="E184" s="113"/>
      <c r="F184" s="101"/>
      <c r="G184" s="100"/>
      <c r="H184" s="100"/>
    </row>
    <row r="185" spans="1:8" x14ac:dyDescent="0.2">
      <c r="A185" s="1002" t="s">
        <v>314</v>
      </c>
      <c r="B185" s="1014"/>
      <c r="C185" s="101" t="s">
        <v>2952</v>
      </c>
      <c r="D185" s="1034" t="s">
        <v>2953</v>
      </c>
      <c r="E185" s="113">
        <v>2005</v>
      </c>
      <c r="F185" s="101" t="s">
        <v>2842</v>
      </c>
      <c r="G185" s="133">
        <v>2694.13</v>
      </c>
      <c r="H185" s="133">
        <v>2694.13</v>
      </c>
    </row>
    <row r="186" spans="1:8" x14ac:dyDescent="0.2">
      <c r="A186" s="1002" t="s">
        <v>315</v>
      </c>
      <c r="B186" s="1014"/>
      <c r="C186" s="40"/>
      <c r="D186" s="1034"/>
      <c r="E186" s="41"/>
      <c r="F186" s="40"/>
      <c r="G186" s="100"/>
      <c r="H186" s="100"/>
    </row>
    <row r="187" spans="1:8" x14ac:dyDescent="0.2">
      <c r="A187" s="1002" t="s">
        <v>316</v>
      </c>
      <c r="B187" s="1014"/>
      <c r="C187" s="40"/>
      <c r="D187" s="1034"/>
      <c r="E187" s="41"/>
      <c r="F187" s="40"/>
      <c r="G187" s="100"/>
      <c r="H187" s="100"/>
    </row>
    <row r="188" spans="1:8" x14ac:dyDescent="0.2">
      <c r="A188" s="1002" t="s">
        <v>317</v>
      </c>
      <c r="B188" s="1014"/>
      <c r="C188" s="40"/>
      <c r="D188" s="1034"/>
      <c r="E188" s="41"/>
      <c r="F188" s="40"/>
      <c r="G188" s="100"/>
      <c r="H188" s="100"/>
    </row>
    <row r="189" spans="1:8" ht="12.75" thickBot="1" x14ac:dyDescent="0.25">
      <c r="A189" s="1002" t="s">
        <v>318</v>
      </c>
      <c r="B189" s="1014"/>
      <c r="C189" s="40"/>
      <c r="D189" s="1034"/>
      <c r="E189" s="41"/>
      <c r="F189" s="40"/>
      <c r="G189" s="100"/>
      <c r="H189" s="100"/>
    </row>
    <row r="190" spans="1:8" x14ac:dyDescent="0.2">
      <c r="A190" s="1025" t="s">
        <v>1092</v>
      </c>
      <c r="B190" s="1026"/>
      <c r="C190" s="1027"/>
      <c r="D190" s="1032"/>
      <c r="E190" s="1028"/>
      <c r="F190" s="1029"/>
      <c r="G190" s="1030"/>
      <c r="H190" s="1030"/>
    </row>
    <row r="191" spans="1:8" x14ac:dyDescent="0.2">
      <c r="A191" s="1002" t="s">
        <v>308</v>
      </c>
      <c r="B191" s="1014">
        <v>1660</v>
      </c>
      <c r="C191" s="40" t="s">
        <v>2952</v>
      </c>
      <c r="D191" s="1034"/>
      <c r="E191" s="104"/>
      <c r="F191" s="40" t="s">
        <v>2842</v>
      </c>
      <c r="G191" s="100">
        <v>0</v>
      </c>
      <c r="H191" s="100">
        <v>0</v>
      </c>
    </row>
    <row r="192" spans="1:8" x14ac:dyDescent="0.2">
      <c r="A192" s="1002"/>
      <c r="B192" s="1014"/>
      <c r="C192" s="40"/>
      <c r="D192" s="1034"/>
      <c r="E192" s="104"/>
      <c r="F192" s="40"/>
      <c r="G192" s="100"/>
      <c r="H192" s="100"/>
    </row>
    <row r="193" spans="1:8" x14ac:dyDescent="0.2">
      <c r="A193" s="1002" t="s">
        <v>309</v>
      </c>
      <c r="B193" s="1014">
        <v>1660</v>
      </c>
      <c r="C193" s="40" t="s">
        <v>2952</v>
      </c>
      <c r="D193" s="1036">
        <v>512076386</v>
      </c>
      <c r="E193" s="104">
        <v>2017</v>
      </c>
      <c r="F193" s="40" t="s">
        <v>2842</v>
      </c>
      <c r="G193" s="100">
        <f>35193.85+6033.36</f>
        <v>41227.21</v>
      </c>
      <c r="H193" s="100">
        <f>4041.98+30782.39</f>
        <v>34824.370000000003</v>
      </c>
    </row>
    <row r="194" spans="1:8" x14ac:dyDescent="0.2">
      <c r="A194" s="1002"/>
      <c r="B194" s="1014"/>
      <c r="C194" s="40"/>
      <c r="D194" s="1036"/>
      <c r="E194" s="104"/>
      <c r="F194" s="40"/>
      <c r="G194" s="100"/>
      <c r="H194" s="100"/>
    </row>
    <row r="195" spans="1:8" x14ac:dyDescent="0.2">
      <c r="A195" s="1002" t="s">
        <v>310</v>
      </c>
      <c r="B195" s="1014">
        <v>1660</v>
      </c>
      <c r="C195" s="40" t="s">
        <v>2952</v>
      </c>
      <c r="D195" s="1036">
        <v>512076378</v>
      </c>
      <c r="E195" s="104">
        <v>2020</v>
      </c>
      <c r="F195" s="40" t="s">
        <v>2842</v>
      </c>
      <c r="G195" s="100">
        <v>649257.48</v>
      </c>
      <c r="H195" s="100">
        <v>375486</v>
      </c>
    </row>
    <row r="196" spans="1:8" x14ac:dyDescent="0.2">
      <c r="A196" s="1002" t="s">
        <v>2917</v>
      </c>
      <c r="B196" s="1014"/>
      <c r="C196" s="40"/>
      <c r="D196" s="1036"/>
      <c r="E196" s="104"/>
      <c r="F196" s="40"/>
      <c r="G196" s="100"/>
      <c r="H196" s="100"/>
    </row>
    <row r="197" spans="1:8" x14ac:dyDescent="0.2">
      <c r="A197" s="1002"/>
      <c r="B197" s="1014"/>
      <c r="C197" s="40"/>
      <c r="D197" s="1036"/>
      <c r="E197" s="104"/>
      <c r="F197" s="40"/>
      <c r="G197" s="100"/>
      <c r="H197" s="100"/>
    </row>
    <row r="198" spans="1:8" x14ac:dyDescent="0.2">
      <c r="A198" s="1002" t="s">
        <v>312</v>
      </c>
      <c r="B198" s="1014">
        <v>1660</v>
      </c>
      <c r="C198" s="40" t="s">
        <v>2952</v>
      </c>
      <c r="D198" s="1036">
        <v>512076378</v>
      </c>
      <c r="E198" s="104">
        <v>2017</v>
      </c>
      <c r="F198" s="40" t="s">
        <v>2842</v>
      </c>
      <c r="G198" s="100">
        <v>365818.16</v>
      </c>
      <c r="H198" s="100">
        <v>319531</v>
      </c>
    </row>
    <row r="199" spans="1:8" x14ac:dyDescent="0.2">
      <c r="A199" s="1002"/>
      <c r="B199" s="1014"/>
      <c r="C199" s="40"/>
      <c r="D199" s="1036"/>
      <c r="E199" s="104"/>
      <c r="F199" s="40"/>
      <c r="G199" s="100"/>
      <c r="H199" s="100"/>
    </row>
    <row r="200" spans="1:8" x14ac:dyDescent="0.2">
      <c r="A200" s="1002" t="s">
        <v>313</v>
      </c>
      <c r="B200" s="1014">
        <v>1660</v>
      </c>
      <c r="C200" s="40" t="s">
        <v>2952</v>
      </c>
      <c r="D200" s="1036" t="s">
        <v>2918</v>
      </c>
      <c r="E200" s="104">
        <v>2017</v>
      </c>
      <c r="F200" s="40" t="s">
        <v>2842</v>
      </c>
      <c r="G200" s="100"/>
      <c r="H200" s="100"/>
    </row>
    <row r="201" spans="1:8" x14ac:dyDescent="0.2">
      <c r="A201" s="1002"/>
      <c r="B201" s="1014"/>
      <c r="C201" s="40"/>
      <c r="D201" s="1036"/>
      <c r="E201" s="104"/>
      <c r="F201" s="40"/>
      <c r="G201" s="100"/>
      <c r="H201" s="100"/>
    </row>
    <row r="202" spans="1:8" x14ac:dyDescent="0.2">
      <c r="A202" s="1002" t="s">
        <v>314</v>
      </c>
      <c r="B202" s="1014">
        <v>1660</v>
      </c>
      <c r="C202" s="40" t="s">
        <v>2952</v>
      </c>
      <c r="D202" s="1036" t="s">
        <v>2918</v>
      </c>
      <c r="E202" s="104">
        <v>2017</v>
      </c>
      <c r="F202" s="40"/>
      <c r="G202" s="100">
        <v>2285</v>
      </c>
      <c r="H202" s="100">
        <v>284044.2</v>
      </c>
    </row>
    <row r="203" spans="1:8" x14ac:dyDescent="0.2">
      <c r="A203" s="1002" t="s">
        <v>315</v>
      </c>
      <c r="B203" s="1014"/>
      <c r="C203" s="40"/>
      <c r="D203" s="1036"/>
      <c r="E203" s="104"/>
      <c r="F203" s="40"/>
      <c r="G203" s="100"/>
      <c r="H203" s="100"/>
    </row>
    <row r="204" spans="1:8" x14ac:dyDescent="0.2">
      <c r="A204" s="1002" t="s">
        <v>316</v>
      </c>
      <c r="B204" s="1014"/>
      <c r="C204" s="40"/>
      <c r="D204" s="1036"/>
      <c r="E204" s="104"/>
      <c r="F204" s="40"/>
      <c r="G204" s="100"/>
      <c r="H204" s="100"/>
    </row>
    <row r="205" spans="1:8" x14ac:dyDescent="0.2">
      <c r="A205" s="1002" t="s">
        <v>317</v>
      </c>
      <c r="B205" s="1014"/>
      <c r="C205" s="40"/>
      <c r="D205" s="1036"/>
      <c r="E205" s="104"/>
      <c r="F205" s="40"/>
      <c r="G205" s="100"/>
      <c r="H205" s="100"/>
    </row>
    <row r="206" spans="1:8" x14ac:dyDescent="0.2">
      <c r="A206" s="1002" t="s">
        <v>318</v>
      </c>
      <c r="B206" s="1014"/>
      <c r="C206" s="40"/>
      <c r="D206" s="1036"/>
      <c r="E206" s="104"/>
      <c r="F206" s="40"/>
      <c r="G206" s="100"/>
      <c r="H206" s="100"/>
    </row>
    <row r="207" spans="1:8" x14ac:dyDescent="0.2">
      <c r="A207" s="1002" t="s">
        <v>2930</v>
      </c>
      <c r="B207" s="1014"/>
      <c r="C207" s="40"/>
      <c r="D207" s="1036"/>
      <c r="E207" s="104"/>
      <c r="F207" s="40"/>
      <c r="G207" s="100"/>
      <c r="H207" s="100"/>
    </row>
    <row r="208" spans="1:8" ht="12.75" thickBot="1" x14ac:dyDescent="0.25">
      <c r="A208" s="1008"/>
      <c r="B208" s="1016"/>
      <c r="C208" s="120"/>
      <c r="D208" s="1016"/>
      <c r="E208" s="120"/>
      <c r="F208" s="38"/>
      <c r="G208" s="997"/>
      <c r="H208" s="112"/>
    </row>
    <row r="209" spans="1:8" x14ac:dyDescent="0.2">
      <c r="A209" s="1025" t="s">
        <v>2963</v>
      </c>
      <c r="B209" s="1026"/>
      <c r="C209" s="1027"/>
      <c r="D209" s="1032"/>
      <c r="E209" s="1028"/>
      <c r="F209" s="1029"/>
      <c r="G209" s="1030"/>
      <c r="H209" s="1030"/>
    </row>
    <row r="210" spans="1:8" x14ac:dyDescent="0.2">
      <c r="A210" s="1007"/>
      <c r="F210" s="36"/>
    </row>
    <row r="211" spans="1:8" x14ac:dyDescent="0.2">
      <c r="A211" s="1001" t="s">
        <v>308</v>
      </c>
      <c r="B211" s="1017" t="s">
        <v>2964</v>
      </c>
      <c r="C211" s="122" t="s">
        <v>2839</v>
      </c>
      <c r="D211" s="1043" t="s">
        <v>2965</v>
      </c>
      <c r="E211" s="121">
        <v>2005</v>
      </c>
      <c r="F211" s="122" t="s">
        <v>2842</v>
      </c>
      <c r="G211" s="123">
        <v>0</v>
      </c>
      <c r="H211" s="100">
        <v>0</v>
      </c>
    </row>
    <row r="212" spans="1:8" x14ac:dyDescent="0.2">
      <c r="A212" s="1002"/>
      <c r="B212" s="1017" t="s">
        <v>2964</v>
      </c>
      <c r="C212" s="122" t="s">
        <v>2839</v>
      </c>
      <c r="D212" s="1043" t="s">
        <v>2966</v>
      </c>
      <c r="E212" s="121">
        <v>2009</v>
      </c>
      <c r="F212" s="122" t="s">
        <v>2842</v>
      </c>
      <c r="G212" s="123">
        <v>687059.76</v>
      </c>
      <c r="H212" s="100">
        <v>687059.76</v>
      </c>
    </row>
    <row r="213" spans="1:8" x14ac:dyDescent="0.2">
      <c r="A213" s="1002"/>
      <c r="B213" s="1017"/>
      <c r="C213" s="122"/>
      <c r="D213" s="1044"/>
      <c r="E213" s="41"/>
      <c r="F213" s="40"/>
      <c r="G213" s="100"/>
      <c r="H213" s="100"/>
    </row>
    <row r="214" spans="1:8" x14ac:dyDescent="0.2">
      <c r="A214" s="1001" t="s">
        <v>309</v>
      </c>
      <c r="B214" s="1017" t="s">
        <v>2964</v>
      </c>
      <c r="C214" s="122" t="s">
        <v>2839</v>
      </c>
      <c r="D214" s="1043" t="s">
        <v>2967</v>
      </c>
      <c r="E214" s="121">
        <v>2001</v>
      </c>
      <c r="F214" s="122" t="s">
        <v>2842</v>
      </c>
      <c r="G214" s="123">
        <v>45372.71</v>
      </c>
      <c r="H214" s="100">
        <v>8948.89</v>
      </c>
    </row>
    <row r="215" spans="1:8" x14ac:dyDescent="0.2">
      <c r="A215" s="1002"/>
      <c r="B215" s="1017" t="s">
        <v>2964</v>
      </c>
      <c r="C215" s="122" t="s">
        <v>2839</v>
      </c>
      <c r="D215" s="1043" t="s">
        <v>2968</v>
      </c>
      <c r="E215" s="121">
        <v>2001</v>
      </c>
      <c r="F215" s="122" t="s">
        <v>2842</v>
      </c>
      <c r="G215" s="123">
        <v>1198082.06</v>
      </c>
      <c r="H215" s="100">
        <v>1381135.35</v>
      </c>
    </row>
    <row r="216" spans="1:8" x14ac:dyDescent="0.2">
      <c r="A216" s="1009" t="s">
        <v>2955</v>
      </c>
      <c r="B216" s="1017" t="s">
        <v>2964</v>
      </c>
      <c r="C216" s="122" t="s">
        <v>2839</v>
      </c>
      <c r="D216" s="1043" t="s">
        <v>2965</v>
      </c>
      <c r="E216" s="121">
        <v>2013</v>
      </c>
      <c r="F216" s="122" t="s">
        <v>2842</v>
      </c>
      <c r="G216" s="123">
        <v>340387.31</v>
      </c>
      <c r="H216" s="100">
        <v>0</v>
      </c>
    </row>
    <row r="217" spans="1:8" x14ac:dyDescent="0.2">
      <c r="A217" s="1002"/>
      <c r="B217" s="1014"/>
      <c r="C217" s="41"/>
      <c r="D217" s="1034"/>
      <c r="E217" s="41"/>
      <c r="F217" s="40"/>
      <c r="G217" s="100"/>
      <c r="H217" s="100"/>
    </row>
    <row r="218" spans="1:8" x14ac:dyDescent="0.2">
      <c r="A218" s="1002"/>
      <c r="B218" s="1014"/>
      <c r="C218" s="41"/>
      <c r="D218" s="1034"/>
      <c r="E218" s="41"/>
      <c r="F218" s="40"/>
      <c r="G218" s="100"/>
      <c r="H218" s="100"/>
    </row>
    <row r="219" spans="1:8" x14ac:dyDescent="0.2">
      <c r="A219" s="1010" t="s">
        <v>2969</v>
      </c>
      <c r="B219" s="1018" t="s">
        <v>2964</v>
      </c>
      <c r="C219" s="122" t="s">
        <v>2839</v>
      </c>
      <c r="D219" s="1043" t="s">
        <v>2970</v>
      </c>
      <c r="E219" s="121">
        <v>2003</v>
      </c>
      <c r="F219" s="122" t="s">
        <v>2842</v>
      </c>
      <c r="G219" s="123">
        <v>176.05</v>
      </c>
      <c r="H219" s="100">
        <v>176.05</v>
      </c>
    </row>
    <row r="220" spans="1:8" x14ac:dyDescent="0.2">
      <c r="A220" s="1009" t="s">
        <v>2971</v>
      </c>
      <c r="B220" s="1018" t="s">
        <v>2964</v>
      </c>
      <c r="C220" s="122" t="s">
        <v>2839</v>
      </c>
      <c r="D220" s="1043" t="s">
        <v>2965</v>
      </c>
      <c r="E220" s="121">
        <v>2017</v>
      </c>
      <c r="F220" s="122" t="s">
        <v>2842</v>
      </c>
      <c r="G220" s="123">
        <v>1976.97</v>
      </c>
      <c r="H220" s="100">
        <v>0</v>
      </c>
    </row>
    <row r="221" spans="1:8" x14ac:dyDescent="0.2">
      <c r="A221" s="1009" t="s">
        <v>2972</v>
      </c>
      <c r="B221" s="1018" t="s">
        <v>2964</v>
      </c>
      <c r="C221" s="122" t="s">
        <v>2839</v>
      </c>
      <c r="D221" s="1043" t="s">
        <v>2965</v>
      </c>
      <c r="E221" s="121">
        <v>2017</v>
      </c>
      <c r="F221" s="122" t="s">
        <v>2842</v>
      </c>
      <c r="G221" s="123">
        <v>2744439.32</v>
      </c>
      <c r="H221" s="100">
        <v>0</v>
      </c>
    </row>
    <row r="222" spans="1:8" x14ac:dyDescent="0.2">
      <c r="A222" s="1002"/>
      <c r="B222" s="1014"/>
      <c r="C222" s="41"/>
      <c r="D222" s="1034"/>
      <c r="E222" s="41"/>
      <c r="F222" s="40"/>
      <c r="G222" s="100"/>
      <c r="H222" s="100"/>
    </row>
    <row r="223" spans="1:8" x14ac:dyDescent="0.2">
      <c r="A223" s="1010" t="s">
        <v>2973</v>
      </c>
      <c r="B223" s="1017"/>
      <c r="C223" s="41"/>
      <c r="D223" s="1034"/>
      <c r="E223" s="41"/>
      <c r="F223" s="40"/>
      <c r="G223" s="100"/>
      <c r="H223" s="100"/>
    </row>
    <row r="224" spans="1:8" x14ac:dyDescent="0.2">
      <c r="A224" s="1009" t="s">
        <v>2974</v>
      </c>
      <c r="B224" s="1018" t="s">
        <v>2964</v>
      </c>
      <c r="C224" s="122" t="s">
        <v>2839</v>
      </c>
      <c r="D224" s="1043" t="s">
        <v>2965</v>
      </c>
      <c r="E224" s="121">
        <v>2014</v>
      </c>
      <c r="F224" s="122" t="s">
        <v>2842</v>
      </c>
      <c r="G224" s="123">
        <v>0</v>
      </c>
      <c r="H224" s="100">
        <v>0</v>
      </c>
    </row>
    <row r="225" spans="1:8" x14ac:dyDescent="0.2">
      <c r="A225" s="1009" t="s">
        <v>2975</v>
      </c>
      <c r="B225" s="1018" t="s">
        <v>2964</v>
      </c>
      <c r="C225" s="122" t="s">
        <v>2839</v>
      </c>
      <c r="D225" s="1043" t="s">
        <v>2965</v>
      </c>
      <c r="E225" s="121">
        <v>2014</v>
      </c>
      <c r="F225" s="122" t="s">
        <v>2842</v>
      </c>
      <c r="G225" s="123">
        <v>64.66</v>
      </c>
      <c r="H225" s="100">
        <v>160294.18</v>
      </c>
    </row>
    <row r="226" spans="1:8" ht="24" x14ac:dyDescent="0.2">
      <c r="A226" s="1009" t="s">
        <v>2976</v>
      </c>
      <c r="B226" s="1018" t="s">
        <v>2964</v>
      </c>
      <c r="C226" s="122" t="s">
        <v>2839</v>
      </c>
      <c r="D226" s="1043" t="s">
        <v>2977</v>
      </c>
      <c r="E226" s="121">
        <v>2001</v>
      </c>
      <c r="F226" s="122" t="s">
        <v>2842</v>
      </c>
      <c r="G226" s="123">
        <v>2526.96</v>
      </c>
      <c r="H226" s="100">
        <v>0</v>
      </c>
    </row>
    <row r="227" spans="1:8" x14ac:dyDescent="0.2">
      <c r="A227" s="1009" t="s">
        <v>2978</v>
      </c>
      <c r="B227" s="1018" t="s">
        <v>2964</v>
      </c>
      <c r="C227" s="122" t="s">
        <v>2839</v>
      </c>
      <c r="D227" s="1043" t="s">
        <v>2979</v>
      </c>
      <c r="E227" s="121">
        <v>2007</v>
      </c>
      <c r="F227" s="122" t="s">
        <v>2842</v>
      </c>
      <c r="G227" s="123">
        <v>73710.86</v>
      </c>
      <c r="H227" s="100">
        <v>5221.16</v>
      </c>
    </row>
    <row r="228" spans="1:8" x14ac:dyDescent="0.2">
      <c r="A228" s="1009" t="s">
        <v>2980</v>
      </c>
      <c r="B228" s="1018" t="s">
        <v>2964</v>
      </c>
      <c r="C228" s="122" t="s">
        <v>2839</v>
      </c>
      <c r="D228" s="1043" t="s">
        <v>2981</v>
      </c>
      <c r="E228" s="121">
        <v>2005</v>
      </c>
      <c r="F228" s="122" t="s">
        <v>2842</v>
      </c>
      <c r="G228" s="123">
        <v>5221.16</v>
      </c>
      <c r="H228" s="100">
        <v>73710.86</v>
      </c>
    </row>
    <row r="229" spans="1:8" x14ac:dyDescent="0.2">
      <c r="A229" s="1009" t="s">
        <v>2982</v>
      </c>
      <c r="B229" s="1018" t="s">
        <v>2964</v>
      </c>
      <c r="C229" s="122" t="s">
        <v>2839</v>
      </c>
      <c r="D229" s="1043" t="s">
        <v>2983</v>
      </c>
      <c r="E229" s="121">
        <v>2005</v>
      </c>
      <c r="F229" s="122" t="s">
        <v>2842</v>
      </c>
      <c r="G229" s="123">
        <v>0.6</v>
      </c>
      <c r="H229" s="100">
        <v>0</v>
      </c>
    </row>
    <row r="230" spans="1:8" x14ac:dyDescent="0.2">
      <c r="A230" s="1009" t="s">
        <v>2984</v>
      </c>
      <c r="B230" s="1018" t="s">
        <v>2964</v>
      </c>
      <c r="C230" s="122" t="s">
        <v>2839</v>
      </c>
      <c r="D230" s="1043" t="s">
        <v>2985</v>
      </c>
      <c r="E230" s="121">
        <v>2011</v>
      </c>
      <c r="F230" s="122" t="s">
        <v>2842</v>
      </c>
      <c r="G230" s="123">
        <v>549.75</v>
      </c>
      <c r="H230" s="100">
        <v>549.75</v>
      </c>
    </row>
    <row r="231" spans="1:8" x14ac:dyDescent="0.2">
      <c r="A231" s="1009" t="s">
        <v>2986</v>
      </c>
      <c r="B231" s="1018" t="s">
        <v>2964</v>
      </c>
      <c r="C231" s="122" t="s">
        <v>2839</v>
      </c>
      <c r="D231" s="1043" t="s">
        <v>2987</v>
      </c>
      <c r="E231" s="121">
        <v>2007</v>
      </c>
      <c r="F231" s="122" t="s">
        <v>2842</v>
      </c>
      <c r="G231" s="123">
        <v>0</v>
      </c>
      <c r="H231" s="100">
        <v>0</v>
      </c>
    </row>
    <row r="232" spans="1:8" ht="12.75" thickBot="1" x14ac:dyDescent="0.25">
      <c r="A232" s="1007"/>
      <c r="F232" s="36"/>
    </row>
    <row r="233" spans="1:8" x14ac:dyDescent="0.2">
      <c r="A233" s="1025" t="s">
        <v>2988</v>
      </c>
      <c r="B233" s="1026"/>
      <c r="C233" s="1027"/>
      <c r="D233" s="1032"/>
      <c r="E233" s="1028"/>
      <c r="F233" s="1029"/>
      <c r="G233" s="1030"/>
      <c r="H233" s="1030"/>
    </row>
    <row r="234" spans="1:8" x14ac:dyDescent="0.2">
      <c r="A234" s="1007"/>
      <c r="F234" s="36"/>
      <c r="H234" s="100"/>
    </row>
    <row r="235" spans="1:8" x14ac:dyDescent="0.2">
      <c r="A235" s="1002" t="s">
        <v>308</v>
      </c>
      <c r="B235" s="1014" t="s">
        <v>2989</v>
      </c>
      <c r="C235" s="40" t="s">
        <v>2839</v>
      </c>
      <c r="D235" s="1034" t="s">
        <v>2990</v>
      </c>
      <c r="E235" s="124" t="s">
        <v>2991</v>
      </c>
      <c r="F235" s="40" t="s">
        <v>2842</v>
      </c>
      <c r="G235" s="133">
        <v>0</v>
      </c>
      <c r="H235" s="133">
        <v>0</v>
      </c>
    </row>
    <row r="236" spans="1:8" x14ac:dyDescent="0.2">
      <c r="A236" s="1002"/>
      <c r="B236" s="1014"/>
      <c r="C236" s="40"/>
      <c r="D236" s="1034"/>
      <c r="E236" s="41"/>
      <c r="F236" s="40"/>
      <c r="G236" s="133"/>
      <c r="H236" s="133"/>
    </row>
    <row r="237" spans="1:8" x14ac:dyDescent="0.2">
      <c r="A237" s="1002" t="s">
        <v>309</v>
      </c>
      <c r="B237" s="1014" t="s">
        <v>2989</v>
      </c>
      <c r="C237" s="40" t="s">
        <v>2839</v>
      </c>
      <c r="D237" s="1034" t="s">
        <v>2992</v>
      </c>
      <c r="E237" s="124" t="s">
        <v>2993</v>
      </c>
      <c r="F237" s="40" t="s">
        <v>2842</v>
      </c>
      <c r="G237" s="133">
        <v>1571.13</v>
      </c>
      <c r="H237" s="133">
        <v>4076.12</v>
      </c>
    </row>
    <row r="238" spans="1:8" x14ac:dyDescent="0.2">
      <c r="A238" s="1002" t="s">
        <v>2994</v>
      </c>
      <c r="B238" s="1014" t="s">
        <v>2989</v>
      </c>
      <c r="C238" s="40" t="s">
        <v>2839</v>
      </c>
      <c r="D238" s="1034" t="s">
        <v>2990</v>
      </c>
      <c r="E238" s="124" t="s">
        <v>2995</v>
      </c>
      <c r="F238" s="40" t="s">
        <v>2842</v>
      </c>
      <c r="G238" s="133">
        <v>59.42</v>
      </c>
      <c r="H238" s="133">
        <v>14196.84</v>
      </c>
    </row>
    <row r="239" spans="1:8" x14ac:dyDescent="0.2">
      <c r="A239" s="1002" t="s">
        <v>310</v>
      </c>
      <c r="B239" s="1014" t="s">
        <v>2989</v>
      </c>
      <c r="C239" s="40" t="s">
        <v>2839</v>
      </c>
      <c r="D239" s="1034" t="s">
        <v>2990</v>
      </c>
      <c r="E239" s="124" t="s">
        <v>2996</v>
      </c>
      <c r="F239" s="40" t="s">
        <v>2842</v>
      </c>
      <c r="G239" s="133">
        <v>0.65</v>
      </c>
      <c r="H239" s="133">
        <v>0.65</v>
      </c>
    </row>
    <row r="240" spans="1:8" x14ac:dyDescent="0.2">
      <c r="A240" s="1002" t="s">
        <v>2917</v>
      </c>
      <c r="B240" s="1014"/>
      <c r="C240" s="40"/>
      <c r="D240" s="1034"/>
      <c r="E240" s="41"/>
      <c r="F240" s="40"/>
      <c r="G240" s="133"/>
      <c r="H240" s="133"/>
    </row>
    <row r="241" spans="1:8" x14ac:dyDescent="0.2">
      <c r="A241" s="1002"/>
      <c r="B241" s="1014"/>
      <c r="C241" s="40"/>
      <c r="D241" s="1034"/>
      <c r="E241" s="41"/>
      <c r="F241" s="40"/>
      <c r="G241" s="133"/>
      <c r="H241" s="133"/>
    </row>
    <row r="242" spans="1:8" x14ac:dyDescent="0.2">
      <c r="A242" s="1002" t="s">
        <v>312</v>
      </c>
      <c r="B242" s="1014" t="s">
        <v>2989</v>
      </c>
      <c r="C242" s="40" t="s">
        <v>2839</v>
      </c>
      <c r="D242" s="1034" t="s">
        <v>2990</v>
      </c>
      <c r="E242" s="124" t="s">
        <v>2997</v>
      </c>
      <c r="F242" s="40" t="s">
        <v>2842</v>
      </c>
      <c r="G242" s="133">
        <v>0</v>
      </c>
      <c r="H242" s="133">
        <v>0</v>
      </c>
    </row>
    <row r="243" spans="1:8" x14ac:dyDescent="0.2">
      <c r="A243" s="1002"/>
      <c r="B243" s="1014"/>
      <c r="C243" s="40"/>
      <c r="D243" s="1034"/>
      <c r="E243" s="41"/>
      <c r="F243" s="40"/>
      <c r="G243" s="133"/>
      <c r="H243" s="133"/>
    </row>
    <row r="244" spans="1:8" x14ac:dyDescent="0.2">
      <c r="A244" s="1002" t="s">
        <v>313</v>
      </c>
      <c r="B244" s="1014"/>
      <c r="C244" s="40"/>
      <c r="D244" s="1034"/>
      <c r="E244" s="41"/>
      <c r="F244" s="40"/>
      <c r="G244" s="133"/>
      <c r="H244" s="133"/>
    </row>
    <row r="245" spans="1:8" x14ac:dyDescent="0.2">
      <c r="A245" s="1002"/>
      <c r="B245" s="1014"/>
      <c r="C245" s="40"/>
      <c r="D245" s="1034"/>
      <c r="E245" s="41"/>
      <c r="F245" s="40"/>
      <c r="G245" s="133"/>
      <c r="H245" s="133"/>
    </row>
    <row r="246" spans="1:8" x14ac:dyDescent="0.2">
      <c r="A246" s="1002" t="s">
        <v>314</v>
      </c>
      <c r="B246" s="1014" t="s">
        <v>2989</v>
      </c>
      <c r="C246" s="40" t="s">
        <v>2839</v>
      </c>
      <c r="D246" s="1034" t="s">
        <v>2990</v>
      </c>
      <c r="E246" s="124" t="s">
        <v>2998</v>
      </c>
      <c r="F246" s="40" t="s">
        <v>2842</v>
      </c>
      <c r="G246" s="133">
        <v>5.64</v>
      </c>
      <c r="H246" s="133">
        <v>5205.8999999999996</v>
      </c>
    </row>
    <row r="247" spans="1:8" x14ac:dyDescent="0.2">
      <c r="A247" s="1002" t="s">
        <v>315</v>
      </c>
      <c r="B247" s="1014"/>
      <c r="C247" s="40"/>
      <c r="D247" s="1034"/>
      <c r="E247" s="41"/>
      <c r="F247" s="40"/>
      <c r="G247" s="133"/>
      <c r="H247" s="133"/>
    </row>
    <row r="248" spans="1:8" x14ac:dyDescent="0.2">
      <c r="A248" s="1002" t="s">
        <v>316</v>
      </c>
      <c r="B248" s="1014"/>
      <c r="C248" s="40"/>
      <c r="D248" s="1034"/>
      <c r="E248" s="41"/>
      <c r="F248" s="40"/>
      <c r="G248" s="133"/>
      <c r="H248" s="133"/>
    </row>
    <row r="249" spans="1:8" x14ac:dyDescent="0.2">
      <c r="A249" s="1002" t="s">
        <v>317</v>
      </c>
      <c r="B249" s="1014"/>
      <c r="C249" s="40"/>
      <c r="D249" s="1034"/>
      <c r="E249" s="41"/>
      <c r="F249" s="40"/>
      <c r="G249" s="133"/>
      <c r="H249" s="133"/>
    </row>
    <row r="250" spans="1:8" x14ac:dyDescent="0.2">
      <c r="A250" s="1002" t="s">
        <v>318</v>
      </c>
      <c r="B250" s="1014"/>
      <c r="C250" s="40"/>
      <c r="D250" s="1034"/>
      <c r="E250" s="41"/>
      <c r="F250" s="40"/>
      <c r="G250" s="133"/>
      <c r="H250" s="133"/>
    </row>
    <row r="251" spans="1:8" ht="12.75" thickBot="1" x14ac:dyDescent="0.25">
      <c r="A251" s="1005" t="s">
        <v>2930</v>
      </c>
      <c r="B251" s="1015"/>
      <c r="C251" s="105"/>
      <c r="D251" s="1038"/>
      <c r="E251" s="125"/>
      <c r="F251" s="105"/>
      <c r="G251" s="998"/>
      <c r="H251" s="998"/>
    </row>
    <row r="252" spans="1:8" x14ac:dyDescent="0.2">
      <c r="A252" s="1025" t="s">
        <v>2999</v>
      </c>
      <c r="B252" s="1026"/>
      <c r="C252" s="1027"/>
      <c r="D252" s="1032"/>
      <c r="E252" s="1028"/>
      <c r="F252" s="1029"/>
      <c r="G252" s="1030"/>
      <c r="H252" s="1030"/>
    </row>
    <row r="253" spans="1:8" x14ac:dyDescent="0.2">
      <c r="A253" s="1002" t="s">
        <v>308</v>
      </c>
      <c r="B253" s="1014">
        <v>1508</v>
      </c>
      <c r="C253" s="40" t="s">
        <v>2839</v>
      </c>
      <c r="D253" s="1014" t="s">
        <v>3000</v>
      </c>
      <c r="E253" s="126">
        <v>41897</v>
      </c>
      <c r="F253" s="40" t="s">
        <v>2842</v>
      </c>
      <c r="G253" s="100">
        <v>0</v>
      </c>
      <c r="H253" s="100">
        <v>0</v>
      </c>
    </row>
    <row r="254" spans="1:8" x14ac:dyDescent="0.2">
      <c r="A254" s="1002"/>
      <c r="B254" s="1014"/>
      <c r="C254" s="40"/>
      <c r="D254" s="1034"/>
      <c r="E254" s="41"/>
      <c r="F254" s="40"/>
      <c r="G254" s="100"/>
      <c r="H254" s="100"/>
    </row>
    <row r="255" spans="1:8" x14ac:dyDescent="0.2">
      <c r="A255" s="1002" t="s">
        <v>309</v>
      </c>
      <c r="B255" s="1014">
        <v>1508</v>
      </c>
      <c r="C255" s="40" t="s">
        <v>2839</v>
      </c>
      <c r="D255" s="1014" t="s">
        <v>3001</v>
      </c>
      <c r="E255" s="126">
        <v>41897</v>
      </c>
      <c r="F255" s="40" t="s">
        <v>2842</v>
      </c>
      <c r="G255" s="100">
        <v>39168.769999999997</v>
      </c>
      <c r="H255" s="100">
        <v>36232.53</v>
      </c>
    </row>
    <row r="256" spans="1:8" x14ac:dyDescent="0.2">
      <c r="A256" s="1002"/>
      <c r="B256" s="1014"/>
      <c r="C256" s="40"/>
      <c r="D256" s="1034"/>
      <c r="E256" s="41"/>
      <c r="F256" s="40"/>
      <c r="G256" s="100"/>
      <c r="H256" s="100"/>
    </row>
    <row r="257" spans="1:8" x14ac:dyDescent="0.2">
      <c r="A257" s="1002" t="s">
        <v>310</v>
      </c>
      <c r="B257" s="1014"/>
      <c r="C257" s="40"/>
      <c r="D257" s="1034"/>
      <c r="E257" s="41"/>
      <c r="F257" s="40"/>
      <c r="G257" s="100"/>
      <c r="H257" s="100"/>
    </row>
    <row r="258" spans="1:8" x14ac:dyDescent="0.2">
      <c r="A258" s="1002" t="s">
        <v>2917</v>
      </c>
      <c r="B258" s="1014"/>
      <c r="C258" s="40"/>
      <c r="D258" s="1034"/>
      <c r="E258" s="41"/>
      <c r="F258" s="40"/>
      <c r="G258" s="100"/>
      <c r="H258" s="100"/>
    </row>
    <row r="259" spans="1:8" x14ac:dyDescent="0.2">
      <c r="A259" s="1002"/>
      <c r="B259" s="1014"/>
      <c r="C259" s="40"/>
      <c r="D259" s="1034"/>
      <c r="E259" s="41"/>
      <c r="F259" s="40"/>
      <c r="G259" s="100"/>
      <c r="H259" s="100"/>
    </row>
    <row r="260" spans="1:8" x14ac:dyDescent="0.2">
      <c r="A260" s="1002" t="s">
        <v>312</v>
      </c>
      <c r="B260" s="1014">
        <v>1508</v>
      </c>
      <c r="C260" s="40" t="s">
        <v>2839</v>
      </c>
      <c r="D260" s="1034" t="s">
        <v>3000</v>
      </c>
      <c r="E260" s="41"/>
      <c r="F260" s="40" t="s">
        <v>2842</v>
      </c>
      <c r="G260" s="100">
        <v>198570.74</v>
      </c>
      <c r="H260" s="100">
        <v>42.47</v>
      </c>
    </row>
    <row r="261" spans="1:8" x14ac:dyDescent="0.2">
      <c r="A261" s="1002"/>
      <c r="B261" s="1014"/>
      <c r="C261" s="40"/>
      <c r="D261" s="1034"/>
      <c r="E261" s="41"/>
      <c r="F261" s="40"/>
      <c r="G261" s="100"/>
      <c r="H261" s="100"/>
    </row>
    <row r="262" spans="1:8" x14ac:dyDescent="0.2">
      <c r="A262" s="1002" t="s">
        <v>313</v>
      </c>
      <c r="B262" s="1014"/>
      <c r="C262" s="40"/>
      <c r="D262" s="1034"/>
      <c r="E262" s="41"/>
      <c r="F262" s="40"/>
      <c r="G262" s="100"/>
      <c r="H262" s="100"/>
    </row>
    <row r="263" spans="1:8" x14ac:dyDescent="0.2">
      <c r="A263" s="1002"/>
      <c r="B263" s="1014"/>
      <c r="C263" s="40"/>
      <c r="D263" s="1034"/>
      <c r="E263" s="41"/>
      <c r="F263" s="40"/>
      <c r="G263" s="100"/>
      <c r="H263" s="100"/>
    </row>
    <row r="264" spans="1:8" x14ac:dyDescent="0.2">
      <c r="A264" s="1002" t="s">
        <v>314</v>
      </c>
      <c r="B264" s="1014"/>
      <c r="C264" s="40"/>
      <c r="D264" s="1034"/>
      <c r="E264" s="41"/>
      <c r="F264" s="40"/>
      <c r="G264" s="100"/>
      <c r="H264" s="100"/>
    </row>
    <row r="265" spans="1:8" x14ac:dyDescent="0.2">
      <c r="A265" s="1002" t="s">
        <v>315</v>
      </c>
      <c r="B265" s="1014"/>
      <c r="C265" s="40"/>
      <c r="D265" s="1034"/>
      <c r="E265" s="41"/>
      <c r="F265" s="40"/>
      <c r="G265" s="100"/>
      <c r="H265" s="100"/>
    </row>
    <row r="266" spans="1:8" x14ac:dyDescent="0.2">
      <c r="A266" s="1002" t="s">
        <v>3002</v>
      </c>
      <c r="B266" s="1014">
        <v>1508</v>
      </c>
      <c r="C266" s="40" t="s">
        <v>2839</v>
      </c>
      <c r="D266" s="1034" t="s">
        <v>3000</v>
      </c>
      <c r="E266" s="126">
        <v>41897</v>
      </c>
      <c r="F266" s="40" t="s">
        <v>2842</v>
      </c>
      <c r="G266" s="100">
        <v>112.81</v>
      </c>
      <c r="H266" s="100">
        <v>112.89</v>
      </c>
    </row>
    <row r="267" spans="1:8" x14ac:dyDescent="0.2">
      <c r="A267" s="1002" t="s">
        <v>3003</v>
      </c>
      <c r="B267" s="1014">
        <v>1508</v>
      </c>
      <c r="C267" s="40" t="s">
        <v>2839</v>
      </c>
      <c r="D267" s="1034" t="s">
        <v>3000</v>
      </c>
      <c r="E267" s="126">
        <v>41897</v>
      </c>
      <c r="F267" s="40" t="s">
        <v>2842</v>
      </c>
      <c r="G267" s="100">
        <v>196059.59</v>
      </c>
      <c r="H267" s="100">
        <v>90430.81</v>
      </c>
    </row>
    <row r="268" spans="1:8" x14ac:dyDescent="0.2">
      <c r="A268" s="1002" t="s">
        <v>3004</v>
      </c>
      <c r="B268" s="1014">
        <v>1508</v>
      </c>
      <c r="C268" s="40" t="s">
        <v>2839</v>
      </c>
      <c r="D268" s="1034" t="s">
        <v>3000</v>
      </c>
      <c r="E268" s="126">
        <v>41897</v>
      </c>
      <c r="F268" s="40" t="s">
        <v>2842</v>
      </c>
      <c r="G268" s="100">
        <v>2183.8200000000002</v>
      </c>
      <c r="H268" s="100">
        <v>2185.96</v>
      </c>
    </row>
    <row r="269" spans="1:8" x14ac:dyDescent="0.2">
      <c r="A269" s="1002" t="s">
        <v>3005</v>
      </c>
      <c r="B269" s="1014">
        <v>1508</v>
      </c>
      <c r="C269" s="40" t="s">
        <v>2839</v>
      </c>
      <c r="D269" s="1034" t="s">
        <v>3000</v>
      </c>
      <c r="E269" s="126">
        <v>44185</v>
      </c>
      <c r="F269" s="40" t="s">
        <v>2842</v>
      </c>
      <c r="G269" s="100">
        <v>2336400</v>
      </c>
      <c r="H269" s="100">
        <v>1500</v>
      </c>
    </row>
    <row r="270" spans="1:8" ht="12.75" thickBot="1" x14ac:dyDescent="0.25">
      <c r="A270" s="1005" t="s">
        <v>3006</v>
      </c>
      <c r="B270" s="1015"/>
      <c r="C270" s="38"/>
      <c r="D270" s="1016"/>
      <c r="E270" s="39"/>
      <c r="F270" s="38"/>
      <c r="G270" s="112"/>
      <c r="H270" s="112"/>
    </row>
    <row r="271" spans="1:8" x14ac:dyDescent="0.2">
      <c r="A271" s="1025" t="s">
        <v>3007</v>
      </c>
      <c r="B271" s="1026"/>
      <c r="C271" s="1027"/>
      <c r="D271" s="1032"/>
      <c r="E271" s="1028"/>
      <c r="F271" s="1029"/>
      <c r="G271" s="1030"/>
      <c r="H271" s="1030"/>
    </row>
    <row r="272" spans="1:8" x14ac:dyDescent="0.2">
      <c r="A272" s="1002" t="s">
        <v>308</v>
      </c>
      <c r="B272" s="1014">
        <v>1509</v>
      </c>
      <c r="C272" s="101" t="s">
        <v>2839</v>
      </c>
      <c r="D272" s="1045" t="s">
        <v>3008</v>
      </c>
      <c r="E272" s="113">
        <v>2014</v>
      </c>
      <c r="F272" s="101" t="s">
        <v>3009</v>
      </c>
      <c r="G272" s="100"/>
      <c r="H272" s="100">
        <v>750514.81</v>
      </c>
    </row>
    <row r="273" spans="1:8" x14ac:dyDescent="0.2">
      <c r="A273" s="1002"/>
      <c r="B273" s="1014"/>
      <c r="C273" s="101"/>
      <c r="D273" s="1045"/>
      <c r="E273" s="113"/>
      <c r="F273" s="101"/>
      <c r="G273" s="100"/>
      <c r="H273" s="100"/>
    </row>
    <row r="274" spans="1:8" x14ac:dyDescent="0.2">
      <c r="A274" s="1002" t="s">
        <v>309</v>
      </c>
      <c r="B274" s="1014"/>
      <c r="C274" s="101" t="s">
        <v>2839</v>
      </c>
      <c r="D274" s="1045" t="s">
        <v>3010</v>
      </c>
      <c r="E274" s="113">
        <v>2014</v>
      </c>
      <c r="F274" s="101" t="s">
        <v>3009</v>
      </c>
      <c r="G274" s="100"/>
      <c r="H274" s="100">
        <v>6095.45</v>
      </c>
    </row>
    <row r="275" spans="1:8" x14ac:dyDescent="0.2">
      <c r="A275" s="1002"/>
      <c r="B275" s="1014"/>
      <c r="C275" s="101"/>
      <c r="D275" s="1045"/>
      <c r="E275" s="113"/>
      <c r="F275" s="101"/>
      <c r="G275" s="100"/>
      <c r="H275" s="100"/>
    </row>
    <row r="276" spans="1:8" x14ac:dyDescent="0.2">
      <c r="A276" s="1002" t="s">
        <v>310</v>
      </c>
      <c r="B276" s="1014"/>
      <c r="C276" s="101"/>
      <c r="D276" s="1045"/>
      <c r="E276" s="113"/>
      <c r="F276" s="101"/>
      <c r="G276" s="100"/>
      <c r="H276" s="100"/>
    </row>
    <row r="277" spans="1:8" x14ac:dyDescent="0.2">
      <c r="A277" s="1002" t="s">
        <v>2917</v>
      </c>
      <c r="B277" s="1014"/>
      <c r="C277" s="101"/>
      <c r="D277" s="1045"/>
      <c r="E277" s="113"/>
      <c r="F277" s="101"/>
      <c r="G277" s="100"/>
      <c r="H277" s="100"/>
    </row>
    <row r="278" spans="1:8" x14ac:dyDescent="0.2">
      <c r="A278" s="1002"/>
      <c r="B278" s="1014"/>
      <c r="C278" s="101"/>
      <c r="D278" s="1045"/>
      <c r="E278" s="113"/>
      <c r="F278" s="101"/>
      <c r="G278" s="100"/>
      <c r="H278" s="100"/>
    </row>
    <row r="279" spans="1:8" x14ac:dyDescent="0.2">
      <c r="A279" s="1002" t="s">
        <v>312</v>
      </c>
      <c r="B279" s="1014"/>
      <c r="C279" s="101" t="s">
        <v>2839</v>
      </c>
      <c r="D279" s="1045" t="s">
        <v>3011</v>
      </c>
      <c r="E279" s="113">
        <v>2014</v>
      </c>
      <c r="F279" s="101" t="s">
        <v>3009</v>
      </c>
      <c r="G279" s="100"/>
      <c r="H279" s="100">
        <v>18372.490000000002</v>
      </c>
    </row>
    <row r="280" spans="1:8" x14ac:dyDescent="0.2">
      <c r="A280" s="1002"/>
      <c r="B280" s="1014"/>
      <c r="C280" s="101"/>
      <c r="D280" s="1045"/>
      <c r="E280" s="113"/>
      <c r="F280" s="101"/>
      <c r="G280" s="100"/>
      <c r="H280" s="100"/>
    </row>
    <row r="281" spans="1:8" x14ac:dyDescent="0.2">
      <c r="A281" s="1002" t="s">
        <v>313</v>
      </c>
      <c r="B281" s="1014"/>
      <c r="C281" s="101" t="s">
        <v>2839</v>
      </c>
      <c r="D281" s="1045" t="s">
        <v>3012</v>
      </c>
      <c r="E281" s="113">
        <v>2014</v>
      </c>
      <c r="F281" s="101" t="s">
        <v>3009</v>
      </c>
      <c r="G281" s="100"/>
      <c r="H281" s="100">
        <v>192662.95</v>
      </c>
    </row>
    <row r="282" spans="1:8" x14ac:dyDescent="0.2">
      <c r="A282" s="1002"/>
      <c r="B282" s="1014"/>
      <c r="C282" s="101"/>
      <c r="D282" s="1045"/>
      <c r="E282" s="113"/>
      <c r="F282" s="101"/>
      <c r="G282" s="100"/>
      <c r="H282" s="100"/>
    </row>
    <row r="283" spans="1:8" x14ac:dyDescent="0.2">
      <c r="A283" s="1002" t="s">
        <v>314</v>
      </c>
      <c r="B283" s="1014"/>
      <c r="C283" s="101"/>
      <c r="D283" s="1045"/>
      <c r="E283" s="113"/>
      <c r="F283" s="101"/>
      <c r="G283" s="100"/>
      <c r="H283" s="100"/>
    </row>
    <row r="284" spans="1:8" x14ac:dyDescent="0.2">
      <c r="A284" s="1002" t="s">
        <v>315</v>
      </c>
      <c r="B284" s="1014"/>
      <c r="C284" s="101"/>
      <c r="D284" s="1045"/>
      <c r="E284" s="113"/>
      <c r="F284" s="101"/>
      <c r="G284" s="100"/>
      <c r="H284" s="100"/>
    </row>
    <row r="285" spans="1:8" x14ac:dyDescent="0.2">
      <c r="A285" s="1002" t="s">
        <v>316</v>
      </c>
      <c r="B285" s="1014"/>
      <c r="C285" s="101"/>
      <c r="D285" s="1045"/>
      <c r="E285" s="102"/>
      <c r="F285" s="101"/>
      <c r="G285" s="100"/>
      <c r="H285" s="100"/>
    </row>
    <row r="286" spans="1:8" x14ac:dyDescent="0.2">
      <c r="A286" s="1002" t="s">
        <v>317</v>
      </c>
      <c r="B286" s="1014"/>
      <c r="C286" s="40"/>
      <c r="D286" s="1045"/>
      <c r="E286" s="102"/>
      <c r="F286" s="101"/>
      <c r="G286" s="100"/>
      <c r="H286" s="100"/>
    </row>
    <row r="287" spans="1:8" x14ac:dyDescent="0.2">
      <c r="A287" s="1002" t="s">
        <v>318</v>
      </c>
      <c r="B287" s="1014"/>
      <c r="C287" s="40"/>
      <c r="D287" s="1045"/>
      <c r="E287" s="102"/>
      <c r="F287" s="101"/>
      <c r="G287" s="100"/>
      <c r="H287" s="100"/>
    </row>
    <row r="288" spans="1:8" ht="12.75" thickBot="1" x14ac:dyDescent="0.25">
      <c r="A288" s="1005" t="s">
        <v>2930</v>
      </c>
      <c r="B288" s="1015"/>
      <c r="C288" s="105"/>
      <c r="D288" s="1046"/>
      <c r="E288" s="108"/>
      <c r="F288" s="107"/>
      <c r="G288" s="112"/>
      <c r="H288" s="112"/>
    </row>
    <row r="289" spans="1:8" x14ac:dyDescent="0.2">
      <c r="A289" s="1025" t="s">
        <v>1609</v>
      </c>
      <c r="B289" s="1026"/>
      <c r="C289" s="1027"/>
      <c r="D289" s="1032"/>
      <c r="E289" s="1028"/>
      <c r="F289" s="1029"/>
      <c r="G289" s="1030"/>
      <c r="H289" s="1030"/>
    </row>
    <row r="290" spans="1:8" x14ac:dyDescent="0.2">
      <c r="A290" s="1002" t="s">
        <v>308</v>
      </c>
      <c r="B290" s="1014">
        <v>945</v>
      </c>
      <c r="C290" s="40" t="s">
        <v>2839</v>
      </c>
      <c r="D290" s="1014" t="s">
        <v>3013</v>
      </c>
      <c r="E290" s="126">
        <v>41290</v>
      </c>
      <c r="F290" s="40" t="s">
        <v>2842</v>
      </c>
      <c r="G290" s="100">
        <v>0</v>
      </c>
      <c r="H290" s="100">
        <v>0</v>
      </c>
    </row>
    <row r="291" spans="1:8" x14ac:dyDescent="0.2">
      <c r="A291" s="1002"/>
      <c r="B291" s="1014"/>
      <c r="C291" s="40"/>
      <c r="D291" s="1034"/>
      <c r="E291" s="41"/>
      <c r="F291" s="40"/>
      <c r="G291" s="100"/>
      <c r="H291" s="100"/>
    </row>
    <row r="292" spans="1:8" x14ac:dyDescent="0.2">
      <c r="A292" s="1002" t="s">
        <v>3014</v>
      </c>
      <c r="B292" s="1014">
        <v>945</v>
      </c>
      <c r="C292" s="40" t="s">
        <v>2839</v>
      </c>
      <c r="D292" s="1014" t="s">
        <v>3013</v>
      </c>
      <c r="E292" s="126">
        <v>41290</v>
      </c>
      <c r="F292" s="40" t="s">
        <v>2842</v>
      </c>
      <c r="G292" s="127">
        <v>55886.46</v>
      </c>
      <c r="H292" s="100">
        <v>106679.57</v>
      </c>
    </row>
    <row r="293" spans="1:8" x14ac:dyDescent="0.2">
      <c r="A293" s="1002"/>
      <c r="B293" s="1014"/>
      <c r="C293" s="40"/>
      <c r="D293" s="1034"/>
      <c r="E293" s="41"/>
      <c r="F293" s="40"/>
      <c r="G293" s="100"/>
      <c r="H293" s="100"/>
    </row>
    <row r="294" spans="1:8" ht="24" x14ac:dyDescent="0.2">
      <c r="A294" s="1002" t="s">
        <v>3015</v>
      </c>
      <c r="B294" s="1014">
        <v>945</v>
      </c>
      <c r="C294" s="40" t="s">
        <v>2839</v>
      </c>
      <c r="D294" s="1014" t="s">
        <v>3013</v>
      </c>
      <c r="E294" s="126">
        <v>42373</v>
      </c>
      <c r="F294" s="40" t="s">
        <v>2842</v>
      </c>
      <c r="G294" s="100">
        <v>3002.58</v>
      </c>
      <c r="H294" s="100">
        <v>35127.42</v>
      </c>
    </row>
    <row r="295" spans="1:8" x14ac:dyDescent="0.2">
      <c r="A295" s="1002"/>
      <c r="B295" s="1014"/>
      <c r="C295" s="40"/>
      <c r="D295" s="1034"/>
      <c r="E295" s="41"/>
      <c r="F295" s="40"/>
      <c r="G295" s="100"/>
      <c r="H295" s="100"/>
    </row>
    <row r="296" spans="1:8" x14ac:dyDescent="0.2">
      <c r="A296" s="1002"/>
      <c r="B296" s="1014"/>
      <c r="C296" s="40"/>
      <c r="D296" s="1034"/>
      <c r="E296" s="41"/>
      <c r="F296" s="40"/>
      <c r="G296" s="100"/>
      <c r="H296" s="100"/>
    </row>
    <row r="297" spans="1:8" x14ac:dyDescent="0.2">
      <c r="A297" s="1002" t="s">
        <v>312</v>
      </c>
      <c r="B297" s="1014"/>
      <c r="C297" s="40"/>
      <c r="D297" s="1034"/>
      <c r="E297" s="41"/>
      <c r="F297" s="40"/>
      <c r="G297" s="100"/>
      <c r="H297" s="100"/>
    </row>
    <row r="298" spans="1:8" x14ac:dyDescent="0.2">
      <c r="A298" s="1002" t="s">
        <v>3016</v>
      </c>
      <c r="B298" s="1014">
        <v>945</v>
      </c>
      <c r="C298" s="40" t="s">
        <v>2839</v>
      </c>
      <c r="D298" s="1034" t="s">
        <v>3000</v>
      </c>
      <c r="E298" s="126">
        <v>42373</v>
      </c>
      <c r="F298" s="40" t="s">
        <v>2842</v>
      </c>
      <c r="G298" s="100"/>
      <c r="H298" s="100"/>
    </row>
    <row r="299" spans="1:8" x14ac:dyDescent="0.2">
      <c r="A299" s="1002" t="s">
        <v>3017</v>
      </c>
      <c r="B299" s="1014">
        <v>945</v>
      </c>
      <c r="C299" s="40" t="s">
        <v>2839</v>
      </c>
      <c r="D299" s="1034" t="s">
        <v>3018</v>
      </c>
      <c r="E299" s="126">
        <v>42373</v>
      </c>
      <c r="F299" s="40" t="s">
        <v>2842</v>
      </c>
      <c r="G299" s="100">
        <v>888.6</v>
      </c>
      <c r="H299" s="100">
        <v>888.6</v>
      </c>
    </row>
    <row r="300" spans="1:8" x14ac:dyDescent="0.2">
      <c r="A300" s="1002"/>
      <c r="B300" s="1014"/>
      <c r="C300" s="40"/>
      <c r="D300" s="1034"/>
      <c r="E300" s="41"/>
      <c r="F300" s="40"/>
      <c r="G300" s="100"/>
      <c r="H300" s="100"/>
    </row>
    <row r="301" spans="1:8" x14ac:dyDescent="0.2">
      <c r="A301" s="1002" t="s">
        <v>313</v>
      </c>
      <c r="B301" s="1014"/>
      <c r="C301" s="40"/>
      <c r="D301" s="1034"/>
      <c r="E301" s="41"/>
      <c r="F301" s="40"/>
      <c r="G301" s="100"/>
      <c r="H301" s="100"/>
    </row>
    <row r="302" spans="1:8" x14ac:dyDescent="0.2">
      <c r="A302" s="1002"/>
      <c r="B302" s="1014"/>
      <c r="C302" s="40"/>
      <c r="D302" s="1034"/>
      <c r="E302" s="41"/>
      <c r="F302" s="40"/>
      <c r="G302" s="100"/>
      <c r="H302" s="100"/>
    </row>
    <row r="303" spans="1:8" ht="24" x14ac:dyDescent="0.2">
      <c r="A303" s="1002" t="s">
        <v>3019</v>
      </c>
      <c r="B303" s="1014">
        <v>945</v>
      </c>
      <c r="C303" s="40" t="s">
        <v>2839</v>
      </c>
      <c r="D303" s="1014" t="s">
        <v>3013</v>
      </c>
      <c r="E303" s="126">
        <v>41873</v>
      </c>
      <c r="F303" s="40" t="s">
        <v>2842</v>
      </c>
      <c r="G303" s="100">
        <v>4.2</v>
      </c>
      <c r="H303" s="100"/>
    </row>
    <row r="304" spans="1:8" x14ac:dyDescent="0.2">
      <c r="A304" s="1002" t="s">
        <v>3020</v>
      </c>
      <c r="B304" s="1014">
        <v>945</v>
      </c>
      <c r="C304" s="40" t="s">
        <v>2839</v>
      </c>
      <c r="D304" s="1014" t="s">
        <v>3013</v>
      </c>
      <c r="E304" s="126">
        <v>44200</v>
      </c>
      <c r="F304" s="40" t="s">
        <v>2842</v>
      </c>
      <c r="G304" s="100">
        <v>0</v>
      </c>
      <c r="H304" s="100">
        <v>355417.87</v>
      </c>
    </row>
    <row r="305" spans="1:8" ht="24" x14ac:dyDescent="0.2">
      <c r="A305" s="1002" t="s">
        <v>3021</v>
      </c>
      <c r="B305" s="1014">
        <v>945</v>
      </c>
      <c r="C305" s="40" t="s">
        <v>2839</v>
      </c>
      <c r="D305" s="1014" t="s">
        <v>3013</v>
      </c>
      <c r="E305" s="126">
        <v>39682</v>
      </c>
      <c r="F305" s="40" t="s">
        <v>2842</v>
      </c>
      <c r="G305" s="100">
        <v>516.89</v>
      </c>
      <c r="H305" s="100">
        <v>1131.48</v>
      </c>
    </row>
    <row r="306" spans="1:8" x14ac:dyDescent="0.2">
      <c r="A306" s="1002" t="s">
        <v>3022</v>
      </c>
      <c r="B306" s="1014">
        <v>945</v>
      </c>
      <c r="C306" s="40" t="s">
        <v>2839</v>
      </c>
      <c r="D306" s="1014" t="s">
        <v>3013</v>
      </c>
      <c r="E306" s="126">
        <v>44057</v>
      </c>
      <c r="F306" s="40" t="s">
        <v>2842</v>
      </c>
      <c r="G306" s="100">
        <v>3.63</v>
      </c>
      <c r="H306" s="100">
        <v>3.63</v>
      </c>
    </row>
    <row r="307" spans="1:8" ht="24" x14ac:dyDescent="0.2">
      <c r="A307" s="1002" t="s">
        <v>3023</v>
      </c>
      <c r="B307" s="1014">
        <v>945</v>
      </c>
      <c r="C307" s="40" t="s">
        <v>2839</v>
      </c>
      <c r="D307" s="1034" t="s">
        <v>3024</v>
      </c>
      <c r="E307" s="126">
        <v>39084</v>
      </c>
      <c r="F307" s="40" t="s">
        <v>2842</v>
      </c>
      <c r="G307" s="100">
        <v>3.42</v>
      </c>
      <c r="H307" s="100">
        <v>0</v>
      </c>
    </row>
    <row r="308" spans="1:8" ht="12.75" thickBot="1" x14ac:dyDescent="0.25">
      <c r="A308" s="1005" t="s">
        <v>3004</v>
      </c>
      <c r="B308" s="1015">
        <v>945</v>
      </c>
      <c r="C308" s="105" t="s">
        <v>2839</v>
      </c>
      <c r="D308" s="1038" t="s">
        <v>3025</v>
      </c>
      <c r="E308" s="128">
        <v>38355</v>
      </c>
      <c r="F308" s="105" t="s">
        <v>2842</v>
      </c>
      <c r="G308" s="112">
        <v>0.9</v>
      </c>
      <c r="H308" s="112">
        <v>0.9</v>
      </c>
    </row>
    <row r="309" spans="1:8" x14ac:dyDescent="0.2">
      <c r="A309" s="1025" t="s">
        <v>1488</v>
      </c>
      <c r="B309" s="1026"/>
      <c r="C309" s="1027"/>
      <c r="D309" s="1032"/>
      <c r="E309" s="1028"/>
      <c r="F309" s="1029"/>
      <c r="G309" s="1030"/>
      <c r="H309" s="1030"/>
    </row>
    <row r="310" spans="1:8" x14ac:dyDescent="0.2">
      <c r="A310" s="1002" t="s">
        <v>308</v>
      </c>
      <c r="B310" s="1019" t="s">
        <v>3026</v>
      </c>
      <c r="C310" s="40" t="s">
        <v>2839</v>
      </c>
      <c r="D310" s="1045">
        <v>512029388</v>
      </c>
      <c r="E310" s="129" t="s">
        <v>2956</v>
      </c>
      <c r="F310" s="130" t="s">
        <v>2842</v>
      </c>
      <c r="G310" s="422" t="s">
        <v>3027</v>
      </c>
      <c r="H310" s="422" t="s">
        <v>3027</v>
      </c>
    </row>
    <row r="311" spans="1:8" x14ac:dyDescent="0.2">
      <c r="A311" s="1002"/>
      <c r="B311" s="1014"/>
      <c r="C311" s="40"/>
      <c r="D311" s="1045"/>
      <c r="E311" s="129"/>
      <c r="F311" s="130"/>
      <c r="G311" s="100"/>
      <c r="H311" s="100"/>
    </row>
    <row r="312" spans="1:8" x14ac:dyDescent="0.2">
      <c r="A312" s="1002" t="s">
        <v>309</v>
      </c>
      <c r="B312" s="1019" t="s">
        <v>3026</v>
      </c>
      <c r="C312" s="40" t="s">
        <v>2839</v>
      </c>
      <c r="D312" s="1045" t="s">
        <v>3028</v>
      </c>
      <c r="E312" s="129" t="s">
        <v>3029</v>
      </c>
      <c r="F312" s="130" t="s">
        <v>2842</v>
      </c>
      <c r="G312" s="422" t="s">
        <v>3030</v>
      </c>
      <c r="H312" s="422" t="s">
        <v>3031</v>
      </c>
    </row>
    <row r="313" spans="1:8" x14ac:dyDescent="0.2">
      <c r="A313" s="1002"/>
      <c r="B313" s="1014"/>
      <c r="C313" s="40"/>
      <c r="D313" s="1045"/>
      <c r="E313" s="129"/>
      <c r="F313" s="130"/>
      <c r="G313" s="422"/>
      <c r="H313" s="422"/>
    </row>
    <row r="314" spans="1:8" x14ac:dyDescent="0.2">
      <c r="A314" s="1002" t="s">
        <v>310</v>
      </c>
      <c r="B314" s="1019"/>
      <c r="C314" s="40"/>
      <c r="D314" s="1045"/>
      <c r="E314" s="129"/>
      <c r="F314" s="130"/>
      <c r="G314" s="422"/>
      <c r="H314" s="422"/>
    </row>
    <row r="315" spans="1:8" x14ac:dyDescent="0.2">
      <c r="A315" s="1002" t="s">
        <v>2917</v>
      </c>
      <c r="B315" s="1014"/>
      <c r="C315" s="40"/>
      <c r="D315" s="1045"/>
      <c r="E315" s="129"/>
      <c r="F315" s="130"/>
      <c r="G315" s="422"/>
      <c r="H315" s="422"/>
    </row>
    <row r="316" spans="1:8" ht="24" x14ac:dyDescent="0.2">
      <c r="A316" s="1002" t="s">
        <v>3032</v>
      </c>
      <c r="B316" s="1019" t="s">
        <v>3026</v>
      </c>
      <c r="C316" s="40" t="s">
        <v>2839</v>
      </c>
      <c r="D316" s="1045" t="s">
        <v>3028</v>
      </c>
      <c r="E316" s="129" t="s">
        <v>3033</v>
      </c>
      <c r="F316" s="130" t="s">
        <v>2842</v>
      </c>
      <c r="G316" s="422" t="s">
        <v>3027</v>
      </c>
      <c r="H316" s="422" t="s">
        <v>3027</v>
      </c>
    </row>
    <row r="317" spans="1:8" x14ac:dyDescent="0.2">
      <c r="A317" s="1002"/>
      <c r="B317" s="1014"/>
      <c r="C317" s="40"/>
      <c r="D317" s="1045"/>
      <c r="E317" s="129"/>
      <c r="F317" s="130"/>
      <c r="G317" s="422"/>
      <c r="H317" s="422"/>
    </row>
    <row r="318" spans="1:8" x14ac:dyDescent="0.2">
      <c r="A318" s="1002" t="s">
        <v>312</v>
      </c>
      <c r="B318" s="1019"/>
      <c r="C318" s="40"/>
      <c r="D318" s="1045"/>
      <c r="E318" s="129"/>
      <c r="F318" s="130"/>
      <c r="G318" s="422"/>
      <c r="H318" s="422"/>
    </row>
    <row r="319" spans="1:8" x14ac:dyDescent="0.2">
      <c r="A319" s="1002" t="s">
        <v>3034</v>
      </c>
      <c r="B319" s="1019" t="s">
        <v>3026</v>
      </c>
      <c r="C319" s="40" t="s">
        <v>2839</v>
      </c>
      <c r="D319" s="1045" t="s">
        <v>3028</v>
      </c>
      <c r="E319" s="129" t="s">
        <v>3035</v>
      </c>
      <c r="F319" s="130" t="s">
        <v>2842</v>
      </c>
      <c r="G319" s="422" t="s">
        <v>3036</v>
      </c>
      <c r="H319" s="422" t="s">
        <v>3037</v>
      </c>
    </row>
    <row r="320" spans="1:8" x14ac:dyDescent="0.2">
      <c r="A320" s="1002" t="s">
        <v>3038</v>
      </c>
      <c r="B320" s="1019" t="s">
        <v>3026</v>
      </c>
      <c r="C320" s="40" t="s">
        <v>2839</v>
      </c>
      <c r="D320" s="1045" t="s">
        <v>3028</v>
      </c>
      <c r="E320" s="129" t="s">
        <v>3039</v>
      </c>
      <c r="F320" s="130" t="s">
        <v>2842</v>
      </c>
      <c r="G320" s="422" t="s">
        <v>3040</v>
      </c>
      <c r="H320" s="422" t="s">
        <v>3041</v>
      </c>
    </row>
    <row r="321" spans="1:8" x14ac:dyDescent="0.2">
      <c r="A321" s="1002"/>
      <c r="B321" s="1014"/>
      <c r="C321" s="40"/>
      <c r="D321" s="1045"/>
      <c r="E321" s="129"/>
      <c r="F321" s="130"/>
      <c r="G321" s="422"/>
      <c r="H321" s="422"/>
    </row>
    <row r="322" spans="1:8" x14ac:dyDescent="0.2">
      <c r="A322" s="1002" t="s">
        <v>313</v>
      </c>
      <c r="B322" s="1019"/>
      <c r="C322" s="40"/>
      <c r="D322" s="1045"/>
      <c r="E322" s="129"/>
      <c r="F322" s="130"/>
      <c r="G322" s="422"/>
      <c r="H322" s="422"/>
    </row>
    <row r="323" spans="1:8" x14ac:dyDescent="0.2">
      <c r="A323" s="1002"/>
      <c r="B323" s="1014"/>
      <c r="C323" s="40"/>
      <c r="D323" s="1045"/>
      <c r="E323" s="129"/>
      <c r="F323" s="130"/>
      <c r="G323" s="422"/>
      <c r="H323" s="422"/>
    </row>
    <row r="324" spans="1:8" x14ac:dyDescent="0.2">
      <c r="A324" s="1002" t="s">
        <v>3042</v>
      </c>
      <c r="B324" s="1019" t="s">
        <v>3026</v>
      </c>
      <c r="C324" s="40" t="s">
        <v>2839</v>
      </c>
      <c r="D324" s="1045" t="s">
        <v>3028</v>
      </c>
      <c r="E324" s="129" t="s">
        <v>3043</v>
      </c>
      <c r="F324" s="130" t="s">
        <v>2842</v>
      </c>
      <c r="G324" s="422" t="s">
        <v>3044</v>
      </c>
      <c r="H324" s="422" t="s">
        <v>3045</v>
      </c>
    </row>
    <row r="325" spans="1:8" x14ac:dyDescent="0.2">
      <c r="A325" s="1002" t="s">
        <v>2902</v>
      </c>
      <c r="B325" s="1019" t="s">
        <v>3026</v>
      </c>
      <c r="C325" s="40" t="s">
        <v>2839</v>
      </c>
      <c r="D325" s="1045" t="s">
        <v>3028</v>
      </c>
      <c r="E325" s="129" t="s">
        <v>3046</v>
      </c>
      <c r="F325" s="130" t="s">
        <v>2842</v>
      </c>
      <c r="G325" s="422" t="s">
        <v>3047</v>
      </c>
      <c r="H325" s="422" t="s">
        <v>3048</v>
      </c>
    </row>
    <row r="326" spans="1:8" ht="12.75" thickBot="1" x14ac:dyDescent="0.25">
      <c r="A326" s="1005" t="s">
        <v>3049</v>
      </c>
      <c r="B326" s="1020" t="s">
        <v>3026</v>
      </c>
      <c r="C326" s="105" t="s">
        <v>2839</v>
      </c>
      <c r="D326" s="1046" t="s">
        <v>3028</v>
      </c>
      <c r="E326" s="132" t="s">
        <v>3043</v>
      </c>
      <c r="F326" s="131" t="s">
        <v>2842</v>
      </c>
      <c r="G326" s="999" t="s">
        <v>3050</v>
      </c>
      <c r="H326" s="999" t="s">
        <v>3051</v>
      </c>
    </row>
    <row r="327" spans="1:8" x14ac:dyDescent="0.2">
      <c r="A327" s="1025" t="s">
        <v>3052</v>
      </c>
      <c r="B327" s="1026"/>
      <c r="C327" s="1027"/>
      <c r="D327" s="1032"/>
      <c r="E327" s="1028"/>
      <c r="F327" s="1029"/>
      <c r="G327" s="1030"/>
      <c r="H327" s="1030"/>
    </row>
    <row r="328" spans="1:8" x14ac:dyDescent="0.2">
      <c r="A328" s="1002" t="s">
        <v>308</v>
      </c>
      <c r="B328" s="1014">
        <v>952</v>
      </c>
      <c r="C328" s="40" t="s">
        <v>2839</v>
      </c>
      <c r="D328" s="1034" t="s">
        <v>3053</v>
      </c>
      <c r="E328" s="37">
        <v>2005</v>
      </c>
      <c r="F328" s="40" t="s">
        <v>2842</v>
      </c>
      <c r="G328" s="100">
        <v>0</v>
      </c>
      <c r="H328" s="100">
        <v>14899207.800000001</v>
      </c>
    </row>
    <row r="329" spans="1:8" x14ac:dyDescent="0.2">
      <c r="A329" s="1002"/>
      <c r="B329" s="1014"/>
      <c r="C329" s="40"/>
      <c r="D329" s="1034"/>
      <c r="E329" s="37"/>
      <c r="F329" s="40"/>
      <c r="G329" s="100"/>
      <c r="H329" s="100"/>
    </row>
    <row r="330" spans="1:8" x14ac:dyDescent="0.2">
      <c r="A330" s="1002" t="s">
        <v>309</v>
      </c>
      <c r="B330" s="1014">
        <v>952</v>
      </c>
      <c r="C330" s="40" t="s">
        <v>2839</v>
      </c>
      <c r="D330" s="1034" t="s">
        <v>3054</v>
      </c>
      <c r="E330" s="37">
        <v>2013</v>
      </c>
      <c r="F330" s="40" t="s">
        <v>2842</v>
      </c>
      <c r="G330" s="100">
        <v>6514.71</v>
      </c>
      <c r="H330" s="100">
        <v>94696.8</v>
      </c>
    </row>
    <row r="331" spans="1:8" x14ac:dyDescent="0.2">
      <c r="A331" s="1002"/>
      <c r="B331" s="1014"/>
      <c r="C331" s="40"/>
      <c r="D331" s="1034"/>
      <c r="E331" s="37"/>
      <c r="F331" s="40"/>
      <c r="G331" s="100"/>
      <c r="H331" s="100"/>
    </row>
    <row r="332" spans="1:8" x14ac:dyDescent="0.2">
      <c r="A332" s="1002" t="s">
        <v>310</v>
      </c>
      <c r="B332" s="1014">
        <v>952</v>
      </c>
      <c r="C332" s="40" t="s">
        <v>2839</v>
      </c>
      <c r="D332" s="1034" t="s">
        <v>3055</v>
      </c>
      <c r="E332" s="37">
        <v>2020</v>
      </c>
      <c r="F332" s="40" t="s">
        <v>2842</v>
      </c>
      <c r="G332" s="100">
        <v>992417.08</v>
      </c>
      <c r="H332" s="100">
        <v>1051784</v>
      </c>
    </row>
    <row r="333" spans="1:8" x14ac:dyDescent="0.2">
      <c r="A333" s="1002" t="s">
        <v>2917</v>
      </c>
      <c r="B333" s="1014"/>
      <c r="C333" s="40"/>
      <c r="D333" s="1034"/>
      <c r="E333" s="37"/>
      <c r="F333" s="40"/>
      <c r="G333" s="100"/>
      <c r="H333" s="100"/>
    </row>
    <row r="334" spans="1:8" x14ac:dyDescent="0.2">
      <c r="A334" s="1002"/>
      <c r="B334" s="1014"/>
      <c r="C334" s="40"/>
      <c r="D334" s="1034"/>
      <c r="E334" s="37"/>
      <c r="F334" s="40"/>
      <c r="G334" s="100"/>
      <c r="H334" s="100"/>
    </row>
    <row r="335" spans="1:8" x14ac:dyDescent="0.2">
      <c r="A335" s="1002" t="s">
        <v>312</v>
      </c>
      <c r="B335" s="1014">
        <v>952</v>
      </c>
      <c r="C335" s="40" t="s">
        <v>2839</v>
      </c>
      <c r="D335" s="1034" t="s">
        <v>3056</v>
      </c>
      <c r="E335" s="37">
        <v>2017</v>
      </c>
      <c r="F335" s="40" t="s">
        <v>2842</v>
      </c>
      <c r="G335" s="100">
        <v>51437.48</v>
      </c>
      <c r="H335" s="100">
        <v>1456656.1</v>
      </c>
    </row>
    <row r="336" spans="1:8" x14ac:dyDescent="0.2">
      <c r="A336" s="1002"/>
      <c r="B336" s="1014"/>
      <c r="C336" s="40"/>
      <c r="D336" s="1034"/>
      <c r="E336" s="37"/>
      <c r="F336" s="40"/>
      <c r="G336" s="100"/>
      <c r="H336" s="100"/>
    </row>
    <row r="337" spans="1:8" x14ac:dyDescent="0.2">
      <c r="A337" s="1002" t="s">
        <v>313</v>
      </c>
      <c r="B337" s="1014"/>
      <c r="C337" s="40"/>
      <c r="D337" s="1034"/>
      <c r="E337" s="37"/>
      <c r="F337" s="40"/>
      <c r="G337" s="100"/>
      <c r="H337" s="100"/>
    </row>
    <row r="338" spans="1:8" x14ac:dyDescent="0.2">
      <c r="A338" s="1002"/>
      <c r="B338" s="1014"/>
      <c r="C338" s="40"/>
      <c r="D338" s="1034"/>
      <c r="E338" s="41"/>
      <c r="F338" s="40"/>
      <c r="G338" s="100"/>
      <c r="H338" s="100"/>
    </row>
    <row r="339" spans="1:8" x14ac:dyDescent="0.2">
      <c r="A339" s="1002" t="s">
        <v>314</v>
      </c>
      <c r="B339" s="1014">
        <v>952</v>
      </c>
      <c r="C339" s="40" t="s">
        <v>2839</v>
      </c>
      <c r="D339" s="1034" t="s">
        <v>3053</v>
      </c>
      <c r="E339" s="37">
        <v>2012</v>
      </c>
      <c r="F339" s="40" t="s">
        <v>2842</v>
      </c>
      <c r="G339" s="100">
        <v>3668.12</v>
      </c>
      <c r="H339" s="100">
        <v>5881.61</v>
      </c>
    </row>
    <row r="340" spans="1:8" x14ac:dyDescent="0.2">
      <c r="A340" s="1002" t="s">
        <v>315</v>
      </c>
      <c r="B340" s="1014"/>
      <c r="C340" s="40"/>
      <c r="D340" s="1034"/>
      <c r="E340" s="37"/>
      <c r="F340" s="40"/>
      <c r="G340" s="100"/>
      <c r="H340" s="100"/>
    </row>
    <row r="341" spans="1:8" x14ac:dyDescent="0.2">
      <c r="A341" s="1002" t="s">
        <v>316</v>
      </c>
      <c r="B341" s="1014"/>
      <c r="C341" s="40"/>
      <c r="D341" s="1034"/>
      <c r="E341" s="37"/>
      <c r="F341" s="40"/>
      <c r="G341" s="100"/>
      <c r="H341" s="100"/>
    </row>
    <row r="342" spans="1:8" x14ac:dyDescent="0.2">
      <c r="A342" s="1002" t="s">
        <v>317</v>
      </c>
      <c r="B342" s="1014"/>
      <c r="C342" s="40"/>
      <c r="D342" s="1034"/>
      <c r="E342" s="37"/>
      <c r="F342" s="40"/>
      <c r="G342" s="100"/>
      <c r="H342" s="100"/>
    </row>
    <row r="343" spans="1:8" x14ac:dyDescent="0.2">
      <c r="A343" s="1002" t="s">
        <v>318</v>
      </c>
      <c r="B343" s="1014"/>
      <c r="C343" s="40"/>
      <c r="D343" s="1034"/>
      <c r="E343" s="37"/>
      <c r="F343" s="40"/>
      <c r="G343" s="100"/>
      <c r="H343" s="100"/>
    </row>
    <row r="344" spans="1:8" x14ac:dyDescent="0.2">
      <c r="A344" s="1002" t="s">
        <v>2930</v>
      </c>
      <c r="B344" s="1014">
        <v>952</v>
      </c>
      <c r="C344" s="40" t="s">
        <v>2839</v>
      </c>
      <c r="D344" s="1034" t="s">
        <v>3057</v>
      </c>
      <c r="E344" s="37">
        <v>2021</v>
      </c>
      <c r="F344" s="40" t="s">
        <v>2842</v>
      </c>
      <c r="G344" s="100">
        <v>0</v>
      </c>
      <c r="H344" s="100">
        <v>6.41</v>
      </c>
    </row>
    <row r="345" spans="1:8" x14ac:dyDescent="0.2">
      <c r="A345" s="1007"/>
      <c r="H345" s="100"/>
    </row>
    <row r="346" spans="1:8" ht="12.75" thickBot="1" x14ac:dyDescent="0.25">
      <c r="A346" s="1005" t="s">
        <v>2930</v>
      </c>
      <c r="B346" s="1021"/>
      <c r="C346" s="105"/>
      <c r="D346" s="1038"/>
      <c r="E346" s="125"/>
      <c r="F346" s="105"/>
      <c r="G346" s="112"/>
      <c r="H346" s="112"/>
    </row>
    <row r="347" spans="1:8" x14ac:dyDescent="0.2">
      <c r="A347" s="1025" t="s">
        <v>1725</v>
      </c>
      <c r="B347" s="1026"/>
      <c r="C347" s="1027"/>
      <c r="D347" s="1032"/>
      <c r="E347" s="1028"/>
      <c r="F347" s="1029"/>
      <c r="G347" s="1030"/>
      <c r="H347" s="1030"/>
    </row>
    <row r="348" spans="1:8" x14ac:dyDescent="0.2">
      <c r="A348" s="1007"/>
      <c r="H348" s="100"/>
    </row>
    <row r="349" spans="1:8" x14ac:dyDescent="0.2">
      <c r="A349" s="1007"/>
      <c r="H349" s="100"/>
    </row>
    <row r="350" spans="1:8" x14ac:dyDescent="0.2">
      <c r="A350" s="1002" t="s">
        <v>308</v>
      </c>
      <c r="B350" s="1019" t="s">
        <v>3058</v>
      </c>
      <c r="C350" s="40" t="s">
        <v>2839</v>
      </c>
      <c r="D350" s="1045" t="s">
        <v>3059</v>
      </c>
      <c r="E350" s="129" t="s">
        <v>3060</v>
      </c>
      <c r="F350" s="101" t="s">
        <v>3061</v>
      </c>
      <c r="G350" s="990">
        <v>0</v>
      </c>
      <c r="H350" s="990">
        <v>0</v>
      </c>
    </row>
    <row r="351" spans="1:8" x14ac:dyDescent="0.2">
      <c r="A351" s="1002"/>
      <c r="B351" s="1014"/>
      <c r="C351" s="40"/>
      <c r="D351" s="1034"/>
      <c r="E351" s="41"/>
      <c r="F351" s="101"/>
      <c r="G351" s="100"/>
      <c r="H351" s="100"/>
    </row>
    <row r="352" spans="1:8" x14ac:dyDescent="0.2">
      <c r="A352" s="1002" t="s">
        <v>309</v>
      </c>
      <c r="B352" s="1014" t="s">
        <v>3058</v>
      </c>
      <c r="C352" s="40" t="s">
        <v>2839</v>
      </c>
      <c r="D352" s="1045" t="s">
        <v>3062</v>
      </c>
      <c r="E352" s="129">
        <v>2001</v>
      </c>
      <c r="F352" s="101" t="s">
        <v>3061</v>
      </c>
      <c r="G352" s="990">
        <v>78.58</v>
      </c>
      <c r="H352" s="990">
        <v>78.58</v>
      </c>
    </row>
    <row r="353" spans="1:8" x14ac:dyDescent="0.2">
      <c r="A353" s="1002"/>
      <c r="B353" s="1014"/>
      <c r="C353" s="40"/>
      <c r="D353" s="1034"/>
      <c r="E353" s="41"/>
      <c r="F353" s="101"/>
      <c r="G353" s="100"/>
      <c r="H353" s="100"/>
    </row>
    <row r="354" spans="1:8" x14ac:dyDescent="0.2">
      <c r="A354" s="1002" t="s">
        <v>310</v>
      </c>
      <c r="B354" s="1014"/>
      <c r="C354" s="40"/>
      <c r="D354" s="1045"/>
      <c r="E354" s="41"/>
      <c r="F354" s="101"/>
      <c r="G354" s="990"/>
      <c r="H354" s="100"/>
    </row>
    <row r="355" spans="1:8" x14ac:dyDescent="0.2">
      <c r="A355" s="1002" t="s">
        <v>2917</v>
      </c>
      <c r="B355" s="1014"/>
      <c r="C355" s="40"/>
      <c r="D355" s="1034"/>
      <c r="E355" s="41"/>
      <c r="F355" s="101"/>
      <c r="G355" s="100"/>
      <c r="H355" s="100"/>
    </row>
    <row r="356" spans="1:8" x14ac:dyDescent="0.2">
      <c r="A356" s="1002"/>
      <c r="B356" s="1014"/>
      <c r="C356" s="40"/>
      <c r="D356" s="1034"/>
      <c r="E356" s="41"/>
      <c r="F356" s="101"/>
      <c r="G356" s="100"/>
      <c r="H356" s="100"/>
    </row>
    <row r="357" spans="1:8" x14ac:dyDescent="0.2">
      <c r="A357" s="1002" t="s">
        <v>312</v>
      </c>
      <c r="B357" s="1014"/>
      <c r="C357" s="40"/>
      <c r="D357" s="1034"/>
      <c r="E357" s="41"/>
      <c r="F357" s="101"/>
      <c r="G357" s="100"/>
      <c r="H357" s="100"/>
    </row>
    <row r="358" spans="1:8" x14ac:dyDescent="0.2">
      <c r="A358" s="1002"/>
      <c r="B358" s="1014"/>
      <c r="C358" s="40"/>
      <c r="D358" s="1034"/>
      <c r="E358" s="41"/>
      <c r="F358" s="101"/>
      <c r="G358" s="100"/>
      <c r="H358" s="100"/>
    </row>
    <row r="359" spans="1:8" x14ac:dyDescent="0.2">
      <c r="A359" s="1002" t="s">
        <v>313</v>
      </c>
      <c r="B359" s="1014" t="s">
        <v>3058</v>
      </c>
      <c r="C359" s="40" t="s">
        <v>2839</v>
      </c>
      <c r="D359" s="1045" t="s">
        <v>3059</v>
      </c>
      <c r="E359" s="129" t="s">
        <v>3043</v>
      </c>
      <c r="F359" s="101" t="s">
        <v>3061</v>
      </c>
      <c r="G359" s="991">
        <v>48713.5</v>
      </c>
      <c r="H359" s="990">
        <v>849011.5</v>
      </c>
    </row>
    <row r="360" spans="1:8" x14ac:dyDescent="0.2">
      <c r="A360" s="1002"/>
      <c r="B360" s="1014"/>
      <c r="C360" s="40"/>
      <c r="D360" s="1034"/>
      <c r="E360" s="41"/>
      <c r="F360" s="40"/>
      <c r="G360" s="100"/>
      <c r="H360" s="100"/>
    </row>
    <row r="361" spans="1:8" x14ac:dyDescent="0.2">
      <c r="A361" s="1002" t="s">
        <v>314</v>
      </c>
      <c r="B361" s="1014"/>
      <c r="C361" s="40"/>
      <c r="D361" s="1034"/>
      <c r="E361" s="41"/>
      <c r="F361" s="40"/>
      <c r="G361" s="100"/>
      <c r="H361" s="100"/>
    </row>
    <row r="362" spans="1:8" x14ac:dyDescent="0.2">
      <c r="A362" s="1002" t="s">
        <v>315</v>
      </c>
      <c r="B362" s="1014"/>
      <c r="C362" s="40"/>
      <c r="D362" s="1034"/>
      <c r="E362" s="41"/>
      <c r="F362" s="40"/>
      <c r="G362" s="100"/>
      <c r="H362" s="100"/>
    </row>
    <row r="363" spans="1:8" x14ac:dyDescent="0.2">
      <c r="A363" s="1002" t="s">
        <v>316</v>
      </c>
      <c r="B363" s="1014"/>
      <c r="C363" s="40"/>
      <c r="D363" s="1034"/>
      <c r="E363" s="41"/>
      <c r="F363" s="40"/>
      <c r="G363" s="100"/>
      <c r="H363" s="100"/>
    </row>
    <row r="364" spans="1:8" x14ac:dyDescent="0.2">
      <c r="A364" s="1002" t="s">
        <v>317</v>
      </c>
      <c r="B364" s="1014"/>
      <c r="C364" s="40"/>
      <c r="D364" s="1034"/>
      <c r="E364" s="41"/>
      <c r="F364" s="40"/>
      <c r="G364" s="100"/>
      <c r="H364" s="100"/>
    </row>
    <row r="365" spans="1:8" x14ac:dyDescent="0.2">
      <c r="A365" s="1002" t="s">
        <v>318</v>
      </c>
      <c r="B365" s="1014"/>
      <c r="C365" s="40"/>
      <c r="D365" s="1034"/>
      <c r="E365" s="41"/>
      <c r="F365" s="40"/>
      <c r="G365" s="100"/>
      <c r="H365" s="100"/>
    </row>
    <row r="366" spans="1:8" ht="12.75" thickBot="1" x14ac:dyDescent="0.25">
      <c r="A366" s="1005" t="s">
        <v>2930</v>
      </c>
      <c r="B366" s="1015"/>
      <c r="C366" s="105"/>
      <c r="D366" s="1038"/>
      <c r="E366" s="125"/>
      <c r="F366" s="105"/>
      <c r="G366" s="112"/>
      <c r="H366" s="112"/>
    </row>
    <row r="367" spans="1:8" x14ac:dyDescent="0.2">
      <c r="A367" s="1025" t="s">
        <v>3063</v>
      </c>
      <c r="B367" s="1026"/>
      <c r="C367" s="1027"/>
      <c r="D367" s="1032"/>
      <c r="E367" s="1028"/>
      <c r="F367" s="1029"/>
      <c r="G367" s="1030"/>
      <c r="H367" s="1030"/>
    </row>
    <row r="368" spans="1:8" x14ac:dyDescent="0.2">
      <c r="A368" s="1007"/>
      <c r="H368" s="100"/>
    </row>
    <row r="369" spans="1:8" x14ac:dyDescent="0.2">
      <c r="A369" s="1002" t="s">
        <v>308</v>
      </c>
      <c r="B369" s="1022">
        <v>943</v>
      </c>
      <c r="C369" s="40" t="s">
        <v>2839</v>
      </c>
      <c r="D369" s="1036">
        <v>512029345</v>
      </c>
      <c r="E369" s="37">
        <v>2005</v>
      </c>
      <c r="F369" s="40" t="s">
        <v>2842</v>
      </c>
      <c r="G369" s="133">
        <v>0</v>
      </c>
      <c r="H369" s="133">
        <v>0</v>
      </c>
    </row>
    <row r="370" spans="1:8" x14ac:dyDescent="0.2">
      <c r="A370" s="1002"/>
      <c r="B370" s="1014"/>
      <c r="C370" s="40"/>
      <c r="D370" s="1034"/>
      <c r="E370" s="41"/>
      <c r="F370" s="40"/>
      <c r="G370" s="100"/>
      <c r="H370" s="100"/>
    </row>
    <row r="371" spans="1:8" x14ac:dyDescent="0.2">
      <c r="A371" s="1002" t="s">
        <v>309</v>
      </c>
      <c r="B371" s="1022">
        <v>943</v>
      </c>
      <c r="C371" s="40" t="s">
        <v>2839</v>
      </c>
      <c r="D371" s="1036">
        <v>512015093</v>
      </c>
      <c r="E371" s="37">
        <v>2001</v>
      </c>
      <c r="F371" s="40" t="s">
        <v>2842</v>
      </c>
      <c r="G371" s="100">
        <v>0.01</v>
      </c>
      <c r="H371" s="100">
        <v>475.16</v>
      </c>
    </row>
    <row r="372" spans="1:8" x14ac:dyDescent="0.2">
      <c r="A372" s="1002"/>
      <c r="B372" s="1014"/>
      <c r="C372" s="40"/>
      <c r="D372" s="1034"/>
      <c r="E372" s="41"/>
      <c r="F372" s="40"/>
      <c r="G372" s="100"/>
      <c r="H372" s="100"/>
    </row>
    <row r="373" spans="1:8" x14ac:dyDescent="0.2">
      <c r="A373" s="1002" t="s">
        <v>310</v>
      </c>
      <c r="B373" s="1022">
        <v>943</v>
      </c>
      <c r="C373" s="40" t="s">
        <v>2839</v>
      </c>
      <c r="D373" s="1036">
        <v>512029345</v>
      </c>
      <c r="E373" s="37">
        <v>2017</v>
      </c>
      <c r="F373" s="40" t="s">
        <v>2842</v>
      </c>
      <c r="G373" s="100">
        <v>233765.61</v>
      </c>
      <c r="H373" s="100">
        <v>0</v>
      </c>
    </row>
    <row r="374" spans="1:8" x14ac:dyDescent="0.2">
      <c r="A374" s="1002" t="s">
        <v>2917</v>
      </c>
      <c r="B374" s="1014"/>
      <c r="C374" s="40"/>
      <c r="D374" s="1034"/>
      <c r="E374" s="41"/>
      <c r="F374" s="40"/>
      <c r="G374" s="100"/>
      <c r="H374" s="100"/>
    </row>
    <row r="375" spans="1:8" x14ac:dyDescent="0.2">
      <c r="A375" s="1002"/>
      <c r="B375" s="1014"/>
      <c r="C375" s="40"/>
      <c r="D375" s="1034"/>
      <c r="E375" s="41"/>
      <c r="F375" s="40"/>
      <c r="G375" s="100"/>
      <c r="H375" s="100"/>
    </row>
    <row r="376" spans="1:8" x14ac:dyDescent="0.2">
      <c r="A376" s="1002" t="s">
        <v>312</v>
      </c>
      <c r="B376" s="1022"/>
      <c r="C376" s="40"/>
      <c r="D376" s="1034"/>
      <c r="E376" s="41"/>
      <c r="F376" s="40"/>
      <c r="G376" s="100"/>
      <c r="H376" s="100"/>
    </row>
    <row r="377" spans="1:8" x14ac:dyDescent="0.2">
      <c r="A377" s="1002"/>
      <c r="B377" s="1014"/>
      <c r="C377" s="40"/>
      <c r="D377" s="1034"/>
      <c r="E377" s="41"/>
      <c r="F377" s="40"/>
      <c r="G377" s="100"/>
      <c r="H377" s="100"/>
    </row>
    <row r="378" spans="1:8" x14ac:dyDescent="0.2">
      <c r="A378" s="1002" t="s">
        <v>313</v>
      </c>
      <c r="B378" s="1022">
        <v>943</v>
      </c>
      <c r="C378" s="40" t="s">
        <v>2839</v>
      </c>
      <c r="D378" s="1036">
        <v>512029345</v>
      </c>
      <c r="E378" s="37">
        <v>2008</v>
      </c>
      <c r="F378" s="40" t="s">
        <v>2842</v>
      </c>
      <c r="G378" s="133">
        <v>58850.32</v>
      </c>
      <c r="H378" s="133">
        <v>176612.22</v>
      </c>
    </row>
    <row r="379" spans="1:8" x14ac:dyDescent="0.2">
      <c r="A379" s="1002"/>
      <c r="B379" s="1014"/>
      <c r="C379" s="40"/>
      <c r="D379" s="1034"/>
      <c r="E379" s="41"/>
      <c r="F379" s="40"/>
      <c r="G379" s="100"/>
      <c r="H379" s="100"/>
    </row>
    <row r="380" spans="1:8" x14ac:dyDescent="0.2">
      <c r="A380" s="1002" t="s">
        <v>314</v>
      </c>
      <c r="B380" s="1014"/>
      <c r="C380" s="40"/>
      <c r="D380" s="1034"/>
      <c r="E380" s="41"/>
      <c r="F380" s="40"/>
      <c r="G380" s="100"/>
      <c r="H380" s="100"/>
    </row>
    <row r="381" spans="1:8" x14ac:dyDescent="0.2">
      <c r="A381" s="1002" t="s">
        <v>315</v>
      </c>
      <c r="B381" s="1014"/>
      <c r="C381" s="40"/>
      <c r="D381" s="1034"/>
      <c r="E381" s="41"/>
      <c r="F381" s="40"/>
      <c r="G381" s="100"/>
      <c r="H381" s="100"/>
    </row>
    <row r="382" spans="1:8" x14ac:dyDescent="0.2">
      <c r="A382" s="1002" t="s">
        <v>316</v>
      </c>
      <c r="B382" s="1014"/>
      <c r="C382" s="40"/>
      <c r="D382" s="1034"/>
      <c r="E382" s="41"/>
      <c r="F382" s="40"/>
      <c r="G382" s="100"/>
      <c r="H382" s="100"/>
    </row>
    <row r="383" spans="1:8" x14ac:dyDescent="0.2">
      <c r="A383" s="1002" t="s">
        <v>317</v>
      </c>
      <c r="B383" s="1014"/>
      <c r="C383" s="40"/>
      <c r="D383" s="1034"/>
      <c r="E383" s="41"/>
      <c r="F383" s="40"/>
      <c r="G383" s="100"/>
      <c r="H383" s="100"/>
    </row>
    <row r="384" spans="1:8" x14ac:dyDescent="0.2">
      <c r="A384" s="1002" t="s">
        <v>318</v>
      </c>
      <c r="B384" s="1014"/>
      <c r="C384" s="40"/>
      <c r="D384" s="1034"/>
      <c r="E384" s="41"/>
      <c r="F384" s="40"/>
      <c r="G384" s="100"/>
      <c r="H384" s="100"/>
    </row>
    <row r="385" spans="1:8" ht="12.75" thickBot="1" x14ac:dyDescent="0.25">
      <c r="A385" s="1005" t="s">
        <v>2930</v>
      </c>
      <c r="B385" s="1015"/>
      <c r="C385" s="105"/>
      <c r="D385" s="1038"/>
      <c r="E385" s="125"/>
      <c r="F385" s="105"/>
      <c r="G385" s="112"/>
      <c r="H385" s="112"/>
    </row>
    <row r="386" spans="1:8" x14ac:dyDescent="0.2">
      <c r="A386" s="1025" t="s">
        <v>2796</v>
      </c>
      <c r="B386" s="1026"/>
      <c r="C386" s="1027"/>
      <c r="D386" s="1032"/>
      <c r="E386" s="1028"/>
      <c r="F386" s="1029"/>
      <c r="G386" s="1030"/>
      <c r="H386" s="1030"/>
    </row>
    <row r="387" spans="1:8" ht="12.75" customHeight="1" x14ac:dyDescent="0.2">
      <c r="A387" s="1002" t="s">
        <v>308</v>
      </c>
      <c r="B387" s="1023"/>
      <c r="C387" s="41" t="s">
        <v>2839</v>
      </c>
      <c r="D387" s="1047" t="s">
        <v>3064</v>
      </c>
      <c r="E387" s="134">
        <v>2005</v>
      </c>
      <c r="F387" s="135" t="s">
        <v>2842</v>
      </c>
      <c r="G387" s="136">
        <v>0</v>
      </c>
      <c r="H387" s="136">
        <v>0</v>
      </c>
    </row>
    <row r="388" spans="1:8" ht="12.75" customHeight="1" x14ac:dyDescent="0.2">
      <c r="A388" s="1002"/>
      <c r="B388" s="1023"/>
      <c r="C388" s="41"/>
      <c r="D388" s="1047"/>
      <c r="E388" s="134"/>
      <c r="F388" s="135"/>
      <c r="G388" s="137"/>
      <c r="H388" s="137"/>
    </row>
    <row r="389" spans="1:8" ht="12.75" customHeight="1" x14ac:dyDescent="0.2">
      <c r="A389" s="1002" t="s">
        <v>309</v>
      </c>
      <c r="B389" s="1023"/>
      <c r="C389" s="41" t="s">
        <v>2839</v>
      </c>
      <c r="D389" s="1047" t="s">
        <v>3065</v>
      </c>
      <c r="E389" s="134">
        <v>2013</v>
      </c>
      <c r="F389" s="135" t="s">
        <v>2842</v>
      </c>
      <c r="G389" s="137">
        <v>2304.42</v>
      </c>
      <c r="H389" s="137">
        <v>4609.34</v>
      </c>
    </row>
    <row r="390" spans="1:8" ht="12.75" customHeight="1" x14ac:dyDescent="0.2">
      <c r="A390" s="1002"/>
      <c r="B390" s="1023"/>
      <c r="C390" s="41"/>
      <c r="D390" s="1047"/>
      <c r="E390" s="134"/>
      <c r="F390" s="135"/>
      <c r="G390" s="137"/>
      <c r="H390" s="137"/>
    </row>
    <row r="391" spans="1:8" ht="12.75" customHeight="1" x14ac:dyDescent="0.2">
      <c r="A391" s="1002" t="s">
        <v>310</v>
      </c>
      <c r="B391" s="1023"/>
      <c r="C391" s="41"/>
      <c r="D391" s="1047"/>
      <c r="E391" s="134"/>
      <c r="F391" s="135"/>
      <c r="G391" s="137"/>
      <c r="H391" s="137"/>
    </row>
    <row r="392" spans="1:8" ht="12.75" customHeight="1" x14ac:dyDescent="0.2">
      <c r="A392" s="1002" t="s">
        <v>2917</v>
      </c>
      <c r="B392" s="1023"/>
      <c r="C392" s="41" t="s">
        <v>2839</v>
      </c>
      <c r="D392" s="1047" t="s">
        <v>3066</v>
      </c>
      <c r="E392" s="134">
        <v>2016</v>
      </c>
      <c r="F392" s="135" t="s">
        <v>2842</v>
      </c>
      <c r="G392" s="137">
        <v>2575.02</v>
      </c>
      <c r="H392" s="137">
        <v>2575.02</v>
      </c>
    </row>
    <row r="393" spans="1:8" ht="12.75" customHeight="1" x14ac:dyDescent="0.2">
      <c r="A393" s="1002"/>
      <c r="B393" s="1023"/>
      <c r="C393" s="41"/>
      <c r="D393" s="1047"/>
      <c r="E393" s="134"/>
      <c r="F393" s="135"/>
      <c r="G393" s="137"/>
      <c r="H393" s="137"/>
    </row>
    <row r="394" spans="1:8" ht="12.75" customHeight="1" x14ac:dyDescent="0.2">
      <c r="A394" s="1002" t="s">
        <v>313</v>
      </c>
      <c r="B394" s="1023"/>
      <c r="C394" s="41"/>
      <c r="D394" s="1047"/>
      <c r="E394" s="134"/>
      <c r="F394" s="135"/>
      <c r="G394" s="137"/>
      <c r="H394" s="137"/>
    </row>
    <row r="395" spans="1:8" ht="12.75" customHeight="1" x14ac:dyDescent="0.2">
      <c r="A395" s="1002"/>
      <c r="B395" s="1023"/>
      <c r="C395" s="37"/>
      <c r="D395" s="139"/>
      <c r="E395" s="37"/>
      <c r="F395" s="37"/>
      <c r="G395" s="138"/>
      <c r="H395" s="138"/>
    </row>
    <row r="396" spans="1:8" ht="12.75" customHeight="1" x14ac:dyDescent="0.2">
      <c r="A396" s="1002" t="s">
        <v>314</v>
      </c>
      <c r="B396" s="1023"/>
      <c r="C396" s="41"/>
      <c r="D396" s="1047"/>
      <c r="E396" s="134"/>
      <c r="F396" s="135"/>
      <c r="G396" s="137"/>
      <c r="H396" s="137"/>
    </row>
    <row r="397" spans="1:8" ht="12.75" customHeight="1" x14ac:dyDescent="0.2">
      <c r="A397" s="1002" t="s">
        <v>315</v>
      </c>
      <c r="B397" s="1023"/>
      <c r="C397" s="41"/>
      <c r="D397" s="1047"/>
      <c r="E397" s="134"/>
      <c r="F397" s="135"/>
      <c r="G397" s="137"/>
      <c r="H397" s="137"/>
    </row>
    <row r="398" spans="1:8" ht="24" x14ac:dyDescent="0.2">
      <c r="A398" s="1011" t="s">
        <v>3067</v>
      </c>
      <c r="B398" s="1023"/>
      <c r="C398" s="140" t="s">
        <v>3068</v>
      </c>
      <c r="D398" s="1047" t="s">
        <v>3069</v>
      </c>
      <c r="E398" s="134">
        <v>2013</v>
      </c>
      <c r="F398" s="135" t="s">
        <v>2842</v>
      </c>
      <c r="G398" s="137">
        <v>1821.84</v>
      </c>
      <c r="H398" s="137">
        <v>1822.59</v>
      </c>
    </row>
    <row r="399" spans="1:8" ht="12.75" customHeight="1" x14ac:dyDescent="0.2">
      <c r="A399" s="1012"/>
      <c r="B399" s="1023"/>
      <c r="C399" s="41"/>
      <c r="D399" s="1047"/>
      <c r="E399" s="134"/>
      <c r="F399" s="135"/>
      <c r="G399" s="137"/>
      <c r="H399" s="137"/>
    </row>
    <row r="400" spans="1:8" ht="24" x14ac:dyDescent="0.2">
      <c r="A400" s="1011" t="s">
        <v>3070</v>
      </c>
      <c r="B400" s="1023"/>
      <c r="C400" s="140" t="s">
        <v>3068</v>
      </c>
      <c r="D400" s="1047" t="s">
        <v>3069</v>
      </c>
      <c r="E400" s="134">
        <v>2013</v>
      </c>
      <c r="F400" s="135" t="s">
        <v>2842</v>
      </c>
      <c r="G400" s="137">
        <v>608.17999999999995</v>
      </c>
      <c r="H400" s="137">
        <v>609.13</v>
      </c>
    </row>
    <row r="401" spans="1:8" ht="12.75" customHeight="1" x14ac:dyDescent="0.2">
      <c r="A401" s="1012"/>
      <c r="B401" s="1023"/>
      <c r="C401" s="41"/>
      <c r="D401" s="1047"/>
      <c r="E401" s="134"/>
      <c r="F401" s="135"/>
      <c r="G401" s="137"/>
      <c r="H401" s="137"/>
    </row>
    <row r="402" spans="1:8" ht="12.75" customHeight="1" x14ac:dyDescent="0.2">
      <c r="A402" s="1011" t="s">
        <v>3071</v>
      </c>
      <c r="B402" s="1023"/>
      <c r="C402" s="41" t="s">
        <v>2839</v>
      </c>
      <c r="D402" s="1047" t="s">
        <v>3072</v>
      </c>
      <c r="E402" s="134">
        <v>2008</v>
      </c>
      <c r="F402" s="135" t="s">
        <v>2842</v>
      </c>
      <c r="G402" s="137">
        <v>79925.320000000007</v>
      </c>
      <c r="H402" s="137">
        <v>30838.28</v>
      </c>
    </row>
    <row r="403" spans="1:8" ht="12.75" customHeight="1" x14ac:dyDescent="0.2">
      <c r="A403" s="1002"/>
      <c r="B403" s="1023"/>
      <c r="C403" s="41"/>
      <c r="D403" s="1047"/>
      <c r="E403" s="134"/>
      <c r="F403" s="135"/>
      <c r="G403" s="137"/>
      <c r="H403" s="137"/>
    </row>
    <row r="404" spans="1:8" ht="13.5" customHeight="1" thickBot="1" x14ac:dyDescent="0.25">
      <c r="A404" s="1005"/>
      <c r="B404" s="1024"/>
      <c r="C404" s="39"/>
      <c r="D404" s="1048"/>
      <c r="E404" s="141"/>
      <c r="F404" s="142"/>
      <c r="G404" s="143"/>
      <c r="H404" s="143"/>
    </row>
  </sheetData>
  <mergeCells count="9">
    <mergeCell ref="B131:B148"/>
    <mergeCell ref="B151:B168"/>
    <mergeCell ref="A1:H1"/>
    <mergeCell ref="A2:B2"/>
    <mergeCell ref="C4:H4"/>
    <mergeCell ref="B4:B5"/>
    <mergeCell ref="A4:A5"/>
    <mergeCell ref="B91:B108"/>
    <mergeCell ref="B110:B129"/>
  </mergeCells>
  <printOptions horizontalCentered="1"/>
  <pageMargins left="0.23622047244094491" right="0.23622047244094491" top="0.74803149606299213" bottom="0.74803149606299213" header="0.31496062992125984" footer="0.31496062992125984"/>
  <pageSetup paperSize="9" scale="7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theme="9" tint="-0.249977111117893"/>
  </sheetPr>
  <dimension ref="A1:V3052"/>
  <sheetViews>
    <sheetView zoomScale="90" zoomScaleNormal="90" zoomScaleSheetLayoutView="100" zoomScalePageLayoutView="75" workbookViewId="0">
      <selection activeCell="D786" sqref="D786"/>
    </sheetView>
  </sheetViews>
  <sheetFormatPr baseColWidth="10" defaultColWidth="11.42578125" defaultRowHeight="12" x14ac:dyDescent="0.2"/>
  <cols>
    <col min="1" max="1" width="16" style="505" customWidth="1"/>
    <col min="2" max="2" width="13.85546875" style="63" customWidth="1"/>
    <col min="3" max="3" width="13.7109375" style="505" customWidth="1"/>
    <col min="4" max="4" width="29.7109375" style="63" customWidth="1"/>
    <col min="5" max="5" width="12.42578125" style="1116" customWidth="1"/>
    <col min="6" max="6" width="18.7109375" style="63" customWidth="1"/>
    <col min="7" max="7" width="30.28515625" style="63" customWidth="1"/>
    <col min="8" max="8" width="18.7109375" style="63" customWidth="1"/>
    <col min="9" max="9" width="14.7109375" style="511" customWidth="1"/>
    <col min="10" max="10" width="18.7109375" style="511" customWidth="1"/>
    <col min="11" max="11" width="10.5703125" style="924" customWidth="1"/>
    <col min="12" max="12" width="14.85546875" style="1117" customWidth="1"/>
    <col min="13" max="13" width="12.42578125" style="1106" customWidth="1"/>
    <col min="14" max="14" width="13" style="63" customWidth="1"/>
    <col min="15" max="15" width="13.85546875" style="63" customWidth="1"/>
    <col min="16" max="16" width="12.42578125" style="1106" customWidth="1"/>
    <col min="17" max="16384" width="11.42578125" style="63"/>
  </cols>
  <sheetData>
    <row r="1" spans="1:22" s="914" customFormat="1" x14ac:dyDescent="0.2">
      <c r="A1" s="1548" t="s">
        <v>3073</v>
      </c>
      <c r="B1" s="1548"/>
      <c r="C1" s="1548"/>
      <c r="D1" s="1548"/>
      <c r="E1" s="1548"/>
      <c r="F1" s="1548"/>
      <c r="G1" s="1548"/>
      <c r="H1" s="1548"/>
      <c r="I1" s="1548"/>
      <c r="J1" s="1548"/>
      <c r="K1" s="1548"/>
      <c r="L1" s="1548"/>
      <c r="M1" s="1548"/>
      <c r="N1" s="1548"/>
      <c r="O1" s="1548"/>
      <c r="P1" s="1548"/>
    </row>
    <row r="2" spans="1:22" x14ac:dyDescent="0.2">
      <c r="A2" s="1443" t="s">
        <v>43</v>
      </c>
      <c r="B2" s="1443"/>
      <c r="C2" s="1443"/>
      <c r="D2" s="1443"/>
      <c r="E2" s="1115"/>
      <c r="F2" s="886"/>
      <c r="G2" s="886"/>
      <c r="H2" s="886"/>
      <c r="I2" s="889"/>
      <c r="J2" s="889"/>
      <c r="K2" s="921"/>
      <c r="L2" s="886"/>
      <c r="M2" s="986"/>
      <c r="N2" s="886"/>
      <c r="O2" s="886"/>
      <c r="P2" s="986"/>
      <c r="Q2" s="886"/>
      <c r="R2" s="886"/>
      <c r="S2" s="886"/>
      <c r="T2" s="886"/>
      <c r="U2" s="886"/>
      <c r="V2" s="886"/>
    </row>
    <row r="4" spans="1:22" x14ac:dyDescent="0.2">
      <c r="A4" s="1153" t="s">
        <v>3074</v>
      </c>
      <c r="B4" s="1154"/>
      <c r="C4" s="869"/>
      <c r="D4" s="1154"/>
      <c r="E4" s="565"/>
      <c r="F4" s="1154"/>
      <c r="G4" s="1154"/>
      <c r="H4" s="1154"/>
      <c r="I4" s="433"/>
      <c r="J4" s="433"/>
      <c r="K4" s="1353"/>
      <c r="L4" s="1155"/>
      <c r="M4" s="1156"/>
      <c r="N4" s="1154"/>
      <c r="O4" s="1154"/>
      <c r="P4" s="1156"/>
    </row>
    <row r="5" spans="1:22" s="511" customFormat="1" ht="12.75" customHeight="1" x14ac:dyDescent="0.2">
      <c r="A5" s="1529" t="s">
        <v>3075</v>
      </c>
      <c r="B5" s="1529"/>
      <c r="C5" s="1529"/>
      <c r="D5" s="1529"/>
      <c r="E5" s="1529"/>
      <c r="F5" s="1529" t="s">
        <v>3076</v>
      </c>
      <c r="G5" s="1529"/>
      <c r="H5" s="1529"/>
      <c r="I5" s="1529"/>
      <c r="J5" s="1529"/>
      <c r="K5" s="1528" t="s">
        <v>3077</v>
      </c>
      <c r="L5" s="1528"/>
      <c r="M5" s="1528"/>
      <c r="N5" s="1528" t="s">
        <v>3078</v>
      </c>
      <c r="O5" s="1528"/>
      <c r="P5" s="1528"/>
      <c r="Q5" s="886"/>
      <c r="R5" s="886"/>
      <c r="S5" s="886"/>
    </row>
    <row r="6" spans="1:22" s="1058" customFormat="1" ht="80.099999999999994" customHeight="1" x14ac:dyDescent="0.2">
      <c r="A6" s="433" t="s">
        <v>2829</v>
      </c>
      <c r="B6" s="433" t="s">
        <v>3079</v>
      </c>
      <c r="C6" s="433" t="s">
        <v>3080</v>
      </c>
      <c r="D6" s="433" t="s">
        <v>3081</v>
      </c>
      <c r="E6" s="699" t="s">
        <v>3082</v>
      </c>
      <c r="F6" s="433" t="s">
        <v>3083</v>
      </c>
      <c r="G6" s="433" t="s">
        <v>3084</v>
      </c>
      <c r="H6" s="433" t="s">
        <v>3085</v>
      </c>
      <c r="I6" s="433" t="s">
        <v>3086</v>
      </c>
      <c r="J6" s="433" t="s">
        <v>3087</v>
      </c>
      <c r="K6" s="1354" t="s">
        <v>3088</v>
      </c>
      <c r="L6" s="1157" t="s">
        <v>3089</v>
      </c>
      <c r="M6" s="698" t="s">
        <v>3090</v>
      </c>
      <c r="N6" s="1157" t="s">
        <v>3088</v>
      </c>
      <c r="O6" s="1157" t="s">
        <v>3089</v>
      </c>
      <c r="P6" s="698" t="s">
        <v>3090</v>
      </c>
      <c r="Q6" s="886"/>
      <c r="R6" s="886"/>
      <c r="S6" s="886"/>
    </row>
    <row r="7" spans="1:22" x14ac:dyDescent="0.2">
      <c r="A7" s="60"/>
      <c r="B7" s="415"/>
      <c r="C7" s="60"/>
      <c r="D7" s="416"/>
      <c r="E7" s="564"/>
      <c r="F7" s="415"/>
      <c r="G7" s="862"/>
      <c r="H7" s="862"/>
      <c r="I7" s="713"/>
      <c r="J7" s="415"/>
      <c r="K7" s="945"/>
      <c r="L7" s="1143"/>
      <c r="M7" s="1120"/>
      <c r="N7" s="1143"/>
      <c r="O7" s="1143"/>
      <c r="P7" s="1120"/>
      <c r="Q7" s="886"/>
      <c r="R7" s="886"/>
      <c r="S7" s="886"/>
    </row>
    <row r="8" spans="1:22" x14ac:dyDescent="0.2">
      <c r="A8" s="1152" t="s">
        <v>3091</v>
      </c>
      <c r="B8" s="415" t="s">
        <v>3092</v>
      </c>
      <c r="C8" s="1158" t="s">
        <v>398</v>
      </c>
      <c r="D8" s="1159" t="s">
        <v>3093</v>
      </c>
      <c r="E8" s="1120">
        <v>930</v>
      </c>
      <c r="F8" s="1160" t="s">
        <v>3094</v>
      </c>
      <c r="G8" s="416" t="str">
        <f t="shared" ref="G8:G71" si="0">CONCATENATE(W8," ",X8," ",Y8)</f>
        <v xml:space="preserve">  </v>
      </c>
      <c r="H8" s="1159"/>
      <c r="I8" s="415"/>
      <c r="J8" s="415"/>
      <c r="K8" s="948">
        <f>1+4</f>
        <v>5</v>
      </c>
      <c r="L8" s="1119">
        <v>12</v>
      </c>
      <c r="M8" s="1120">
        <f>E8*L8</f>
        <v>11160</v>
      </c>
      <c r="N8" s="1119">
        <v>2</v>
      </c>
      <c r="O8" s="1119">
        <v>6</v>
      </c>
      <c r="P8" s="1120">
        <f>E8*O8</f>
        <v>5580</v>
      </c>
      <c r="Q8" s="886"/>
      <c r="R8" s="886"/>
      <c r="S8" s="886"/>
    </row>
    <row r="9" spans="1:22" ht="24" x14ac:dyDescent="0.2">
      <c r="A9" s="1152" t="s">
        <v>3091</v>
      </c>
      <c r="B9" s="415" t="s">
        <v>3092</v>
      </c>
      <c r="C9" s="1158" t="s">
        <v>398</v>
      </c>
      <c r="D9" s="1159" t="s">
        <v>3095</v>
      </c>
      <c r="E9" s="1120">
        <v>2700</v>
      </c>
      <c r="F9" s="1160" t="s">
        <v>3096</v>
      </c>
      <c r="G9" s="416" t="str">
        <f t="shared" si="0"/>
        <v xml:space="preserve">  </v>
      </c>
      <c r="H9" s="1159"/>
      <c r="I9" s="415"/>
      <c r="J9" s="415"/>
      <c r="K9" s="948">
        <f t="shared" ref="K9:K72" si="1">1+4</f>
        <v>5</v>
      </c>
      <c r="L9" s="1119">
        <v>12</v>
      </c>
      <c r="M9" s="1120">
        <f t="shared" ref="M9:M72" si="2">E9*L9</f>
        <v>32400</v>
      </c>
      <c r="N9" s="1119">
        <v>2</v>
      </c>
      <c r="O9" s="1119">
        <v>6</v>
      </c>
      <c r="P9" s="1120">
        <f t="shared" ref="P9:P72" si="3">E9*O9</f>
        <v>16200</v>
      </c>
      <c r="Q9" s="886"/>
      <c r="R9" s="886"/>
      <c r="S9" s="886"/>
    </row>
    <row r="10" spans="1:22" ht="24" x14ac:dyDescent="0.2">
      <c r="A10" s="1152" t="s">
        <v>3091</v>
      </c>
      <c r="B10" s="415" t="s">
        <v>3092</v>
      </c>
      <c r="C10" s="1158" t="s">
        <v>398</v>
      </c>
      <c r="D10" s="1159" t="s">
        <v>3097</v>
      </c>
      <c r="E10" s="1120">
        <v>2500</v>
      </c>
      <c r="F10" s="1160" t="s">
        <v>3098</v>
      </c>
      <c r="G10" s="416" t="str">
        <f t="shared" si="0"/>
        <v xml:space="preserve">  </v>
      </c>
      <c r="H10" s="1159" t="s">
        <v>3099</v>
      </c>
      <c r="I10" s="415"/>
      <c r="J10" s="415"/>
      <c r="K10" s="948">
        <f t="shared" si="1"/>
        <v>5</v>
      </c>
      <c r="L10" s="1119">
        <v>12</v>
      </c>
      <c r="M10" s="1120">
        <f t="shared" si="2"/>
        <v>30000</v>
      </c>
      <c r="N10" s="1119">
        <v>2</v>
      </c>
      <c r="O10" s="1119">
        <v>6</v>
      </c>
      <c r="P10" s="1120">
        <f t="shared" si="3"/>
        <v>15000</v>
      </c>
      <c r="Q10" s="886"/>
      <c r="R10" s="886"/>
      <c r="S10" s="886"/>
    </row>
    <row r="11" spans="1:22" x14ac:dyDescent="0.2">
      <c r="A11" s="1152" t="s">
        <v>3091</v>
      </c>
      <c r="B11" s="415" t="s">
        <v>3092</v>
      </c>
      <c r="C11" s="1158" t="s">
        <v>398</v>
      </c>
      <c r="D11" s="1159" t="s">
        <v>3100</v>
      </c>
      <c r="E11" s="1120">
        <v>1200</v>
      </c>
      <c r="F11" s="1160" t="s">
        <v>3101</v>
      </c>
      <c r="G11" s="416" t="str">
        <f t="shared" si="0"/>
        <v xml:space="preserve">  </v>
      </c>
      <c r="H11" s="1159"/>
      <c r="I11" s="415"/>
      <c r="J11" s="415"/>
      <c r="K11" s="948">
        <f t="shared" si="1"/>
        <v>5</v>
      </c>
      <c r="L11" s="1119">
        <v>12</v>
      </c>
      <c r="M11" s="1120">
        <f t="shared" si="2"/>
        <v>14400</v>
      </c>
      <c r="N11" s="1119">
        <v>2</v>
      </c>
      <c r="O11" s="1119">
        <v>6</v>
      </c>
      <c r="P11" s="1120">
        <f t="shared" si="3"/>
        <v>7200</v>
      </c>
      <c r="Q11" s="886"/>
      <c r="R11" s="886"/>
      <c r="S11" s="886"/>
    </row>
    <row r="12" spans="1:22" x14ac:dyDescent="0.2">
      <c r="A12" s="1152" t="s">
        <v>3091</v>
      </c>
      <c r="B12" s="415" t="s">
        <v>3092</v>
      </c>
      <c r="C12" s="1158" t="s">
        <v>398</v>
      </c>
      <c r="D12" s="1159" t="s">
        <v>3100</v>
      </c>
      <c r="E12" s="1120">
        <v>1400</v>
      </c>
      <c r="F12" s="1160" t="s">
        <v>3102</v>
      </c>
      <c r="G12" s="416" t="str">
        <f t="shared" si="0"/>
        <v xml:space="preserve">  </v>
      </c>
      <c r="H12" s="1159"/>
      <c r="I12" s="415"/>
      <c r="J12" s="415"/>
      <c r="K12" s="948">
        <f t="shared" si="1"/>
        <v>5</v>
      </c>
      <c r="L12" s="1119">
        <v>12</v>
      </c>
      <c r="M12" s="1120">
        <f t="shared" si="2"/>
        <v>16800</v>
      </c>
      <c r="N12" s="1119">
        <v>2</v>
      </c>
      <c r="O12" s="1119">
        <v>6</v>
      </c>
      <c r="P12" s="1120">
        <f t="shared" si="3"/>
        <v>8400</v>
      </c>
      <c r="Q12" s="886"/>
      <c r="R12" s="886"/>
      <c r="S12" s="886"/>
    </row>
    <row r="13" spans="1:22" x14ac:dyDescent="0.2">
      <c r="A13" s="1152" t="s">
        <v>3091</v>
      </c>
      <c r="B13" s="415" t="s">
        <v>3092</v>
      </c>
      <c r="C13" s="1158" t="s">
        <v>398</v>
      </c>
      <c r="D13" s="1159" t="s">
        <v>3103</v>
      </c>
      <c r="E13" s="1120">
        <v>3000</v>
      </c>
      <c r="F13" s="1160" t="s">
        <v>3104</v>
      </c>
      <c r="G13" s="416" t="str">
        <f t="shared" si="0"/>
        <v xml:space="preserve">  </v>
      </c>
      <c r="H13" s="1159" t="s">
        <v>3099</v>
      </c>
      <c r="I13" s="415"/>
      <c r="J13" s="415"/>
      <c r="K13" s="948">
        <f t="shared" si="1"/>
        <v>5</v>
      </c>
      <c r="L13" s="1119">
        <v>12</v>
      </c>
      <c r="M13" s="1120">
        <f t="shared" si="2"/>
        <v>36000</v>
      </c>
      <c r="N13" s="1119">
        <v>2</v>
      </c>
      <c r="O13" s="1119">
        <v>6</v>
      </c>
      <c r="P13" s="1120">
        <f t="shared" si="3"/>
        <v>18000</v>
      </c>
      <c r="Q13" s="886"/>
      <c r="R13" s="886"/>
      <c r="S13" s="886"/>
    </row>
    <row r="14" spans="1:22" ht="24" x14ac:dyDescent="0.2">
      <c r="A14" s="1152" t="s">
        <v>3091</v>
      </c>
      <c r="B14" s="415" t="s">
        <v>3092</v>
      </c>
      <c r="C14" s="1158" t="s">
        <v>398</v>
      </c>
      <c r="D14" s="1159" t="s">
        <v>3105</v>
      </c>
      <c r="E14" s="1120">
        <v>3800</v>
      </c>
      <c r="F14" s="1160" t="s">
        <v>3106</v>
      </c>
      <c r="G14" s="416" t="str">
        <f t="shared" si="0"/>
        <v xml:space="preserve">  </v>
      </c>
      <c r="H14" s="1159" t="s">
        <v>3107</v>
      </c>
      <c r="I14" s="415"/>
      <c r="J14" s="415"/>
      <c r="K14" s="948">
        <f t="shared" si="1"/>
        <v>5</v>
      </c>
      <c r="L14" s="1119">
        <v>12</v>
      </c>
      <c r="M14" s="1120">
        <f t="shared" si="2"/>
        <v>45600</v>
      </c>
      <c r="N14" s="1119">
        <v>2</v>
      </c>
      <c r="O14" s="1119">
        <v>6</v>
      </c>
      <c r="P14" s="1120">
        <f t="shared" si="3"/>
        <v>22800</v>
      </c>
      <c r="Q14" s="886"/>
      <c r="R14" s="886"/>
      <c r="S14" s="886"/>
    </row>
    <row r="15" spans="1:22" ht="24" x14ac:dyDescent="0.2">
      <c r="A15" s="1152" t="s">
        <v>3091</v>
      </c>
      <c r="B15" s="415" t="s">
        <v>3092</v>
      </c>
      <c r="C15" s="1158" t="s">
        <v>398</v>
      </c>
      <c r="D15" s="1159" t="s">
        <v>3103</v>
      </c>
      <c r="E15" s="1120">
        <v>2500</v>
      </c>
      <c r="F15" s="1160" t="s">
        <v>3108</v>
      </c>
      <c r="G15" s="416" t="str">
        <f t="shared" si="0"/>
        <v xml:space="preserve">  </v>
      </c>
      <c r="H15" s="1159" t="s">
        <v>3109</v>
      </c>
      <c r="I15" s="415"/>
      <c r="J15" s="415"/>
      <c r="K15" s="948">
        <f t="shared" si="1"/>
        <v>5</v>
      </c>
      <c r="L15" s="1119">
        <v>12</v>
      </c>
      <c r="M15" s="1120">
        <f t="shared" si="2"/>
        <v>30000</v>
      </c>
      <c r="N15" s="1119">
        <v>2</v>
      </c>
      <c r="O15" s="1119">
        <v>6</v>
      </c>
      <c r="P15" s="1120">
        <f t="shared" si="3"/>
        <v>15000</v>
      </c>
      <c r="Q15" s="886"/>
      <c r="R15" s="886"/>
      <c r="S15" s="886"/>
    </row>
    <row r="16" spans="1:22" x14ac:dyDescent="0.2">
      <c r="A16" s="1152" t="s">
        <v>3091</v>
      </c>
      <c r="B16" s="415" t="s">
        <v>3092</v>
      </c>
      <c r="C16" s="1158" t="s">
        <v>398</v>
      </c>
      <c r="D16" s="1159" t="s">
        <v>3110</v>
      </c>
      <c r="E16" s="1120">
        <v>1200</v>
      </c>
      <c r="F16" s="1160" t="s">
        <v>3111</v>
      </c>
      <c r="G16" s="416" t="str">
        <f t="shared" si="0"/>
        <v xml:space="preserve">  </v>
      </c>
      <c r="H16" s="1159"/>
      <c r="I16" s="415"/>
      <c r="J16" s="415"/>
      <c r="K16" s="948">
        <f t="shared" si="1"/>
        <v>5</v>
      </c>
      <c r="L16" s="1119">
        <v>12</v>
      </c>
      <c r="M16" s="1120">
        <f t="shared" si="2"/>
        <v>14400</v>
      </c>
      <c r="N16" s="1119">
        <v>2</v>
      </c>
      <c r="O16" s="1119">
        <v>6</v>
      </c>
      <c r="P16" s="1120">
        <f t="shared" si="3"/>
        <v>7200</v>
      </c>
      <c r="Q16" s="886"/>
      <c r="R16" s="886"/>
      <c r="S16" s="886"/>
    </row>
    <row r="17" spans="1:19" ht="48" x14ac:dyDescent="0.2">
      <c r="A17" s="1152" t="s">
        <v>3091</v>
      </c>
      <c r="B17" s="415" t="s">
        <v>3092</v>
      </c>
      <c r="C17" s="1158" t="s">
        <v>398</v>
      </c>
      <c r="D17" s="1159" t="s">
        <v>3112</v>
      </c>
      <c r="E17" s="1120">
        <v>1500</v>
      </c>
      <c r="F17" s="1160" t="s">
        <v>3113</v>
      </c>
      <c r="G17" s="416" t="str">
        <f t="shared" si="0"/>
        <v xml:space="preserve">  </v>
      </c>
      <c r="H17" s="1159" t="s">
        <v>3114</v>
      </c>
      <c r="I17" s="415"/>
      <c r="J17" s="415"/>
      <c r="K17" s="948">
        <f t="shared" si="1"/>
        <v>5</v>
      </c>
      <c r="L17" s="1119">
        <v>12</v>
      </c>
      <c r="M17" s="1120">
        <f t="shared" si="2"/>
        <v>18000</v>
      </c>
      <c r="N17" s="1119">
        <v>2</v>
      </c>
      <c r="O17" s="1119">
        <v>6</v>
      </c>
      <c r="P17" s="1120">
        <f t="shared" si="3"/>
        <v>9000</v>
      </c>
      <c r="Q17" s="886"/>
      <c r="R17" s="886"/>
      <c r="S17" s="886"/>
    </row>
    <row r="18" spans="1:19" x14ac:dyDescent="0.2">
      <c r="A18" s="1152" t="s">
        <v>3091</v>
      </c>
      <c r="B18" s="415" t="s">
        <v>3092</v>
      </c>
      <c r="C18" s="1158" t="s">
        <v>398</v>
      </c>
      <c r="D18" s="1159" t="s">
        <v>3115</v>
      </c>
      <c r="E18" s="1120">
        <v>1200</v>
      </c>
      <c r="F18" s="1160" t="s">
        <v>3116</v>
      </c>
      <c r="G18" s="416" t="str">
        <f t="shared" si="0"/>
        <v xml:space="preserve">  </v>
      </c>
      <c r="H18" s="1159"/>
      <c r="I18" s="415"/>
      <c r="J18" s="415"/>
      <c r="K18" s="948">
        <f t="shared" si="1"/>
        <v>5</v>
      </c>
      <c r="L18" s="1119">
        <v>12</v>
      </c>
      <c r="M18" s="1120">
        <f t="shared" si="2"/>
        <v>14400</v>
      </c>
      <c r="N18" s="1119">
        <v>2</v>
      </c>
      <c r="O18" s="1119">
        <v>6</v>
      </c>
      <c r="P18" s="1120">
        <f t="shared" si="3"/>
        <v>7200</v>
      </c>
      <c r="Q18" s="886"/>
      <c r="R18" s="886"/>
      <c r="S18" s="886"/>
    </row>
    <row r="19" spans="1:19" x14ac:dyDescent="0.2">
      <c r="A19" s="1152" t="s">
        <v>3091</v>
      </c>
      <c r="B19" s="415" t="s">
        <v>3092</v>
      </c>
      <c r="C19" s="1158" t="s">
        <v>398</v>
      </c>
      <c r="D19" s="1159" t="s">
        <v>3093</v>
      </c>
      <c r="E19" s="1120">
        <v>930</v>
      </c>
      <c r="F19" s="1160" t="s">
        <v>3117</v>
      </c>
      <c r="G19" s="416" t="str">
        <f t="shared" si="0"/>
        <v xml:space="preserve">  </v>
      </c>
      <c r="H19" s="1159"/>
      <c r="I19" s="415"/>
      <c r="J19" s="415"/>
      <c r="K19" s="948">
        <f t="shared" si="1"/>
        <v>5</v>
      </c>
      <c r="L19" s="1119">
        <v>12</v>
      </c>
      <c r="M19" s="1120">
        <f t="shared" si="2"/>
        <v>11160</v>
      </c>
      <c r="N19" s="1119">
        <v>2</v>
      </c>
      <c r="O19" s="1119">
        <v>6</v>
      </c>
      <c r="P19" s="1120">
        <f t="shared" si="3"/>
        <v>5580</v>
      </c>
      <c r="Q19" s="886"/>
      <c r="R19" s="886"/>
      <c r="S19" s="886"/>
    </row>
    <row r="20" spans="1:19" x14ac:dyDescent="0.2">
      <c r="A20" s="1152" t="s">
        <v>3091</v>
      </c>
      <c r="B20" s="415" t="s">
        <v>3092</v>
      </c>
      <c r="C20" s="1158" t="s">
        <v>398</v>
      </c>
      <c r="D20" s="1159" t="s">
        <v>3118</v>
      </c>
      <c r="E20" s="1120">
        <v>3000</v>
      </c>
      <c r="F20" s="1160" t="s">
        <v>3119</v>
      </c>
      <c r="G20" s="416" t="str">
        <f t="shared" si="0"/>
        <v xml:space="preserve">  </v>
      </c>
      <c r="H20" s="1159" t="s">
        <v>2813</v>
      </c>
      <c r="I20" s="415"/>
      <c r="J20" s="415"/>
      <c r="K20" s="948">
        <f t="shared" si="1"/>
        <v>5</v>
      </c>
      <c r="L20" s="1119">
        <v>12</v>
      </c>
      <c r="M20" s="1120">
        <f t="shared" si="2"/>
        <v>36000</v>
      </c>
      <c r="N20" s="1119">
        <v>2</v>
      </c>
      <c r="O20" s="1119">
        <v>6</v>
      </c>
      <c r="P20" s="1120">
        <f t="shared" si="3"/>
        <v>18000</v>
      </c>
      <c r="Q20" s="886"/>
      <c r="R20" s="886"/>
      <c r="S20" s="886"/>
    </row>
    <row r="21" spans="1:19" ht="24" x14ac:dyDescent="0.2">
      <c r="A21" s="1152" t="s">
        <v>3091</v>
      </c>
      <c r="B21" s="415" t="s">
        <v>3092</v>
      </c>
      <c r="C21" s="1158" t="s">
        <v>398</v>
      </c>
      <c r="D21" s="1159" t="s">
        <v>3100</v>
      </c>
      <c r="E21" s="1120">
        <v>1600</v>
      </c>
      <c r="F21" s="1160" t="s">
        <v>3120</v>
      </c>
      <c r="G21" s="416" t="str">
        <f t="shared" si="0"/>
        <v xml:space="preserve">  </v>
      </c>
      <c r="H21" s="1159" t="s">
        <v>3121</v>
      </c>
      <c r="I21" s="415"/>
      <c r="J21" s="415"/>
      <c r="K21" s="948">
        <f t="shared" si="1"/>
        <v>5</v>
      </c>
      <c r="L21" s="1119">
        <v>12</v>
      </c>
      <c r="M21" s="1120">
        <f t="shared" si="2"/>
        <v>19200</v>
      </c>
      <c r="N21" s="1119">
        <v>2</v>
      </c>
      <c r="O21" s="1119">
        <v>6</v>
      </c>
      <c r="P21" s="1120">
        <f t="shared" si="3"/>
        <v>9600</v>
      </c>
      <c r="Q21" s="886"/>
      <c r="R21" s="886"/>
      <c r="S21" s="886"/>
    </row>
    <row r="22" spans="1:19" ht="24" x14ac:dyDescent="0.2">
      <c r="A22" s="1152" t="s">
        <v>3091</v>
      </c>
      <c r="B22" s="415" t="s">
        <v>3092</v>
      </c>
      <c r="C22" s="1158" t="s">
        <v>398</v>
      </c>
      <c r="D22" s="1159" t="s">
        <v>3122</v>
      </c>
      <c r="E22" s="1120">
        <v>3500</v>
      </c>
      <c r="F22" s="1160" t="s">
        <v>3123</v>
      </c>
      <c r="G22" s="416" t="str">
        <f t="shared" si="0"/>
        <v xml:space="preserve">  </v>
      </c>
      <c r="H22" s="1159" t="s">
        <v>3124</v>
      </c>
      <c r="I22" s="415"/>
      <c r="J22" s="415"/>
      <c r="K22" s="948">
        <f t="shared" si="1"/>
        <v>5</v>
      </c>
      <c r="L22" s="1119">
        <v>12</v>
      </c>
      <c r="M22" s="1120">
        <f t="shared" si="2"/>
        <v>42000</v>
      </c>
      <c r="N22" s="1119">
        <v>2</v>
      </c>
      <c r="O22" s="1119">
        <v>6</v>
      </c>
      <c r="P22" s="1120">
        <f t="shared" si="3"/>
        <v>21000</v>
      </c>
      <c r="Q22" s="886"/>
      <c r="R22" s="886"/>
      <c r="S22" s="886"/>
    </row>
    <row r="23" spans="1:19" x14ac:dyDescent="0.2">
      <c r="A23" s="1152" t="s">
        <v>3091</v>
      </c>
      <c r="B23" s="415" t="s">
        <v>3092</v>
      </c>
      <c r="C23" s="1158" t="s">
        <v>398</v>
      </c>
      <c r="D23" s="1159" t="s">
        <v>3125</v>
      </c>
      <c r="E23" s="1120">
        <v>930</v>
      </c>
      <c r="F23" s="1160" t="s">
        <v>3126</v>
      </c>
      <c r="G23" s="416" t="str">
        <f t="shared" si="0"/>
        <v xml:space="preserve">  </v>
      </c>
      <c r="H23" s="1159"/>
      <c r="I23" s="415"/>
      <c r="J23" s="415"/>
      <c r="K23" s="948">
        <f t="shared" si="1"/>
        <v>5</v>
      </c>
      <c r="L23" s="1119">
        <v>12</v>
      </c>
      <c r="M23" s="1120">
        <f t="shared" si="2"/>
        <v>11160</v>
      </c>
      <c r="N23" s="1119">
        <v>2</v>
      </c>
      <c r="O23" s="1119">
        <v>6</v>
      </c>
      <c r="P23" s="1120">
        <f t="shared" si="3"/>
        <v>5580</v>
      </c>
      <c r="Q23" s="886"/>
      <c r="R23" s="886"/>
      <c r="S23" s="886"/>
    </row>
    <row r="24" spans="1:19" ht="24" x14ac:dyDescent="0.2">
      <c r="A24" s="1152" t="s">
        <v>3091</v>
      </c>
      <c r="B24" s="415" t="s">
        <v>3092</v>
      </c>
      <c r="C24" s="1158" t="s">
        <v>398</v>
      </c>
      <c r="D24" s="1159" t="s">
        <v>3127</v>
      </c>
      <c r="E24" s="1120">
        <v>3000</v>
      </c>
      <c r="F24" s="1160" t="s">
        <v>3128</v>
      </c>
      <c r="G24" s="416" t="str">
        <f t="shared" si="0"/>
        <v xml:space="preserve">  </v>
      </c>
      <c r="H24" s="1159" t="s">
        <v>3129</v>
      </c>
      <c r="I24" s="415"/>
      <c r="J24" s="415"/>
      <c r="K24" s="948">
        <f t="shared" si="1"/>
        <v>5</v>
      </c>
      <c r="L24" s="1119">
        <v>12</v>
      </c>
      <c r="M24" s="1120">
        <f t="shared" si="2"/>
        <v>36000</v>
      </c>
      <c r="N24" s="1119">
        <v>2</v>
      </c>
      <c r="O24" s="1119">
        <v>6</v>
      </c>
      <c r="P24" s="1120">
        <f t="shared" si="3"/>
        <v>18000</v>
      </c>
      <c r="Q24" s="886"/>
      <c r="R24" s="886"/>
      <c r="S24" s="886"/>
    </row>
    <row r="25" spans="1:19" x14ac:dyDescent="0.2">
      <c r="A25" s="1152" t="s">
        <v>3091</v>
      </c>
      <c r="B25" s="415" t="s">
        <v>3092</v>
      </c>
      <c r="C25" s="1158" t="s">
        <v>398</v>
      </c>
      <c r="D25" s="1159" t="s">
        <v>3100</v>
      </c>
      <c r="E25" s="1120">
        <v>2000</v>
      </c>
      <c r="F25" s="1160" t="s">
        <v>3130</v>
      </c>
      <c r="G25" s="416" t="str">
        <f t="shared" si="0"/>
        <v xml:space="preserve">  </v>
      </c>
      <c r="H25" s="1159" t="s">
        <v>3131</v>
      </c>
      <c r="I25" s="415"/>
      <c r="J25" s="415"/>
      <c r="K25" s="948">
        <f t="shared" si="1"/>
        <v>5</v>
      </c>
      <c r="L25" s="1119">
        <v>12</v>
      </c>
      <c r="M25" s="1120">
        <f t="shared" si="2"/>
        <v>24000</v>
      </c>
      <c r="N25" s="1119">
        <v>2</v>
      </c>
      <c r="O25" s="1119">
        <v>6</v>
      </c>
      <c r="P25" s="1120">
        <f t="shared" si="3"/>
        <v>12000</v>
      </c>
      <c r="Q25" s="886"/>
      <c r="R25" s="886"/>
      <c r="S25" s="886"/>
    </row>
    <row r="26" spans="1:19" ht="24" x14ac:dyDescent="0.2">
      <c r="A26" s="1152" t="s">
        <v>3091</v>
      </c>
      <c r="B26" s="415" t="s">
        <v>3092</v>
      </c>
      <c r="C26" s="1158" t="s">
        <v>398</v>
      </c>
      <c r="D26" s="1159" t="s">
        <v>3132</v>
      </c>
      <c r="E26" s="1120">
        <v>2000</v>
      </c>
      <c r="F26" s="1160" t="s">
        <v>3133</v>
      </c>
      <c r="G26" s="416" t="str">
        <f t="shared" si="0"/>
        <v xml:space="preserve">  </v>
      </c>
      <c r="H26" s="1159" t="s">
        <v>3109</v>
      </c>
      <c r="I26" s="415"/>
      <c r="J26" s="415"/>
      <c r="K26" s="948">
        <f t="shared" si="1"/>
        <v>5</v>
      </c>
      <c r="L26" s="1119">
        <v>12</v>
      </c>
      <c r="M26" s="1120">
        <f t="shared" si="2"/>
        <v>24000</v>
      </c>
      <c r="N26" s="1119">
        <v>2</v>
      </c>
      <c r="O26" s="1119">
        <v>6</v>
      </c>
      <c r="P26" s="1120">
        <f t="shared" si="3"/>
        <v>12000</v>
      </c>
      <c r="Q26" s="886"/>
      <c r="R26" s="886"/>
      <c r="S26" s="886"/>
    </row>
    <row r="27" spans="1:19" ht="24" x14ac:dyDescent="0.2">
      <c r="A27" s="1152" t="s">
        <v>3091</v>
      </c>
      <c r="B27" s="415" t="s">
        <v>3092</v>
      </c>
      <c r="C27" s="1158" t="s">
        <v>398</v>
      </c>
      <c r="D27" s="1159" t="s">
        <v>3134</v>
      </c>
      <c r="E27" s="1120">
        <v>2000</v>
      </c>
      <c r="F27" s="1160" t="s">
        <v>3135</v>
      </c>
      <c r="G27" s="416" t="str">
        <f t="shared" si="0"/>
        <v xml:space="preserve">  </v>
      </c>
      <c r="H27" s="1159" t="s">
        <v>3124</v>
      </c>
      <c r="I27" s="415"/>
      <c r="J27" s="415"/>
      <c r="K27" s="948">
        <f t="shared" si="1"/>
        <v>5</v>
      </c>
      <c r="L27" s="1119">
        <v>12</v>
      </c>
      <c r="M27" s="1120">
        <f t="shared" si="2"/>
        <v>24000</v>
      </c>
      <c r="N27" s="1119">
        <v>2</v>
      </c>
      <c r="O27" s="1119">
        <v>6</v>
      </c>
      <c r="P27" s="1120">
        <f t="shared" si="3"/>
        <v>12000</v>
      </c>
      <c r="Q27" s="886"/>
      <c r="R27" s="886"/>
      <c r="S27" s="886"/>
    </row>
    <row r="28" spans="1:19" ht="24" x14ac:dyDescent="0.2">
      <c r="A28" s="1152" t="s">
        <v>3091</v>
      </c>
      <c r="B28" s="415" t="s">
        <v>3092</v>
      </c>
      <c r="C28" s="1158" t="s">
        <v>398</v>
      </c>
      <c r="D28" s="1159" t="s">
        <v>3112</v>
      </c>
      <c r="E28" s="1120">
        <v>1200</v>
      </c>
      <c r="F28" s="1160" t="s">
        <v>3136</v>
      </c>
      <c r="G28" s="416" t="str">
        <f t="shared" si="0"/>
        <v xml:space="preserve">  </v>
      </c>
      <c r="H28" s="1159" t="s">
        <v>3124</v>
      </c>
      <c r="I28" s="415"/>
      <c r="J28" s="415"/>
      <c r="K28" s="948">
        <f t="shared" si="1"/>
        <v>5</v>
      </c>
      <c r="L28" s="1119">
        <v>12</v>
      </c>
      <c r="M28" s="1120">
        <f t="shared" si="2"/>
        <v>14400</v>
      </c>
      <c r="N28" s="1119">
        <v>2</v>
      </c>
      <c r="O28" s="1119">
        <v>6</v>
      </c>
      <c r="P28" s="1120">
        <f t="shared" si="3"/>
        <v>7200</v>
      </c>
      <c r="Q28" s="886"/>
      <c r="R28" s="886"/>
      <c r="S28" s="886"/>
    </row>
    <row r="29" spans="1:19" ht="24" x14ac:dyDescent="0.2">
      <c r="A29" s="1152" t="s">
        <v>3091</v>
      </c>
      <c r="B29" s="415" t="s">
        <v>3092</v>
      </c>
      <c r="C29" s="1158" t="s">
        <v>398</v>
      </c>
      <c r="D29" s="1159" t="s">
        <v>3137</v>
      </c>
      <c r="E29" s="1120">
        <v>1400</v>
      </c>
      <c r="F29" s="1160" t="s">
        <v>3138</v>
      </c>
      <c r="G29" s="416" t="str">
        <f t="shared" si="0"/>
        <v xml:space="preserve">  </v>
      </c>
      <c r="H29" s="1159"/>
      <c r="I29" s="415"/>
      <c r="J29" s="415"/>
      <c r="K29" s="948">
        <f t="shared" si="1"/>
        <v>5</v>
      </c>
      <c r="L29" s="1119">
        <v>12</v>
      </c>
      <c r="M29" s="1120">
        <f t="shared" si="2"/>
        <v>16800</v>
      </c>
      <c r="N29" s="1119">
        <v>2</v>
      </c>
      <c r="O29" s="1119">
        <v>6</v>
      </c>
      <c r="P29" s="1120">
        <f t="shared" si="3"/>
        <v>8400</v>
      </c>
      <c r="Q29" s="886"/>
      <c r="R29" s="886"/>
      <c r="S29" s="886"/>
    </row>
    <row r="30" spans="1:19" ht="36" x14ac:dyDescent="0.2">
      <c r="A30" s="1152" t="s">
        <v>3091</v>
      </c>
      <c r="B30" s="415" t="s">
        <v>3092</v>
      </c>
      <c r="C30" s="1158" t="s">
        <v>398</v>
      </c>
      <c r="D30" s="1159" t="s">
        <v>3139</v>
      </c>
      <c r="E30" s="1120">
        <v>3700</v>
      </c>
      <c r="F30" s="1160" t="s">
        <v>3140</v>
      </c>
      <c r="G30" s="416" t="str">
        <f t="shared" si="0"/>
        <v xml:space="preserve">  </v>
      </c>
      <c r="H30" s="1159" t="s">
        <v>3141</v>
      </c>
      <c r="I30" s="415"/>
      <c r="J30" s="415"/>
      <c r="K30" s="948">
        <f t="shared" si="1"/>
        <v>5</v>
      </c>
      <c r="L30" s="1119">
        <v>12</v>
      </c>
      <c r="M30" s="1120">
        <f t="shared" si="2"/>
        <v>44400</v>
      </c>
      <c r="N30" s="1119">
        <v>2</v>
      </c>
      <c r="O30" s="1119">
        <v>6</v>
      </c>
      <c r="P30" s="1120">
        <f t="shared" si="3"/>
        <v>22200</v>
      </c>
      <c r="Q30" s="886"/>
      <c r="R30" s="886"/>
      <c r="S30" s="886"/>
    </row>
    <row r="31" spans="1:19" ht="36" x14ac:dyDescent="0.2">
      <c r="A31" s="1152" t="s">
        <v>3091</v>
      </c>
      <c r="B31" s="415" t="s">
        <v>3092</v>
      </c>
      <c r="C31" s="1158" t="s">
        <v>398</v>
      </c>
      <c r="D31" s="1159" t="s">
        <v>3142</v>
      </c>
      <c r="E31" s="1120">
        <v>4000</v>
      </c>
      <c r="F31" s="1160" t="s">
        <v>3143</v>
      </c>
      <c r="G31" s="416" t="str">
        <f t="shared" si="0"/>
        <v xml:space="preserve">  </v>
      </c>
      <c r="H31" s="1159" t="s">
        <v>3129</v>
      </c>
      <c r="I31" s="415"/>
      <c r="J31" s="415"/>
      <c r="K31" s="948">
        <f t="shared" si="1"/>
        <v>5</v>
      </c>
      <c r="L31" s="1119">
        <v>12</v>
      </c>
      <c r="M31" s="1120">
        <f t="shared" si="2"/>
        <v>48000</v>
      </c>
      <c r="N31" s="1119">
        <v>2</v>
      </c>
      <c r="O31" s="1119">
        <v>6</v>
      </c>
      <c r="P31" s="1120">
        <f t="shared" si="3"/>
        <v>24000</v>
      </c>
      <c r="Q31" s="886"/>
      <c r="R31" s="886"/>
      <c r="S31" s="886"/>
    </row>
    <row r="32" spans="1:19" x14ac:dyDescent="0.2">
      <c r="A32" s="1152" t="s">
        <v>3091</v>
      </c>
      <c r="B32" s="415" t="s">
        <v>3092</v>
      </c>
      <c r="C32" s="1158" t="s">
        <v>398</v>
      </c>
      <c r="D32" s="1159" t="s">
        <v>3144</v>
      </c>
      <c r="E32" s="1120">
        <v>5000</v>
      </c>
      <c r="F32" s="1160" t="s">
        <v>3145</v>
      </c>
      <c r="G32" s="416" t="str">
        <f t="shared" si="0"/>
        <v xml:space="preserve">  </v>
      </c>
      <c r="H32" s="1159" t="s">
        <v>3131</v>
      </c>
      <c r="I32" s="415"/>
      <c r="J32" s="415"/>
      <c r="K32" s="948">
        <f t="shared" si="1"/>
        <v>5</v>
      </c>
      <c r="L32" s="1119">
        <v>12</v>
      </c>
      <c r="M32" s="1120">
        <f t="shared" si="2"/>
        <v>60000</v>
      </c>
      <c r="N32" s="1119">
        <v>2</v>
      </c>
      <c r="O32" s="1119">
        <v>6</v>
      </c>
      <c r="P32" s="1120">
        <f t="shared" si="3"/>
        <v>30000</v>
      </c>
      <c r="Q32" s="886"/>
      <c r="R32" s="886"/>
      <c r="S32" s="886"/>
    </row>
    <row r="33" spans="1:19" x14ac:dyDescent="0.2">
      <c r="A33" s="1152" t="s">
        <v>3091</v>
      </c>
      <c r="B33" s="415" t="s">
        <v>3092</v>
      </c>
      <c r="C33" s="1158" t="s">
        <v>398</v>
      </c>
      <c r="D33" s="1159" t="s">
        <v>3146</v>
      </c>
      <c r="E33" s="1120">
        <v>4833.33</v>
      </c>
      <c r="F33" s="1160" t="s">
        <v>3147</v>
      </c>
      <c r="G33" s="416" t="str">
        <f t="shared" si="0"/>
        <v xml:space="preserve">  </v>
      </c>
      <c r="H33" s="1159" t="s">
        <v>3099</v>
      </c>
      <c r="I33" s="415"/>
      <c r="J33" s="415"/>
      <c r="K33" s="948">
        <f t="shared" si="1"/>
        <v>5</v>
      </c>
      <c r="L33" s="1119">
        <v>12</v>
      </c>
      <c r="M33" s="1120">
        <f t="shared" si="2"/>
        <v>57999.96</v>
      </c>
      <c r="N33" s="1119">
        <v>2</v>
      </c>
      <c r="O33" s="1119">
        <v>6</v>
      </c>
      <c r="P33" s="1120">
        <f t="shared" si="3"/>
        <v>28999.98</v>
      </c>
      <c r="Q33" s="886"/>
      <c r="R33" s="886"/>
      <c r="S33" s="886"/>
    </row>
    <row r="34" spans="1:19" ht="36" x14ac:dyDescent="0.2">
      <c r="A34" s="1152" t="s">
        <v>3091</v>
      </c>
      <c r="B34" s="415" t="s">
        <v>3092</v>
      </c>
      <c r="C34" s="1158" t="s">
        <v>398</v>
      </c>
      <c r="D34" s="1159" t="s">
        <v>3100</v>
      </c>
      <c r="E34" s="1120">
        <v>1500</v>
      </c>
      <c r="F34" s="1160" t="s">
        <v>3148</v>
      </c>
      <c r="G34" s="416" t="str">
        <f t="shared" si="0"/>
        <v xml:space="preserve">  </v>
      </c>
      <c r="H34" s="1159" t="s">
        <v>3149</v>
      </c>
      <c r="I34" s="415"/>
      <c r="J34" s="415"/>
      <c r="K34" s="948">
        <f t="shared" si="1"/>
        <v>5</v>
      </c>
      <c r="L34" s="1119">
        <v>12</v>
      </c>
      <c r="M34" s="1120">
        <f t="shared" si="2"/>
        <v>18000</v>
      </c>
      <c r="N34" s="1119">
        <v>2</v>
      </c>
      <c r="O34" s="1119">
        <v>6</v>
      </c>
      <c r="P34" s="1120">
        <f t="shared" si="3"/>
        <v>9000</v>
      </c>
      <c r="Q34" s="886"/>
      <c r="R34" s="886"/>
      <c r="S34" s="886"/>
    </row>
    <row r="35" spans="1:19" ht="24" x14ac:dyDescent="0.2">
      <c r="A35" s="1152" t="s">
        <v>3091</v>
      </c>
      <c r="B35" s="415" t="s">
        <v>3092</v>
      </c>
      <c r="C35" s="1158" t="s">
        <v>398</v>
      </c>
      <c r="D35" s="1159" t="s">
        <v>3150</v>
      </c>
      <c r="E35" s="1120">
        <v>3000</v>
      </c>
      <c r="F35" s="1160" t="s">
        <v>3151</v>
      </c>
      <c r="G35" s="416" t="str">
        <f t="shared" si="0"/>
        <v xml:space="preserve">  </v>
      </c>
      <c r="H35" s="1159" t="s">
        <v>3152</v>
      </c>
      <c r="I35" s="415"/>
      <c r="J35" s="415"/>
      <c r="K35" s="948">
        <f t="shared" si="1"/>
        <v>5</v>
      </c>
      <c r="L35" s="1119">
        <v>12</v>
      </c>
      <c r="M35" s="1120">
        <f t="shared" si="2"/>
        <v>36000</v>
      </c>
      <c r="N35" s="1119">
        <v>2</v>
      </c>
      <c r="O35" s="1119">
        <v>6</v>
      </c>
      <c r="P35" s="1120">
        <f t="shared" si="3"/>
        <v>18000</v>
      </c>
      <c r="Q35" s="886"/>
      <c r="R35" s="886"/>
      <c r="S35" s="886"/>
    </row>
    <row r="36" spans="1:19" x14ac:dyDescent="0.2">
      <c r="A36" s="1152" t="s">
        <v>3091</v>
      </c>
      <c r="B36" s="415" t="s">
        <v>3092</v>
      </c>
      <c r="C36" s="1158" t="s">
        <v>398</v>
      </c>
      <c r="D36" s="1159" t="s">
        <v>3153</v>
      </c>
      <c r="E36" s="1120">
        <v>4500</v>
      </c>
      <c r="F36" s="1160" t="s">
        <v>3154</v>
      </c>
      <c r="G36" s="416" t="str">
        <f t="shared" si="0"/>
        <v xml:space="preserve">  </v>
      </c>
      <c r="H36" s="1159" t="s">
        <v>3099</v>
      </c>
      <c r="I36" s="415"/>
      <c r="J36" s="415"/>
      <c r="K36" s="948">
        <f t="shared" si="1"/>
        <v>5</v>
      </c>
      <c r="L36" s="1119">
        <v>12</v>
      </c>
      <c r="M36" s="1120">
        <f t="shared" si="2"/>
        <v>54000</v>
      </c>
      <c r="N36" s="1119">
        <v>2</v>
      </c>
      <c r="O36" s="1119">
        <v>6</v>
      </c>
      <c r="P36" s="1120">
        <f t="shared" si="3"/>
        <v>27000</v>
      </c>
      <c r="Q36" s="886"/>
      <c r="R36" s="886"/>
      <c r="S36" s="886"/>
    </row>
    <row r="37" spans="1:19" x14ac:dyDescent="0.2">
      <c r="A37" s="1152" t="s">
        <v>3091</v>
      </c>
      <c r="B37" s="415" t="s">
        <v>3092</v>
      </c>
      <c r="C37" s="1158" t="s">
        <v>398</v>
      </c>
      <c r="D37" s="1159" t="s">
        <v>3100</v>
      </c>
      <c r="E37" s="1120">
        <v>1200</v>
      </c>
      <c r="F37" s="1160" t="s">
        <v>3155</v>
      </c>
      <c r="G37" s="416" t="str">
        <f t="shared" si="0"/>
        <v xml:space="preserve">  </v>
      </c>
      <c r="H37" s="1159" t="s">
        <v>2729</v>
      </c>
      <c r="I37" s="415"/>
      <c r="J37" s="415"/>
      <c r="K37" s="948">
        <f t="shared" si="1"/>
        <v>5</v>
      </c>
      <c r="L37" s="1119">
        <v>12</v>
      </c>
      <c r="M37" s="1120">
        <f t="shared" si="2"/>
        <v>14400</v>
      </c>
      <c r="N37" s="1119">
        <v>2</v>
      </c>
      <c r="O37" s="1119">
        <v>6</v>
      </c>
      <c r="P37" s="1120">
        <f t="shared" si="3"/>
        <v>7200</v>
      </c>
      <c r="Q37" s="886"/>
      <c r="R37" s="886"/>
      <c r="S37" s="886"/>
    </row>
    <row r="38" spans="1:19" ht="24" x14ac:dyDescent="0.2">
      <c r="A38" s="1152" t="s">
        <v>3091</v>
      </c>
      <c r="B38" s="415" t="s">
        <v>3092</v>
      </c>
      <c r="C38" s="1158" t="s">
        <v>398</v>
      </c>
      <c r="D38" s="1159" t="s">
        <v>3100</v>
      </c>
      <c r="E38" s="1120">
        <v>1200</v>
      </c>
      <c r="F38" s="1160" t="s">
        <v>3156</v>
      </c>
      <c r="G38" s="416" t="str">
        <f t="shared" si="0"/>
        <v xml:space="preserve">  </v>
      </c>
      <c r="H38" s="1159" t="s">
        <v>3157</v>
      </c>
      <c r="I38" s="415"/>
      <c r="J38" s="415"/>
      <c r="K38" s="948">
        <f t="shared" si="1"/>
        <v>5</v>
      </c>
      <c r="L38" s="1119">
        <v>12</v>
      </c>
      <c r="M38" s="1120">
        <f t="shared" si="2"/>
        <v>14400</v>
      </c>
      <c r="N38" s="1119">
        <v>2</v>
      </c>
      <c r="O38" s="1119">
        <v>6</v>
      </c>
      <c r="P38" s="1120">
        <f t="shared" si="3"/>
        <v>7200</v>
      </c>
      <c r="Q38" s="886"/>
      <c r="R38" s="886"/>
      <c r="S38" s="886"/>
    </row>
    <row r="39" spans="1:19" x14ac:dyDescent="0.2">
      <c r="A39" s="1152" t="s">
        <v>3091</v>
      </c>
      <c r="B39" s="415" t="s">
        <v>3092</v>
      </c>
      <c r="C39" s="1158" t="s">
        <v>398</v>
      </c>
      <c r="D39" s="1159" t="s">
        <v>3158</v>
      </c>
      <c r="E39" s="1120">
        <v>2500</v>
      </c>
      <c r="F39" s="1160" t="s">
        <v>3159</v>
      </c>
      <c r="G39" s="416" t="str">
        <f t="shared" si="0"/>
        <v xml:space="preserve">  </v>
      </c>
      <c r="H39" s="1159"/>
      <c r="I39" s="415"/>
      <c r="J39" s="415"/>
      <c r="K39" s="948">
        <f t="shared" si="1"/>
        <v>5</v>
      </c>
      <c r="L39" s="1119">
        <v>12</v>
      </c>
      <c r="M39" s="1120">
        <f t="shared" si="2"/>
        <v>30000</v>
      </c>
      <c r="N39" s="1119">
        <v>2</v>
      </c>
      <c r="O39" s="1119">
        <v>6</v>
      </c>
      <c r="P39" s="1120">
        <f t="shared" si="3"/>
        <v>15000</v>
      </c>
      <c r="Q39" s="886"/>
      <c r="R39" s="886"/>
      <c r="S39" s="886"/>
    </row>
    <row r="40" spans="1:19" x14ac:dyDescent="0.2">
      <c r="A40" s="1152" t="s">
        <v>3091</v>
      </c>
      <c r="B40" s="415" t="s">
        <v>3092</v>
      </c>
      <c r="C40" s="1158" t="s">
        <v>398</v>
      </c>
      <c r="D40" s="1159" t="s">
        <v>3160</v>
      </c>
      <c r="E40" s="1120">
        <v>3000</v>
      </c>
      <c r="F40" s="1160" t="s">
        <v>3161</v>
      </c>
      <c r="G40" s="416" t="str">
        <f t="shared" si="0"/>
        <v xml:space="preserve">  </v>
      </c>
      <c r="H40" s="1159" t="s">
        <v>3099</v>
      </c>
      <c r="I40" s="415"/>
      <c r="J40" s="415"/>
      <c r="K40" s="948">
        <f t="shared" si="1"/>
        <v>5</v>
      </c>
      <c r="L40" s="1119">
        <v>12</v>
      </c>
      <c r="M40" s="1120">
        <f t="shared" si="2"/>
        <v>36000</v>
      </c>
      <c r="N40" s="1119">
        <v>2</v>
      </c>
      <c r="O40" s="1119">
        <v>6</v>
      </c>
      <c r="P40" s="1120">
        <f t="shared" si="3"/>
        <v>18000</v>
      </c>
      <c r="Q40" s="886"/>
      <c r="R40" s="886"/>
      <c r="S40" s="886"/>
    </row>
    <row r="41" spans="1:19" ht="24" x14ac:dyDescent="0.2">
      <c r="A41" s="1152" t="s">
        <v>3091</v>
      </c>
      <c r="B41" s="415" t="s">
        <v>3092</v>
      </c>
      <c r="C41" s="1158" t="s">
        <v>398</v>
      </c>
      <c r="D41" s="1159" t="s">
        <v>3162</v>
      </c>
      <c r="E41" s="1120">
        <v>2500</v>
      </c>
      <c r="F41" s="1160" t="s">
        <v>3163</v>
      </c>
      <c r="G41" s="416" t="str">
        <f t="shared" si="0"/>
        <v xml:space="preserve">  </v>
      </c>
      <c r="H41" s="1159"/>
      <c r="I41" s="415"/>
      <c r="J41" s="415"/>
      <c r="K41" s="948">
        <f t="shared" si="1"/>
        <v>5</v>
      </c>
      <c r="L41" s="1119">
        <v>12</v>
      </c>
      <c r="M41" s="1120">
        <f t="shared" si="2"/>
        <v>30000</v>
      </c>
      <c r="N41" s="1119">
        <v>2</v>
      </c>
      <c r="O41" s="1119">
        <v>6</v>
      </c>
      <c r="P41" s="1120">
        <f t="shared" si="3"/>
        <v>15000</v>
      </c>
      <c r="Q41" s="886"/>
      <c r="R41" s="886"/>
      <c r="S41" s="886"/>
    </row>
    <row r="42" spans="1:19" x14ac:dyDescent="0.2">
      <c r="A42" s="1152" t="s">
        <v>3091</v>
      </c>
      <c r="B42" s="415" t="s">
        <v>3092</v>
      </c>
      <c r="C42" s="1158" t="s">
        <v>398</v>
      </c>
      <c r="D42" s="1159" t="s">
        <v>3164</v>
      </c>
      <c r="E42" s="1120">
        <v>3000</v>
      </c>
      <c r="F42" s="1160" t="s">
        <v>3165</v>
      </c>
      <c r="G42" s="416" t="str">
        <f t="shared" si="0"/>
        <v xml:space="preserve">  </v>
      </c>
      <c r="H42" s="1159"/>
      <c r="I42" s="415"/>
      <c r="J42" s="415"/>
      <c r="K42" s="948">
        <f t="shared" si="1"/>
        <v>5</v>
      </c>
      <c r="L42" s="1119">
        <v>12</v>
      </c>
      <c r="M42" s="1120">
        <f t="shared" si="2"/>
        <v>36000</v>
      </c>
      <c r="N42" s="1119">
        <v>2</v>
      </c>
      <c r="O42" s="1119">
        <v>6</v>
      </c>
      <c r="P42" s="1120">
        <f t="shared" si="3"/>
        <v>18000</v>
      </c>
      <c r="Q42" s="886"/>
      <c r="R42" s="886"/>
      <c r="S42" s="886"/>
    </row>
    <row r="43" spans="1:19" ht="24" x14ac:dyDescent="0.2">
      <c r="A43" s="1152" t="s">
        <v>3091</v>
      </c>
      <c r="B43" s="415" t="s">
        <v>3092</v>
      </c>
      <c r="C43" s="1158" t="s">
        <v>398</v>
      </c>
      <c r="D43" s="1159" t="s">
        <v>3166</v>
      </c>
      <c r="E43" s="1120">
        <v>2700</v>
      </c>
      <c r="F43" s="1160" t="s">
        <v>3167</v>
      </c>
      <c r="G43" s="416" t="str">
        <f t="shared" si="0"/>
        <v xml:space="preserve">  </v>
      </c>
      <c r="H43" s="1159" t="s">
        <v>3168</v>
      </c>
      <c r="I43" s="415"/>
      <c r="J43" s="415"/>
      <c r="K43" s="948">
        <f t="shared" si="1"/>
        <v>5</v>
      </c>
      <c r="L43" s="1119">
        <v>12</v>
      </c>
      <c r="M43" s="1120">
        <f t="shared" si="2"/>
        <v>32400</v>
      </c>
      <c r="N43" s="1119">
        <v>2</v>
      </c>
      <c r="O43" s="1119">
        <v>6</v>
      </c>
      <c r="P43" s="1120">
        <f t="shared" si="3"/>
        <v>16200</v>
      </c>
      <c r="Q43" s="886"/>
      <c r="R43" s="886"/>
      <c r="S43" s="886"/>
    </row>
    <row r="44" spans="1:19" ht="24" x14ac:dyDescent="0.2">
      <c r="A44" s="1152" t="s">
        <v>3091</v>
      </c>
      <c r="B44" s="415" t="s">
        <v>3092</v>
      </c>
      <c r="C44" s="1158" t="s">
        <v>398</v>
      </c>
      <c r="D44" s="1159" t="s">
        <v>3169</v>
      </c>
      <c r="E44" s="1120">
        <v>3500</v>
      </c>
      <c r="F44" s="1160" t="s">
        <v>3170</v>
      </c>
      <c r="G44" s="416" t="str">
        <f t="shared" si="0"/>
        <v xml:space="preserve">  </v>
      </c>
      <c r="H44" s="1159" t="s">
        <v>3171</v>
      </c>
      <c r="I44" s="415"/>
      <c r="J44" s="415"/>
      <c r="K44" s="948">
        <f t="shared" si="1"/>
        <v>5</v>
      </c>
      <c r="L44" s="1119">
        <v>12</v>
      </c>
      <c r="M44" s="1120">
        <f t="shared" si="2"/>
        <v>42000</v>
      </c>
      <c r="N44" s="1119">
        <v>2</v>
      </c>
      <c r="O44" s="1119">
        <v>6</v>
      </c>
      <c r="P44" s="1120">
        <f t="shared" si="3"/>
        <v>21000</v>
      </c>
      <c r="Q44" s="886"/>
      <c r="R44" s="886"/>
      <c r="S44" s="886"/>
    </row>
    <row r="45" spans="1:19" ht="24" x14ac:dyDescent="0.2">
      <c r="A45" s="1152" t="s">
        <v>3091</v>
      </c>
      <c r="B45" s="415" t="s">
        <v>3092</v>
      </c>
      <c r="C45" s="1158" t="s">
        <v>398</v>
      </c>
      <c r="D45" s="1159" t="s">
        <v>3172</v>
      </c>
      <c r="E45" s="1120">
        <v>2500</v>
      </c>
      <c r="F45" s="1160" t="s">
        <v>3173</v>
      </c>
      <c r="G45" s="416" t="str">
        <f t="shared" si="0"/>
        <v xml:space="preserve">  </v>
      </c>
      <c r="H45" s="1159"/>
      <c r="I45" s="415"/>
      <c r="J45" s="415"/>
      <c r="K45" s="948">
        <f t="shared" si="1"/>
        <v>5</v>
      </c>
      <c r="L45" s="1119">
        <v>12</v>
      </c>
      <c r="M45" s="1120">
        <f t="shared" si="2"/>
        <v>30000</v>
      </c>
      <c r="N45" s="1119">
        <v>2</v>
      </c>
      <c r="O45" s="1119">
        <v>6</v>
      </c>
      <c r="P45" s="1120">
        <f t="shared" si="3"/>
        <v>15000</v>
      </c>
      <c r="Q45" s="886"/>
      <c r="R45" s="886"/>
      <c r="S45" s="886"/>
    </row>
    <row r="46" spans="1:19" x14ac:dyDescent="0.2">
      <c r="A46" s="1152" t="s">
        <v>3091</v>
      </c>
      <c r="B46" s="415" t="s">
        <v>3092</v>
      </c>
      <c r="C46" s="1158" t="s">
        <v>398</v>
      </c>
      <c r="D46" s="1159" t="s">
        <v>3093</v>
      </c>
      <c r="E46" s="1120">
        <v>930</v>
      </c>
      <c r="F46" s="1160" t="s">
        <v>3174</v>
      </c>
      <c r="G46" s="416" t="str">
        <f t="shared" si="0"/>
        <v xml:space="preserve">  </v>
      </c>
      <c r="H46" s="1159"/>
      <c r="I46" s="415"/>
      <c r="J46" s="415"/>
      <c r="K46" s="948">
        <f t="shared" si="1"/>
        <v>5</v>
      </c>
      <c r="L46" s="1119">
        <v>12</v>
      </c>
      <c r="M46" s="1120">
        <f t="shared" si="2"/>
        <v>11160</v>
      </c>
      <c r="N46" s="1119">
        <v>2</v>
      </c>
      <c r="O46" s="1119">
        <v>6</v>
      </c>
      <c r="P46" s="1120">
        <f t="shared" si="3"/>
        <v>5580</v>
      </c>
      <c r="Q46" s="886"/>
      <c r="R46" s="886"/>
      <c r="S46" s="886"/>
    </row>
    <row r="47" spans="1:19" ht="24" x14ac:dyDescent="0.2">
      <c r="A47" s="1152" t="s">
        <v>3091</v>
      </c>
      <c r="B47" s="415" t="s">
        <v>3092</v>
      </c>
      <c r="C47" s="1158" t="s">
        <v>398</v>
      </c>
      <c r="D47" s="1159" t="s">
        <v>3175</v>
      </c>
      <c r="E47" s="1120">
        <v>2000</v>
      </c>
      <c r="F47" s="1160" t="s">
        <v>3176</v>
      </c>
      <c r="G47" s="416" t="str">
        <f t="shared" si="0"/>
        <v xml:space="preserve">  </v>
      </c>
      <c r="H47" s="1159"/>
      <c r="I47" s="415"/>
      <c r="J47" s="415"/>
      <c r="K47" s="948">
        <f t="shared" si="1"/>
        <v>5</v>
      </c>
      <c r="L47" s="1119">
        <v>12</v>
      </c>
      <c r="M47" s="1120">
        <f t="shared" si="2"/>
        <v>24000</v>
      </c>
      <c r="N47" s="1119">
        <v>2</v>
      </c>
      <c r="O47" s="1119">
        <v>6</v>
      </c>
      <c r="P47" s="1120">
        <f t="shared" si="3"/>
        <v>12000</v>
      </c>
      <c r="Q47" s="886"/>
      <c r="R47" s="886"/>
      <c r="S47" s="886"/>
    </row>
    <row r="48" spans="1:19" x14ac:dyDescent="0.2">
      <c r="A48" s="1152" t="s">
        <v>3091</v>
      </c>
      <c r="B48" s="415" t="s">
        <v>3092</v>
      </c>
      <c r="C48" s="1158" t="s">
        <v>398</v>
      </c>
      <c r="D48" s="1159"/>
      <c r="E48" s="1120">
        <v>1500</v>
      </c>
      <c r="F48" s="1160" t="s">
        <v>3177</v>
      </c>
      <c r="G48" s="416" t="str">
        <f t="shared" si="0"/>
        <v xml:space="preserve">  </v>
      </c>
      <c r="H48" s="1159" t="s">
        <v>2729</v>
      </c>
      <c r="I48" s="415"/>
      <c r="J48" s="415"/>
      <c r="K48" s="948">
        <f t="shared" si="1"/>
        <v>5</v>
      </c>
      <c r="L48" s="1119">
        <v>12</v>
      </c>
      <c r="M48" s="1120">
        <f t="shared" si="2"/>
        <v>18000</v>
      </c>
      <c r="N48" s="1119">
        <v>2</v>
      </c>
      <c r="O48" s="1119">
        <v>6</v>
      </c>
      <c r="P48" s="1120">
        <f t="shared" si="3"/>
        <v>9000</v>
      </c>
      <c r="Q48" s="886"/>
      <c r="R48" s="886"/>
      <c r="S48" s="886"/>
    </row>
    <row r="49" spans="1:19" ht="36" x14ac:dyDescent="0.2">
      <c r="A49" s="1152" t="s">
        <v>3091</v>
      </c>
      <c r="B49" s="415" t="s">
        <v>3092</v>
      </c>
      <c r="C49" s="1158" t="s">
        <v>398</v>
      </c>
      <c r="D49" s="1159" t="s">
        <v>3178</v>
      </c>
      <c r="E49" s="1120">
        <v>3000</v>
      </c>
      <c r="F49" s="1160" t="s">
        <v>3179</v>
      </c>
      <c r="G49" s="416" t="str">
        <f t="shared" si="0"/>
        <v xml:space="preserve">  </v>
      </c>
      <c r="H49" s="1159" t="s">
        <v>3099</v>
      </c>
      <c r="I49" s="415"/>
      <c r="J49" s="415"/>
      <c r="K49" s="948">
        <f t="shared" si="1"/>
        <v>5</v>
      </c>
      <c r="L49" s="1119">
        <v>12</v>
      </c>
      <c r="M49" s="1120">
        <f t="shared" si="2"/>
        <v>36000</v>
      </c>
      <c r="N49" s="1119">
        <v>2</v>
      </c>
      <c r="O49" s="1119">
        <v>6</v>
      </c>
      <c r="P49" s="1120">
        <f t="shared" si="3"/>
        <v>18000</v>
      </c>
      <c r="Q49" s="886"/>
      <c r="R49" s="886"/>
      <c r="S49" s="886"/>
    </row>
    <row r="50" spans="1:19" ht="24" x14ac:dyDescent="0.2">
      <c r="A50" s="1152" t="s">
        <v>3091</v>
      </c>
      <c r="B50" s="415" t="s">
        <v>3092</v>
      </c>
      <c r="C50" s="1158" t="s">
        <v>398</v>
      </c>
      <c r="D50" s="1159" t="s">
        <v>3137</v>
      </c>
      <c r="E50" s="1120">
        <v>1400</v>
      </c>
      <c r="F50" s="1160" t="s">
        <v>3180</v>
      </c>
      <c r="G50" s="416" t="str">
        <f t="shared" si="0"/>
        <v xml:space="preserve">  </v>
      </c>
      <c r="H50" s="1159"/>
      <c r="I50" s="415"/>
      <c r="J50" s="415"/>
      <c r="K50" s="948">
        <f t="shared" si="1"/>
        <v>5</v>
      </c>
      <c r="L50" s="1119">
        <v>12</v>
      </c>
      <c r="M50" s="1120">
        <f t="shared" si="2"/>
        <v>16800</v>
      </c>
      <c r="N50" s="1119">
        <v>2</v>
      </c>
      <c r="O50" s="1119">
        <v>6</v>
      </c>
      <c r="P50" s="1120">
        <f t="shared" si="3"/>
        <v>8400</v>
      </c>
      <c r="Q50" s="886"/>
      <c r="R50" s="886"/>
      <c r="S50" s="886"/>
    </row>
    <row r="51" spans="1:19" ht="24" x14ac:dyDescent="0.2">
      <c r="A51" s="1152" t="s">
        <v>3091</v>
      </c>
      <c r="B51" s="415" t="s">
        <v>3092</v>
      </c>
      <c r="C51" s="1158" t="s">
        <v>398</v>
      </c>
      <c r="D51" s="1159" t="s">
        <v>3100</v>
      </c>
      <c r="E51" s="1120">
        <v>1400</v>
      </c>
      <c r="F51" s="1160" t="s">
        <v>3181</v>
      </c>
      <c r="G51" s="416" t="str">
        <f t="shared" si="0"/>
        <v xml:space="preserve">  </v>
      </c>
      <c r="H51" s="1159" t="s">
        <v>3124</v>
      </c>
      <c r="I51" s="415"/>
      <c r="J51" s="415"/>
      <c r="K51" s="948">
        <f t="shared" si="1"/>
        <v>5</v>
      </c>
      <c r="L51" s="1119">
        <v>12</v>
      </c>
      <c r="M51" s="1120">
        <f t="shared" si="2"/>
        <v>16800</v>
      </c>
      <c r="N51" s="1119">
        <v>2</v>
      </c>
      <c r="O51" s="1119">
        <v>6</v>
      </c>
      <c r="P51" s="1120">
        <f t="shared" si="3"/>
        <v>8400</v>
      </c>
      <c r="Q51" s="886"/>
      <c r="R51" s="886"/>
      <c r="S51" s="886"/>
    </row>
    <row r="52" spans="1:19" ht="48" x14ac:dyDescent="0.2">
      <c r="A52" s="1152" t="s">
        <v>3091</v>
      </c>
      <c r="B52" s="415" t="s">
        <v>3092</v>
      </c>
      <c r="C52" s="1158" t="s">
        <v>398</v>
      </c>
      <c r="D52" s="1159" t="s">
        <v>3182</v>
      </c>
      <c r="E52" s="1120">
        <v>1800</v>
      </c>
      <c r="F52" s="1160" t="s">
        <v>3183</v>
      </c>
      <c r="G52" s="416" t="str">
        <f t="shared" si="0"/>
        <v xml:space="preserve">  </v>
      </c>
      <c r="H52" s="1159" t="s">
        <v>3114</v>
      </c>
      <c r="I52" s="415"/>
      <c r="J52" s="415"/>
      <c r="K52" s="948">
        <f t="shared" si="1"/>
        <v>5</v>
      </c>
      <c r="L52" s="1119">
        <v>12</v>
      </c>
      <c r="M52" s="1120">
        <f t="shared" si="2"/>
        <v>21600</v>
      </c>
      <c r="N52" s="1119">
        <v>2</v>
      </c>
      <c r="O52" s="1119">
        <v>6</v>
      </c>
      <c r="P52" s="1120">
        <f t="shared" si="3"/>
        <v>10800</v>
      </c>
      <c r="Q52" s="886"/>
      <c r="R52" s="886"/>
      <c r="S52" s="886"/>
    </row>
    <row r="53" spans="1:19" ht="24" x14ac:dyDescent="0.2">
      <c r="A53" s="1152" t="s">
        <v>3091</v>
      </c>
      <c r="B53" s="415" t="s">
        <v>3092</v>
      </c>
      <c r="C53" s="1158" t="s">
        <v>398</v>
      </c>
      <c r="D53" s="1159" t="s">
        <v>3184</v>
      </c>
      <c r="E53" s="1120">
        <v>2000</v>
      </c>
      <c r="F53" s="1160" t="s">
        <v>3185</v>
      </c>
      <c r="G53" s="416" t="str">
        <f t="shared" si="0"/>
        <v xml:space="preserve">  </v>
      </c>
      <c r="H53" s="1159" t="s">
        <v>3186</v>
      </c>
      <c r="I53" s="415"/>
      <c r="J53" s="415"/>
      <c r="K53" s="948">
        <f t="shared" si="1"/>
        <v>5</v>
      </c>
      <c r="L53" s="1119">
        <v>12</v>
      </c>
      <c r="M53" s="1120">
        <f t="shared" si="2"/>
        <v>24000</v>
      </c>
      <c r="N53" s="1119">
        <v>2</v>
      </c>
      <c r="O53" s="1119">
        <v>6</v>
      </c>
      <c r="P53" s="1120">
        <f t="shared" si="3"/>
        <v>12000</v>
      </c>
      <c r="Q53" s="886"/>
      <c r="R53" s="886"/>
      <c r="S53" s="886"/>
    </row>
    <row r="54" spans="1:19" x14ac:dyDescent="0.2">
      <c r="A54" s="1152" t="s">
        <v>3091</v>
      </c>
      <c r="B54" s="415" t="s">
        <v>3092</v>
      </c>
      <c r="C54" s="1158" t="s">
        <v>398</v>
      </c>
      <c r="D54" s="1159" t="s">
        <v>3187</v>
      </c>
      <c r="E54" s="1120">
        <v>930</v>
      </c>
      <c r="F54" s="1160" t="s">
        <v>3188</v>
      </c>
      <c r="G54" s="416" t="str">
        <f t="shared" si="0"/>
        <v xml:space="preserve">  </v>
      </c>
      <c r="H54" s="1159"/>
      <c r="I54" s="415"/>
      <c r="J54" s="415"/>
      <c r="K54" s="948">
        <f t="shared" si="1"/>
        <v>5</v>
      </c>
      <c r="L54" s="1119">
        <v>12</v>
      </c>
      <c r="M54" s="1120">
        <f t="shared" si="2"/>
        <v>11160</v>
      </c>
      <c r="N54" s="1119">
        <v>2</v>
      </c>
      <c r="O54" s="1119">
        <v>6</v>
      </c>
      <c r="P54" s="1120">
        <f t="shared" si="3"/>
        <v>5580</v>
      </c>
      <c r="Q54" s="886"/>
      <c r="R54" s="886"/>
      <c r="S54" s="886"/>
    </row>
    <row r="55" spans="1:19" ht="24" x14ac:dyDescent="0.2">
      <c r="A55" s="1152" t="s">
        <v>3091</v>
      </c>
      <c r="B55" s="415" t="s">
        <v>3092</v>
      </c>
      <c r="C55" s="1158" t="s">
        <v>398</v>
      </c>
      <c r="D55" s="1159" t="s">
        <v>3189</v>
      </c>
      <c r="E55" s="1120">
        <v>5950</v>
      </c>
      <c r="F55" s="1160" t="s">
        <v>3190</v>
      </c>
      <c r="G55" s="416" t="str">
        <f t="shared" si="0"/>
        <v xml:space="preserve">  </v>
      </c>
      <c r="H55" s="1159" t="s">
        <v>3191</v>
      </c>
      <c r="I55" s="415"/>
      <c r="J55" s="415"/>
      <c r="K55" s="948">
        <f t="shared" si="1"/>
        <v>5</v>
      </c>
      <c r="L55" s="1119">
        <v>12</v>
      </c>
      <c r="M55" s="1120">
        <f t="shared" si="2"/>
        <v>71400</v>
      </c>
      <c r="N55" s="1119">
        <v>2</v>
      </c>
      <c r="O55" s="1119">
        <v>6</v>
      </c>
      <c r="P55" s="1120">
        <f t="shared" si="3"/>
        <v>35700</v>
      </c>
      <c r="Q55" s="886"/>
      <c r="R55" s="886"/>
      <c r="S55" s="886"/>
    </row>
    <row r="56" spans="1:19" ht="48" x14ac:dyDescent="0.2">
      <c r="A56" s="1152" t="s">
        <v>3091</v>
      </c>
      <c r="B56" s="415" t="s">
        <v>3092</v>
      </c>
      <c r="C56" s="1158" t="s">
        <v>398</v>
      </c>
      <c r="D56" s="1159" t="s">
        <v>3192</v>
      </c>
      <c r="E56" s="1120">
        <v>3500</v>
      </c>
      <c r="F56" s="1160" t="s">
        <v>3193</v>
      </c>
      <c r="G56" s="416" t="str">
        <f t="shared" si="0"/>
        <v xml:space="preserve">  </v>
      </c>
      <c r="H56" s="1159" t="s">
        <v>3114</v>
      </c>
      <c r="I56" s="415"/>
      <c r="J56" s="415"/>
      <c r="K56" s="948">
        <f t="shared" si="1"/>
        <v>5</v>
      </c>
      <c r="L56" s="1119">
        <v>12</v>
      </c>
      <c r="M56" s="1120">
        <f t="shared" si="2"/>
        <v>42000</v>
      </c>
      <c r="N56" s="1119">
        <v>2</v>
      </c>
      <c r="O56" s="1119">
        <v>6</v>
      </c>
      <c r="P56" s="1120">
        <f t="shared" si="3"/>
        <v>21000</v>
      </c>
      <c r="Q56" s="886"/>
      <c r="R56" s="886"/>
      <c r="S56" s="886"/>
    </row>
    <row r="57" spans="1:19" x14ac:dyDescent="0.2">
      <c r="A57" s="1152" t="s">
        <v>3091</v>
      </c>
      <c r="B57" s="415" t="s">
        <v>3092</v>
      </c>
      <c r="C57" s="1158" t="s">
        <v>398</v>
      </c>
      <c r="D57" s="1159" t="s">
        <v>3115</v>
      </c>
      <c r="E57" s="1120">
        <v>1500</v>
      </c>
      <c r="F57" s="1160" t="s">
        <v>3194</v>
      </c>
      <c r="G57" s="416" t="str">
        <f t="shared" si="0"/>
        <v xml:space="preserve">  </v>
      </c>
      <c r="H57" s="1159"/>
      <c r="I57" s="415"/>
      <c r="J57" s="415"/>
      <c r="K57" s="948">
        <f t="shared" si="1"/>
        <v>5</v>
      </c>
      <c r="L57" s="1119">
        <v>12</v>
      </c>
      <c r="M57" s="1120">
        <f t="shared" si="2"/>
        <v>18000</v>
      </c>
      <c r="N57" s="1119">
        <v>2</v>
      </c>
      <c r="O57" s="1119">
        <v>6</v>
      </c>
      <c r="P57" s="1120">
        <f t="shared" si="3"/>
        <v>9000</v>
      </c>
      <c r="Q57" s="886"/>
      <c r="R57" s="886"/>
      <c r="S57" s="886"/>
    </row>
    <row r="58" spans="1:19" ht="36" x14ac:dyDescent="0.2">
      <c r="A58" s="1152" t="s">
        <v>3091</v>
      </c>
      <c r="B58" s="415" t="s">
        <v>3092</v>
      </c>
      <c r="C58" s="1158" t="s">
        <v>398</v>
      </c>
      <c r="D58" s="1159" t="s">
        <v>3195</v>
      </c>
      <c r="E58" s="1120">
        <v>1300</v>
      </c>
      <c r="F58" s="1160" t="s">
        <v>3196</v>
      </c>
      <c r="G58" s="416" t="str">
        <f t="shared" si="0"/>
        <v xml:space="preserve">  </v>
      </c>
      <c r="H58" s="1159" t="s">
        <v>3197</v>
      </c>
      <c r="I58" s="415"/>
      <c r="J58" s="415"/>
      <c r="K58" s="948">
        <f t="shared" si="1"/>
        <v>5</v>
      </c>
      <c r="L58" s="1119">
        <v>12</v>
      </c>
      <c r="M58" s="1120">
        <f t="shared" si="2"/>
        <v>15600</v>
      </c>
      <c r="N58" s="1119">
        <v>2</v>
      </c>
      <c r="O58" s="1119">
        <v>6</v>
      </c>
      <c r="P58" s="1120">
        <f t="shared" si="3"/>
        <v>7800</v>
      </c>
      <c r="Q58" s="886"/>
      <c r="R58" s="886"/>
      <c r="S58" s="886"/>
    </row>
    <row r="59" spans="1:19" x14ac:dyDescent="0.2">
      <c r="A59" s="1152" t="s">
        <v>3091</v>
      </c>
      <c r="B59" s="415" t="s">
        <v>3092</v>
      </c>
      <c r="C59" s="1158" t="s">
        <v>398</v>
      </c>
      <c r="D59" s="1159" t="s">
        <v>3100</v>
      </c>
      <c r="E59" s="1120">
        <v>1200</v>
      </c>
      <c r="F59" s="1160" t="s">
        <v>3198</v>
      </c>
      <c r="G59" s="416" t="str">
        <f t="shared" si="0"/>
        <v xml:space="preserve">  </v>
      </c>
      <c r="H59" s="1159"/>
      <c r="I59" s="415"/>
      <c r="J59" s="415"/>
      <c r="K59" s="948">
        <f t="shared" si="1"/>
        <v>5</v>
      </c>
      <c r="L59" s="1119">
        <v>12</v>
      </c>
      <c r="M59" s="1120">
        <f t="shared" si="2"/>
        <v>14400</v>
      </c>
      <c r="N59" s="1119">
        <v>2</v>
      </c>
      <c r="O59" s="1119">
        <v>6</v>
      </c>
      <c r="P59" s="1120">
        <f t="shared" si="3"/>
        <v>7200</v>
      </c>
      <c r="Q59" s="886"/>
      <c r="R59" s="886"/>
      <c r="S59" s="886"/>
    </row>
    <row r="60" spans="1:19" ht="24" x14ac:dyDescent="0.2">
      <c r="A60" s="1152" t="s">
        <v>3091</v>
      </c>
      <c r="B60" s="415" t="s">
        <v>3092</v>
      </c>
      <c r="C60" s="1158" t="s">
        <v>398</v>
      </c>
      <c r="D60" s="1159" t="s">
        <v>3112</v>
      </c>
      <c r="E60" s="1120">
        <v>1300</v>
      </c>
      <c r="F60" s="1160" t="s">
        <v>3199</v>
      </c>
      <c r="G60" s="416" t="str">
        <f t="shared" si="0"/>
        <v xml:space="preserve">  </v>
      </c>
      <c r="H60" s="1159" t="s">
        <v>3171</v>
      </c>
      <c r="I60" s="415"/>
      <c r="J60" s="415"/>
      <c r="K60" s="948">
        <f t="shared" si="1"/>
        <v>5</v>
      </c>
      <c r="L60" s="1119">
        <v>12</v>
      </c>
      <c r="M60" s="1120">
        <f t="shared" si="2"/>
        <v>15600</v>
      </c>
      <c r="N60" s="1119">
        <v>2</v>
      </c>
      <c r="O60" s="1119">
        <v>6</v>
      </c>
      <c r="P60" s="1120">
        <f t="shared" si="3"/>
        <v>7800</v>
      </c>
      <c r="Q60" s="886"/>
      <c r="R60" s="886"/>
      <c r="S60" s="886"/>
    </row>
    <row r="61" spans="1:19" ht="36" x14ac:dyDescent="0.2">
      <c r="A61" s="1152" t="s">
        <v>3091</v>
      </c>
      <c r="B61" s="415" t="s">
        <v>3092</v>
      </c>
      <c r="C61" s="1158" t="s">
        <v>398</v>
      </c>
      <c r="D61" s="1159" t="s">
        <v>3100</v>
      </c>
      <c r="E61" s="1120">
        <v>2000</v>
      </c>
      <c r="F61" s="1160" t="s">
        <v>3200</v>
      </c>
      <c r="G61" s="416" t="str">
        <f t="shared" si="0"/>
        <v xml:space="preserve">  </v>
      </c>
      <c r="H61" s="1159" t="s">
        <v>3201</v>
      </c>
      <c r="I61" s="415"/>
      <c r="J61" s="415"/>
      <c r="K61" s="948">
        <f t="shared" si="1"/>
        <v>5</v>
      </c>
      <c r="L61" s="1119">
        <v>12</v>
      </c>
      <c r="M61" s="1120">
        <f t="shared" si="2"/>
        <v>24000</v>
      </c>
      <c r="N61" s="1119">
        <v>2</v>
      </c>
      <c r="O61" s="1119">
        <v>6</v>
      </c>
      <c r="P61" s="1120">
        <f t="shared" si="3"/>
        <v>12000</v>
      </c>
      <c r="Q61" s="886"/>
      <c r="R61" s="886"/>
      <c r="S61" s="886"/>
    </row>
    <row r="62" spans="1:19" x14ac:dyDescent="0.2">
      <c r="A62" s="1152" t="s">
        <v>3091</v>
      </c>
      <c r="B62" s="415" t="s">
        <v>3092</v>
      </c>
      <c r="C62" s="1158" t="s">
        <v>398</v>
      </c>
      <c r="D62" s="1159" t="s">
        <v>3100</v>
      </c>
      <c r="E62" s="1120">
        <v>930</v>
      </c>
      <c r="F62" s="1160" t="s">
        <v>3202</v>
      </c>
      <c r="G62" s="416" t="str">
        <f t="shared" si="0"/>
        <v xml:space="preserve">  </v>
      </c>
      <c r="H62" s="1159"/>
      <c r="I62" s="415"/>
      <c r="J62" s="415"/>
      <c r="K62" s="948">
        <f t="shared" si="1"/>
        <v>5</v>
      </c>
      <c r="L62" s="1119">
        <v>12</v>
      </c>
      <c r="M62" s="1120">
        <f t="shared" si="2"/>
        <v>11160</v>
      </c>
      <c r="N62" s="1119">
        <v>2</v>
      </c>
      <c r="O62" s="1119">
        <v>6</v>
      </c>
      <c r="P62" s="1120">
        <f t="shared" si="3"/>
        <v>5580</v>
      </c>
      <c r="Q62" s="886"/>
      <c r="R62" s="886"/>
      <c r="S62" s="886"/>
    </row>
    <row r="63" spans="1:19" ht="24" x14ac:dyDescent="0.2">
      <c r="A63" s="1152" t="s">
        <v>3091</v>
      </c>
      <c r="B63" s="415" t="s">
        <v>3092</v>
      </c>
      <c r="C63" s="1158" t="s">
        <v>398</v>
      </c>
      <c r="D63" s="1159" t="s">
        <v>3137</v>
      </c>
      <c r="E63" s="1120">
        <v>1400</v>
      </c>
      <c r="F63" s="1160" t="s">
        <v>3203</v>
      </c>
      <c r="G63" s="416" t="str">
        <f t="shared" si="0"/>
        <v xml:space="preserve">  </v>
      </c>
      <c r="H63" s="1159"/>
      <c r="I63" s="415"/>
      <c r="J63" s="415"/>
      <c r="K63" s="948">
        <f t="shared" si="1"/>
        <v>5</v>
      </c>
      <c r="L63" s="1119">
        <v>12</v>
      </c>
      <c r="M63" s="1120">
        <f t="shared" si="2"/>
        <v>16800</v>
      </c>
      <c r="N63" s="1119">
        <v>2</v>
      </c>
      <c r="O63" s="1119">
        <v>6</v>
      </c>
      <c r="P63" s="1120">
        <f t="shared" si="3"/>
        <v>8400</v>
      </c>
      <c r="Q63" s="886"/>
      <c r="R63" s="886"/>
      <c r="S63" s="886"/>
    </row>
    <row r="64" spans="1:19" x14ac:dyDescent="0.2">
      <c r="A64" s="1152" t="s">
        <v>3091</v>
      </c>
      <c r="B64" s="415" t="s">
        <v>3092</v>
      </c>
      <c r="C64" s="1158" t="s">
        <v>398</v>
      </c>
      <c r="D64" s="1159" t="s">
        <v>3100</v>
      </c>
      <c r="E64" s="1120">
        <v>2000</v>
      </c>
      <c r="F64" s="1160" t="s">
        <v>3204</v>
      </c>
      <c r="G64" s="416" t="str">
        <f t="shared" si="0"/>
        <v xml:space="preserve">  </v>
      </c>
      <c r="H64" s="1159"/>
      <c r="I64" s="415"/>
      <c r="J64" s="415"/>
      <c r="K64" s="948">
        <f t="shared" si="1"/>
        <v>5</v>
      </c>
      <c r="L64" s="1119">
        <v>12</v>
      </c>
      <c r="M64" s="1120">
        <f t="shared" si="2"/>
        <v>24000</v>
      </c>
      <c r="N64" s="1119">
        <v>2</v>
      </c>
      <c r="O64" s="1119">
        <v>6</v>
      </c>
      <c r="P64" s="1120">
        <f t="shared" si="3"/>
        <v>12000</v>
      </c>
      <c r="Q64" s="886"/>
      <c r="R64" s="886"/>
      <c r="S64" s="886"/>
    </row>
    <row r="65" spans="1:19" x14ac:dyDescent="0.2">
      <c r="A65" s="1152" t="s">
        <v>3091</v>
      </c>
      <c r="B65" s="415" t="s">
        <v>3092</v>
      </c>
      <c r="C65" s="1158" t="s">
        <v>398</v>
      </c>
      <c r="D65" s="1159" t="s">
        <v>3205</v>
      </c>
      <c r="E65" s="1120">
        <v>1000</v>
      </c>
      <c r="F65" s="1160" t="s">
        <v>3206</v>
      </c>
      <c r="G65" s="416" t="str">
        <f t="shared" si="0"/>
        <v xml:space="preserve">  </v>
      </c>
      <c r="H65" s="1159"/>
      <c r="I65" s="415"/>
      <c r="J65" s="415"/>
      <c r="K65" s="948">
        <f t="shared" si="1"/>
        <v>5</v>
      </c>
      <c r="L65" s="1119">
        <v>12</v>
      </c>
      <c r="M65" s="1120">
        <f t="shared" si="2"/>
        <v>12000</v>
      </c>
      <c r="N65" s="1119">
        <v>2</v>
      </c>
      <c r="O65" s="1119">
        <v>6</v>
      </c>
      <c r="P65" s="1120">
        <f t="shared" si="3"/>
        <v>6000</v>
      </c>
      <c r="Q65" s="886"/>
      <c r="R65" s="886"/>
      <c r="S65" s="886"/>
    </row>
    <row r="66" spans="1:19" ht="36" x14ac:dyDescent="0.2">
      <c r="A66" s="1152" t="s">
        <v>3091</v>
      </c>
      <c r="B66" s="415" t="s">
        <v>3092</v>
      </c>
      <c r="C66" s="1158" t="s">
        <v>398</v>
      </c>
      <c r="D66" s="1159" t="s">
        <v>3207</v>
      </c>
      <c r="E66" s="1120">
        <v>2000</v>
      </c>
      <c r="F66" s="1160" t="s">
        <v>3208</v>
      </c>
      <c r="G66" s="416" t="str">
        <f t="shared" si="0"/>
        <v xml:space="preserve">  </v>
      </c>
      <c r="H66" s="1159" t="s">
        <v>3201</v>
      </c>
      <c r="I66" s="415"/>
      <c r="J66" s="415"/>
      <c r="K66" s="948">
        <f t="shared" si="1"/>
        <v>5</v>
      </c>
      <c r="L66" s="1119">
        <v>12</v>
      </c>
      <c r="M66" s="1120">
        <f t="shared" si="2"/>
        <v>24000</v>
      </c>
      <c r="N66" s="1119">
        <v>2</v>
      </c>
      <c r="O66" s="1119">
        <v>6</v>
      </c>
      <c r="P66" s="1120">
        <f t="shared" si="3"/>
        <v>12000</v>
      </c>
      <c r="Q66" s="886"/>
      <c r="R66" s="886"/>
      <c r="S66" s="886"/>
    </row>
    <row r="67" spans="1:19" x14ac:dyDescent="0.2">
      <c r="A67" s="1152" t="s">
        <v>3091</v>
      </c>
      <c r="B67" s="415" t="s">
        <v>3092</v>
      </c>
      <c r="C67" s="1158" t="s">
        <v>398</v>
      </c>
      <c r="D67" s="1159" t="s">
        <v>3209</v>
      </c>
      <c r="E67" s="1120">
        <v>930</v>
      </c>
      <c r="F67" s="1160" t="s">
        <v>3210</v>
      </c>
      <c r="G67" s="416" t="str">
        <f t="shared" si="0"/>
        <v xml:space="preserve">  </v>
      </c>
      <c r="H67" s="1159"/>
      <c r="I67" s="415"/>
      <c r="J67" s="415"/>
      <c r="K67" s="948">
        <f t="shared" si="1"/>
        <v>5</v>
      </c>
      <c r="L67" s="1119">
        <v>12</v>
      </c>
      <c r="M67" s="1120">
        <f t="shared" si="2"/>
        <v>11160</v>
      </c>
      <c r="N67" s="1119">
        <v>2</v>
      </c>
      <c r="O67" s="1119">
        <v>6</v>
      </c>
      <c r="P67" s="1120">
        <f t="shared" si="3"/>
        <v>5580</v>
      </c>
      <c r="Q67" s="886"/>
      <c r="R67" s="886"/>
      <c r="S67" s="886"/>
    </row>
    <row r="68" spans="1:19" ht="24" x14ac:dyDescent="0.2">
      <c r="A68" s="1152" t="s">
        <v>3091</v>
      </c>
      <c r="B68" s="415" t="s">
        <v>3092</v>
      </c>
      <c r="C68" s="1158" t="s">
        <v>398</v>
      </c>
      <c r="D68" s="1159" t="s">
        <v>3100</v>
      </c>
      <c r="E68" s="1120">
        <v>1500</v>
      </c>
      <c r="F68" s="1160" t="s">
        <v>3211</v>
      </c>
      <c r="G68" s="416" t="str">
        <f t="shared" si="0"/>
        <v xml:space="preserve">  </v>
      </c>
      <c r="H68" s="1159" t="s">
        <v>3212</v>
      </c>
      <c r="I68" s="415"/>
      <c r="J68" s="415"/>
      <c r="K68" s="948">
        <f t="shared" si="1"/>
        <v>5</v>
      </c>
      <c r="L68" s="1119">
        <v>12</v>
      </c>
      <c r="M68" s="1120">
        <f t="shared" si="2"/>
        <v>18000</v>
      </c>
      <c r="N68" s="1119">
        <v>2</v>
      </c>
      <c r="O68" s="1119">
        <v>6</v>
      </c>
      <c r="P68" s="1120">
        <f t="shared" si="3"/>
        <v>9000</v>
      </c>
      <c r="Q68" s="886"/>
      <c r="R68" s="886"/>
      <c r="S68" s="886"/>
    </row>
    <row r="69" spans="1:19" ht="24" x14ac:dyDescent="0.2">
      <c r="A69" s="1152" t="s">
        <v>3091</v>
      </c>
      <c r="B69" s="415" t="s">
        <v>3092</v>
      </c>
      <c r="C69" s="1158" t="s">
        <v>398</v>
      </c>
      <c r="D69" s="1159" t="s">
        <v>3100</v>
      </c>
      <c r="E69" s="1120">
        <v>1000</v>
      </c>
      <c r="F69" s="1160" t="s">
        <v>3213</v>
      </c>
      <c r="G69" s="416" t="str">
        <f t="shared" si="0"/>
        <v xml:space="preserve">  </v>
      </c>
      <c r="H69" s="1159" t="s">
        <v>3124</v>
      </c>
      <c r="I69" s="415"/>
      <c r="J69" s="415"/>
      <c r="K69" s="948">
        <f t="shared" si="1"/>
        <v>5</v>
      </c>
      <c r="L69" s="1119">
        <v>12</v>
      </c>
      <c r="M69" s="1120">
        <f t="shared" si="2"/>
        <v>12000</v>
      </c>
      <c r="N69" s="1119">
        <v>2</v>
      </c>
      <c r="O69" s="1119">
        <v>6</v>
      </c>
      <c r="P69" s="1120">
        <f t="shared" si="3"/>
        <v>6000</v>
      </c>
      <c r="Q69" s="886"/>
      <c r="R69" s="886"/>
      <c r="S69" s="886"/>
    </row>
    <row r="70" spans="1:19" x14ac:dyDescent="0.2">
      <c r="A70" s="1152" t="s">
        <v>3091</v>
      </c>
      <c r="B70" s="415" t="s">
        <v>3092</v>
      </c>
      <c r="C70" s="1158" t="s">
        <v>398</v>
      </c>
      <c r="D70" s="1159" t="s">
        <v>3214</v>
      </c>
      <c r="E70" s="1120">
        <v>1500</v>
      </c>
      <c r="F70" s="1160" t="s">
        <v>3215</v>
      </c>
      <c r="G70" s="416" t="str">
        <f t="shared" si="0"/>
        <v xml:space="preserve">  </v>
      </c>
      <c r="H70" s="1159"/>
      <c r="I70" s="415"/>
      <c r="J70" s="415"/>
      <c r="K70" s="948">
        <f t="shared" si="1"/>
        <v>5</v>
      </c>
      <c r="L70" s="1119">
        <v>12</v>
      </c>
      <c r="M70" s="1120">
        <f t="shared" si="2"/>
        <v>18000</v>
      </c>
      <c r="N70" s="1119">
        <v>2</v>
      </c>
      <c r="O70" s="1119">
        <v>6</v>
      </c>
      <c r="P70" s="1120">
        <f t="shared" si="3"/>
        <v>9000</v>
      </c>
      <c r="Q70" s="886"/>
      <c r="R70" s="886"/>
      <c r="S70" s="886"/>
    </row>
    <row r="71" spans="1:19" x14ac:dyDescent="0.2">
      <c r="A71" s="1152" t="s">
        <v>3091</v>
      </c>
      <c r="B71" s="415" t="s">
        <v>3092</v>
      </c>
      <c r="C71" s="1158" t="s">
        <v>398</v>
      </c>
      <c r="D71" s="1159" t="s">
        <v>3216</v>
      </c>
      <c r="E71" s="1120">
        <v>1700</v>
      </c>
      <c r="F71" s="1160" t="s">
        <v>3217</v>
      </c>
      <c r="G71" s="416" t="str">
        <f t="shared" si="0"/>
        <v xml:space="preserve">  </v>
      </c>
      <c r="H71" s="1159"/>
      <c r="I71" s="415"/>
      <c r="J71" s="415"/>
      <c r="K71" s="948">
        <f t="shared" si="1"/>
        <v>5</v>
      </c>
      <c r="L71" s="1119">
        <v>12</v>
      </c>
      <c r="M71" s="1120">
        <f t="shared" si="2"/>
        <v>20400</v>
      </c>
      <c r="N71" s="1119">
        <v>2</v>
      </c>
      <c r="O71" s="1119">
        <v>6</v>
      </c>
      <c r="P71" s="1120">
        <f t="shared" si="3"/>
        <v>10200</v>
      </c>
      <c r="Q71" s="886"/>
      <c r="R71" s="886"/>
      <c r="S71" s="886"/>
    </row>
    <row r="72" spans="1:19" x14ac:dyDescent="0.2">
      <c r="A72" s="1152" t="s">
        <v>3091</v>
      </c>
      <c r="B72" s="415" t="s">
        <v>3092</v>
      </c>
      <c r="C72" s="1158" t="s">
        <v>398</v>
      </c>
      <c r="D72" s="1159" t="s">
        <v>3100</v>
      </c>
      <c r="E72" s="1120">
        <v>1400</v>
      </c>
      <c r="F72" s="1160" t="s">
        <v>3218</v>
      </c>
      <c r="G72" s="416" t="str">
        <f t="shared" ref="G72:G135" si="4">CONCATENATE(W72," ",X72," ",Y72)</f>
        <v xml:space="preserve">  </v>
      </c>
      <c r="H72" s="1159"/>
      <c r="I72" s="415"/>
      <c r="J72" s="415"/>
      <c r="K72" s="948">
        <f t="shared" si="1"/>
        <v>5</v>
      </c>
      <c r="L72" s="1119">
        <v>12</v>
      </c>
      <c r="M72" s="1120">
        <f t="shared" si="2"/>
        <v>16800</v>
      </c>
      <c r="N72" s="1119">
        <v>2</v>
      </c>
      <c r="O72" s="1119">
        <v>6</v>
      </c>
      <c r="P72" s="1120">
        <f t="shared" si="3"/>
        <v>8400</v>
      </c>
      <c r="Q72" s="886"/>
      <c r="R72" s="886"/>
      <c r="S72" s="886"/>
    </row>
    <row r="73" spans="1:19" x14ac:dyDescent="0.2">
      <c r="A73" s="1152" t="s">
        <v>3091</v>
      </c>
      <c r="B73" s="415" t="s">
        <v>3092</v>
      </c>
      <c r="C73" s="1158" t="s">
        <v>398</v>
      </c>
      <c r="D73" s="1159" t="s">
        <v>3112</v>
      </c>
      <c r="E73" s="1120">
        <v>1500</v>
      </c>
      <c r="F73" s="1160" t="s">
        <v>3219</v>
      </c>
      <c r="G73" s="416" t="str">
        <f t="shared" si="4"/>
        <v xml:space="preserve">  </v>
      </c>
      <c r="H73" s="1159" t="s">
        <v>3099</v>
      </c>
      <c r="I73" s="415"/>
      <c r="J73" s="415"/>
      <c r="K73" s="948">
        <f t="shared" ref="K73:K136" si="5">1+4</f>
        <v>5</v>
      </c>
      <c r="L73" s="1119">
        <v>12</v>
      </c>
      <c r="M73" s="1120">
        <f t="shared" ref="M73:M136" si="6">E73*L73</f>
        <v>18000</v>
      </c>
      <c r="N73" s="1119">
        <v>2</v>
      </c>
      <c r="O73" s="1119">
        <v>6</v>
      </c>
      <c r="P73" s="1120">
        <f t="shared" ref="P73:P136" si="7">E73*O73</f>
        <v>9000</v>
      </c>
      <c r="Q73" s="886"/>
      <c r="R73" s="886"/>
      <c r="S73" s="886"/>
    </row>
    <row r="74" spans="1:19" ht="24" x14ac:dyDescent="0.2">
      <c r="A74" s="1152" t="s">
        <v>3091</v>
      </c>
      <c r="B74" s="415" t="s">
        <v>3092</v>
      </c>
      <c r="C74" s="1158" t="s">
        <v>398</v>
      </c>
      <c r="D74" s="1159" t="s">
        <v>3220</v>
      </c>
      <c r="E74" s="1120">
        <v>1500</v>
      </c>
      <c r="F74" s="1160" t="s">
        <v>3221</v>
      </c>
      <c r="G74" s="416" t="str">
        <f t="shared" si="4"/>
        <v xml:space="preserve">  </v>
      </c>
      <c r="H74" s="1159" t="s">
        <v>3124</v>
      </c>
      <c r="I74" s="415"/>
      <c r="J74" s="415"/>
      <c r="K74" s="948">
        <f t="shared" si="5"/>
        <v>5</v>
      </c>
      <c r="L74" s="1119">
        <v>12</v>
      </c>
      <c r="M74" s="1120">
        <f t="shared" si="6"/>
        <v>18000</v>
      </c>
      <c r="N74" s="1119">
        <v>2</v>
      </c>
      <c r="O74" s="1119">
        <v>6</v>
      </c>
      <c r="P74" s="1120">
        <f t="shared" si="7"/>
        <v>9000</v>
      </c>
      <c r="Q74" s="886"/>
      <c r="R74" s="886"/>
      <c r="S74" s="886"/>
    </row>
    <row r="75" spans="1:19" ht="24" x14ac:dyDescent="0.2">
      <c r="A75" s="1152" t="s">
        <v>3091</v>
      </c>
      <c r="B75" s="415" t="s">
        <v>3092</v>
      </c>
      <c r="C75" s="1158" t="s">
        <v>398</v>
      </c>
      <c r="D75" s="1159" t="s">
        <v>3222</v>
      </c>
      <c r="E75" s="1120">
        <v>5000</v>
      </c>
      <c r="F75" s="1160" t="s">
        <v>3223</v>
      </c>
      <c r="G75" s="416" t="str">
        <f t="shared" si="4"/>
        <v xml:space="preserve">  </v>
      </c>
      <c r="H75" s="1159" t="s">
        <v>3224</v>
      </c>
      <c r="I75" s="415"/>
      <c r="J75" s="415"/>
      <c r="K75" s="948">
        <f t="shared" si="5"/>
        <v>5</v>
      </c>
      <c r="L75" s="1119">
        <v>12</v>
      </c>
      <c r="M75" s="1120">
        <f t="shared" si="6"/>
        <v>60000</v>
      </c>
      <c r="N75" s="1119">
        <v>2</v>
      </c>
      <c r="O75" s="1119">
        <v>6</v>
      </c>
      <c r="P75" s="1120">
        <f t="shared" si="7"/>
        <v>30000</v>
      </c>
      <c r="Q75" s="886"/>
      <c r="R75" s="886"/>
      <c r="S75" s="886"/>
    </row>
    <row r="76" spans="1:19" ht="24" x14ac:dyDescent="0.2">
      <c r="A76" s="1152" t="s">
        <v>3091</v>
      </c>
      <c r="B76" s="415" t="s">
        <v>3092</v>
      </c>
      <c r="C76" s="1158" t="s">
        <v>398</v>
      </c>
      <c r="D76" s="1159" t="s">
        <v>3115</v>
      </c>
      <c r="E76" s="1120">
        <v>2000</v>
      </c>
      <c r="F76" s="1160" t="s">
        <v>3225</v>
      </c>
      <c r="G76" s="416" t="str">
        <f t="shared" si="4"/>
        <v xml:space="preserve">  </v>
      </c>
      <c r="H76" s="1159" t="s">
        <v>3124</v>
      </c>
      <c r="I76" s="415"/>
      <c r="J76" s="415"/>
      <c r="K76" s="948">
        <f t="shared" si="5"/>
        <v>5</v>
      </c>
      <c r="L76" s="1119">
        <v>12</v>
      </c>
      <c r="M76" s="1120">
        <f t="shared" si="6"/>
        <v>24000</v>
      </c>
      <c r="N76" s="1119">
        <v>2</v>
      </c>
      <c r="O76" s="1119">
        <v>6</v>
      </c>
      <c r="P76" s="1120">
        <f t="shared" si="7"/>
        <v>12000</v>
      </c>
      <c r="Q76" s="886"/>
      <c r="R76" s="886"/>
      <c r="S76" s="886"/>
    </row>
    <row r="77" spans="1:19" x14ac:dyDescent="0.2">
      <c r="A77" s="1152" t="s">
        <v>3091</v>
      </c>
      <c r="B77" s="415" t="s">
        <v>3092</v>
      </c>
      <c r="C77" s="1158" t="s">
        <v>398</v>
      </c>
      <c r="D77" s="1159" t="s">
        <v>3100</v>
      </c>
      <c r="E77" s="1120">
        <v>1500</v>
      </c>
      <c r="F77" s="1160" t="s">
        <v>3226</v>
      </c>
      <c r="G77" s="416" t="str">
        <f t="shared" si="4"/>
        <v xml:space="preserve">  </v>
      </c>
      <c r="H77" s="1159" t="s">
        <v>2736</v>
      </c>
      <c r="I77" s="415"/>
      <c r="J77" s="415"/>
      <c r="K77" s="948">
        <f t="shared" si="5"/>
        <v>5</v>
      </c>
      <c r="L77" s="1119">
        <v>12</v>
      </c>
      <c r="M77" s="1120">
        <f t="shared" si="6"/>
        <v>18000</v>
      </c>
      <c r="N77" s="1119">
        <v>2</v>
      </c>
      <c r="O77" s="1119">
        <v>6</v>
      </c>
      <c r="P77" s="1120">
        <f t="shared" si="7"/>
        <v>9000</v>
      </c>
      <c r="Q77" s="886"/>
      <c r="R77" s="886"/>
      <c r="S77" s="886"/>
    </row>
    <row r="78" spans="1:19" x14ac:dyDescent="0.2">
      <c r="A78" s="1152" t="s">
        <v>3091</v>
      </c>
      <c r="B78" s="415" t="s">
        <v>3092</v>
      </c>
      <c r="C78" s="1158" t="s">
        <v>398</v>
      </c>
      <c r="D78" s="1159" t="s">
        <v>3227</v>
      </c>
      <c r="E78" s="1120">
        <v>3500</v>
      </c>
      <c r="F78" s="1160" t="s">
        <v>3228</v>
      </c>
      <c r="G78" s="416" t="str">
        <f t="shared" si="4"/>
        <v xml:space="preserve">  </v>
      </c>
      <c r="H78" s="1159"/>
      <c r="I78" s="415"/>
      <c r="J78" s="415"/>
      <c r="K78" s="948">
        <f t="shared" si="5"/>
        <v>5</v>
      </c>
      <c r="L78" s="1119">
        <v>12</v>
      </c>
      <c r="M78" s="1120">
        <f t="shared" si="6"/>
        <v>42000</v>
      </c>
      <c r="N78" s="1119">
        <v>2</v>
      </c>
      <c r="O78" s="1119">
        <v>6</v>
      </c>
      <c r="P78" s="1120">
        <f t="shared" si="7"/>
        <v>21000</v>
      </c>
      <c r="Q78" s="886"/>
      <c r="R78" s="886"/>
      <c r="S78" s="886"/>
    </row>
    <row r="79" spans="1:19" x14ac:dyDescent="0.2">
      <c r="A79" s="1152" t="s">
        <v>3091</v>
      </c>
      <c r="B79" s="415" t="s">
        <v>3092</v>
      </c>
      <c r="C79" s="1158" t="s">
        <v>398</v>
      </c>
      <c r="D79" s="1159" t="s">
        <v>3229</v>
      </c>
      <c r="E79" s="1120">
        <v>1800</v>
      </c>
      <c r="F79" s="1160" t="s">
        <v>3230</v>
      </c>
      <c r="G79" s="416" t="str">
        <f t="shared" si="4"/>
        <v xml:space="preserve">  </v>
      </c>
      <c r="H79" s="1159" t="s">
        <v>3231</v>
      </c>
      <c r="I79" s="415"/>
      <c r="J79" s="415"/>
      <c r="K79" s="948">
        <f t="shared" si="5"/>
        <v>5</v>
      </c>
      <c r="L79" s="1119">
        <v>12</v>
      </c>
      <c r="M79" s="1120">
        <f t="shared" si="6"/>
        <v>21600</v>
      </c>
      <c r="N79" s="1119">
        <v>2</v>
      </c>
      <c r="O79" s="1119">
        <v>6</v>
      </c>
      <c r="P79" s="1120">
        <f t="shared" si="7"/>
        <v>10800</v>
      </c>
      <c r="Q79" s="886"/>
      <c r="R79" s="886"/>
      <c r="S79" s="886"/>
    </row>
    <row r="80" spans="1:19" ht="24" x14ac:dyDescent="0.2">
      <c r="A80" s="1152" t="s">
        <v>3091</v>
      </c>
      <c r="B80" s="415" t="s">
        <v>3092</v>
      </c>
      <c r="C80" s="1158" t="s">
        <v>398</v>
      </c>
      <c r="D80" s="1159" t="s">
        <v>3232</v>
      </c>
      <c r="E80" s="1120">
        <v>3000</v>
      </c>
      <c r="F80" s="1160" t="s">
        <v>3233</v>
      </c>
      <c r="G80" s="416" t="str">
        <f t="shared" si="4"/>
        <v xml:space="preserve">  </v>
      </c>
      <c r="H80" s="1159" t="s">
        <v>3168</v>
      </c>
      <c r="I80" s="415"/>
      <c r="J80" s="415"/>
      <c r="K80" s="948">
        <f t="shared" si="5"/>
        <v>5</v>
      </c>
      <c r="L80" s="1119">
        <v>12</v>
      </c>
      <c r="M80" s="1120">
        <f t="shared" si="6"/>
        <v>36000</v>
      </c>
      <c r="N80" s="1119">
        <v>2</v>
      </c>
      <c r="O80" s="1119">
        <v>6</v>
      </c>
      <c r="P80" s="1120">
        <f t="shared" si="7"/>
        <v>18000</v>
      </c>
      <c r="Q80" s="886"/>
      <c r="R80" s="886"/>
      <c r="S80" s="886"/>
    </row>
    <row r="81" spans="1:19" ht="36" x14ac:dyDescent="0.2">
      <c r="A81" s="1152" t="s">
        <v>3091</v>
      </c>
      <c r="B81" s="415" t="s">
        <v>3092</v>
      </c>
      <c r="C81" s="1158" t="s">
        <v>398</v>
      </c>
      <c r="D81" s="1159" t="s">
        <v>3234</v>
      </c>
      <c r="E81" s="1120">
        <v>4000</v>
      </c>
      <c r="F81" s="1160" t="s">
        <v>3235</v>
      </c>
      <c r="G81" s="416" t="str">
        <f t="shared" si="4"/>
        <v xml:space="preserve">  </v>
      </c>
      <c r="H81" s="1159" t="s">
        <v>3236</v>
      </c>
      <c r="I81" s="415"/>
      <c r="J81" s="415"/>
      <c r="K81" s="948">
        <f t="shared" si="5"/>
        <v>5</v>
      </c>
      <c r="L81" s="1119">
        <v>12</v>
      </c>
      <c r="M81" s="1120">
        <f t="shared" si="6"/>
        <v>48000</v>
      </c>
      <c r="N81" s="1119">
        <v>2</v>
      </c>
      <c r="O81" s="1119">
        <v>6</v>
      </c>
      <c r="P81" s="1120">
        <f t="shared" si="7"/>
        <v>24000</v>
      </c>
      <c r="Q81" s="886"/>
      <c r="R81" s="886"/>
      <c r="S81" s="886"/>
    </row>
    <row r="82" spans="1:19" x14ac:dyDescent="0.2">
      <c r="A82" s="1152" t="s">
        <v>3091</v>
      </c>
      <c r="B82" s="415" t="s">
        <v>3092</v>
      </c>
      <c r="C82" s="1158" t="s">
        <v>398</v>
      </c>
      <c r="D82" s="1159" t="s">
        <v>3099</v>
      </c>
      <c r="E82" s="1120">
        <v>2500</v>
      </c>
      <c r="F82" s="1160" t="s">
        <v>3237</v>
      </c>
      <c r="G82" s="416" t="str">
        <f t="shared" si="4"/>
        <v xml:space="preserve">  </v>
      </c>
      <c r="H82" s="1159" t="s">
        <v>3099</v>
      </c>
      <c r="I82" s="415"/>
      <c r="J82" s="415"/>
      <c r="K82" s="948">
        <f t="shared" si="5"/>
        <v>5</v>
      </c>
      <c r="L82" s="1119">
        <v>12</v>
      </c>
      <c r="M82" s="1120">
        <f t="shared" si="6"/>
        <v>30000</v>
      </c>
      <c r="N82" s="1119">
        <v>2</v>
      </c>
      <c r="O82" s="1119">
        <v>6</v>
      </c>
      <c r="P82" s="1120">
        <f t="shared" si="7"/>
        <v>15000</v>
      </c>
      <c r="Q82" s="886"/>
      <c r="R82" s="886"/>
      <c r="S82" s="886"/>
    </row>
    <row r="83" spans="1:19" x14ac:dyDescent="0.2">
      <c r="A83" s="1152" t="s">
        <v>3091</v>
      </c>
      <c r="B83" s="415" t="s">
        <v>3092</v>
      </c>
      <c r="C83" s="1158" t="s">
        <v>398</v>
      </c>
      <c r="D83" s="1159" t="s">
        <v>3229</v>
      </c>
      <c r="E83" s="1120">
        <v>1400</v>
      </c>
      <c r="F83" s="1160" t="s">
        <v>3238</v>
      </c>
      <c r="G83" s="416" t="str">
        <f t="shared" si="4"/>
        <v xml:space="preserve">  </v>
      </c>
      <c r="H83" s="1159"/>
      <c r="I83" s="415"/>
      <c r="J83" s="415"/>
      <c r="K83" s="948">
        <f t="shared" si="5"/>
        <v>5</v>
      </c>
      <c r="L83" s="1119">
        <v>12</v>
      </c>
      <c r="M83" s="1120">
        <f t="shared" si="6"/>
        <v>16800</v>
      </c>
      <c r="N83" s="1119">
        <v>2</v>
      </c>
      <c r="O83" s="1119">
        <v>6</v>
      </c>
      <c r="P83" s="1120">
        <f t="shared" si="7"/>
        <v>8400</v>
      </c>
      <c r="Q83" s="886"/>
      <c r="R83" s="886"/>
      <c r="S83" s="886"/>
    </row>
    <row r="84" spans="1:19" ht="24" x14ac:dyDescent="0.2">
      <c r="A84" s="1152" t="s">
        <v>3091</v>
      </c>
      <c r="B84" s="415" t="s">
        <v>3092</v>
      </c>
      <c r="C84" s="1158" t="s">
        <v>398</v>
      </c>
      <c r="D84" s="1159" t="s">
        <v>3239</v>
      </c>
      <c r="E84" s="1120">
        <v>4000</v>
      </c>
      <c r="F84" s="1160" t="s">
        <v>3240</v>
      </c>
      <c r="G84" s="416" t="str">
        <f t="shared" si="4"/>
        <v xml:space="preserve">  </v>
      </c>
      <c r="H84" s="1159" t="s">
        <v>3129</v>
      </c>
      <c r="I84" s="415"/>
      <c r="J84" s="415"/>
      <c r="K84" s="948">
        <f t="shared" si="5"/>
        <v>5</v>
      </c>
      <c r="L84" s="1119">
        <v>12</v>
      </c>
      <c r="M84" s="1120">
        <f t="shared" si="6"/>
        <v>48000</v>
      </c>
      <c r="N84" s="1119">
        <v>2</v>
      </c>
      <c r="O84" s="1119">
        <v>6</v>
      </c>
      <c r="P84" s="1120">
        <f t="shared" si="7"/>
        <v>24000</v>
      </c>
      <c r="Q84" s="886"/>
      <c r="R84" s="886"/>
      <c r="S84" s="886"/>
    </row>
    <row r="85" spans="1:19" x14ac:dyDescent="0.2">
      <c r="A85" s="1152" t="s">
        <v>3091</v>
      </c>
      <c r="B85" s="415" t="s">
        <v>3092</v>
      </c>
      <c r="C85" s="1158" t="s">
        <v>398</v>
      </c>
      <c r="D85" s="1159" t="s">
        <v>3229</v>
      </c>
      <c r="E85" s="1120">
        <v>1200</v>
      </c>
      <c r="F85" s="1160" t="s">
        <v>3241</v>
      </c>
      <c r="G85" s="416" t="str">
        <f t="shared" si="4"/>
        <v xml:space="preserve">  </v>
      </c>
      <c r="H85" s="1159" t="s">
        <v>2736</v>
      </c>
      <c r="I85" s="415"/>
      <c r="J85" s="415"/>
      <c r="K85" s="948">
        <f t="shared" si="5"/>
        <v>5</v>
      </c>
      <c r="L85" s="1119">
        <v>12</v>
      </c>
      <c r="M85" s="1120">
        <f t="shared" si="6"/>
        <v>14400</v>
      </c>
      <c r="N85" s="1119">
        <v>2</v>
      </c>
      <c r="O85" s="1119">
        <v>6</v>
      </c>
      <c r="P85" s="1120">
        <f t="shared" si="7"/>
        <v>7200</v>
      </c>
      <c r="Q85" s="886"/>
      <c r="R85" s="886"/>
      <c r="S85" s="886"/>
    </row>
    <row r="86" spans="1:19" x14ac:dyDescent="0.2">
      <c r="A86" s="1152" t="s">
        <v>3091</v>
      </c>
      <c r="B86" s="415" t="s">
        <v>3092</v>
      </c>
      <c r="C86" s="1158" t="s">
        <v>398</v>
      </c>
      <c r="D86" s="1159" t="s">
        <v>3100</v>
      </c>
      <c r="E86" s="1120">
        <v>1300</v>
      </c>
      <c r="F86" s="1160" t="s">
        <v>3242</v>
      </c>
      <c r="G86" s="416" t="str">
        <f t="shared" si="4"/>
        <v xml:space="preserve">  </v>
      </c>
      <c r="H86" s="1159"/>
      <c r="I86" s="415"/>
      <c r="J86" s="415"/>
      <c r="K86" s="948">
        <f t="shared" si="5"/>
        <v>5</v>
      </c>
      <c r="L86" s="1119">
        <v>12</v>
      </c>
      <c r="M86" s="1120">
        <f t="shared" si="6"/>
        <v>15600</v>
      </c>
      <c r="N86" s="1119">
        <v>2</v>
      </c>
      <c r="O86" s="1119">
        <v>6</v>
      </c>
      <c r="P86" s="1120">
        <f t="shared" si="7"/>
        <v>7800</v>
      </c>
      <c r="Q86" s="886"/>
      <c r="R86" s="886"/>
      <c r="S86" s="886"/>
    </row>
    <row r="87" spans="1:19" ht="48" x14ac:dyDescent="0.2">
      <c r="A87" s="1152" t="s">
        <v>3091</v>
      </c>
      <c r="B87" s="415" t="s">
        <v>3092</v>
      </c>
      <c r="C87" s="1158" t="s">
        <v>398</v>
      </c>
      <c r="D87" s="1159" t="s">
        <v>3112</v>
      </c>
      <c r="E87" s="1120">
        <v>1200</v>
      </c>
      <c r="F87" s="1160" t="s">
        <v>3243</v>
      </c>
      <c r="G87" s="416" t="str">
        <f t="shared" si="4"/>
        <v xml:space="preserve">  </v>
      </c>
      <c r="H87" s="1159" t="s">
        <v>3114</v>
      </c>
      <c r="I87" s="415"/>
      <c r="J87" s="415"/>
      <c r="K87" s="948">
        <f t="shared" si="5"/>
        <v>5</v>
      </c>
      <c r="L87" s="1119">
        <v>12</v>
      </c>
      <c r="M87" s="1120">
        <f t="shared" si="6"/>
        <v>14400</v>
      </c>
      <c r="N87" s="1119">
        <v>2</v>
      </c>
      <c r="O87" s="1119">
        <v>6</v>
      </c>
      <c r="P87" s="1120">
        <f t="shared" si="7"/>
        <v>7200</v>
      </c>
      <c r="Q87" s="886"/>
      <c r="R87" s="886"/>
      <c r="S87" s="886"/>
    </row>
    <row r="88" spans="1:19" ht="36" x14ac:dyDescent="0.2">
      <c r="A88" s="1152" t="s">
        <v>3091</v>
      </c>
      <c r="B88" s="415" t="s">
        <v>3092</v>
      </c>
      <c r="C88" s="1158" t="s">
        <v>398</v>
      </c>
      <c r="D88" s="1159" t="s">
        <v>3244</v>
      </c>
      <c r="E88" s="1120">
        <v>930</v>
      </c>
      <c r="F88" s="1160" t="s">
        <v>3245</v>
      </c>
      <c r="G88" s="416" t="str">
        <f t="shared" si="4"/>
        <v xml:space="preserve">  </v>
      </c>
      <c r="H88" s="1159"/>
      <c r="I88" s="415"/>
      <c r="J88" s="415"/>
      <c r="K88" s="948">
        <f t="shared" si="5"/>
        <v>5</v>
      </c>
      <c r="L88" s="1119">
        <v>12</v>
      </c>
      <c r="M88" s="1120">
        <f t="shared" si="6"/>
        <v>11160</v>
      </c>
      <c r="N88" s="1119">
        <v>2</v>
      </c>
      <c r="O88" s="1119">
        <v>6</v>
      </c>
      <c r="P88" s="1120">
        <f t="shared" si="7"/>
        <v>5580</v>
      </c>
      <c r="Q88" s="886"/>
      <c r="R88" s="886"/>
      <c r="S88" s="886"/>
    </row>
    <row r="89" spans="1:19" x14ac:dyDescent="0.2">
      <c r="A89" s="1152" t="s">
        <v>3091</v>
      </c>
      <c r="B89" s="415" t="s">
        <v>3092</v>
      </c>
      <c r="C89" s="1158" t="s">
        <v>398</v>
      </c>
      <c r="D89" s="1159" t="s">
        <v>3187</v>
      </c>
      <c r="E89" s="1120">
        <v>930</v>
      </c>
      <c r="F89" s="1160" t="s">
        <v>3246</v>
      </c>
      <c r="G89" s="416" t="str">
        <f t="shared" si="4"/>
        <v xml:space="preserve">  </v>
      </c>
      <c r="H89" s="1159"/>
      <c r="I89" s="415"/>
      <c r="J89" s="415"/>
      <c r="K89" s="948">
        <f t="shared" si="5"/>
        <v>5</v>
      </c>
      <c r="L89" s="1119">
        <v>12</v>
      </c>
      <c r="M89" s="1120">
        <f t="shared" si="6"/>
        <v>11160</v>
      </c>
      <c r="N89" s="1119">
        <v>2</v>
      </c>
      <c r="O89" s="1119">
        <v>6</v>
      </c>
      <c r="P89" s="1120">
        <f t="shared" si="7"/>
        <v>5580</v>
      </c>
      <c r="Q89" s="886"/>
      <c r="R89" s="886"/>
      <c r="S89" s="886"/>
    </row>
    <row r="90" spans="1:19" ht="24" x14ac:dyDescent="0.2">
      <c r="A90" s="1152" t="s">
        <v>3091</v>
      </c>
      <c r="B90" s="415" t="s">
        <v>3092</v>
      </c>
      <c r="C90" s="1158" t="s">
        <v>398</v>
      </c>
      <c r="D90" s="1159" t="s">
        <v>3247</v>
      </c>
      <c r="E90" s="1120">
        <v>930</v>
      </c>
      <c r="F90" s="1160" t="s">
        <v>3248</v>
      </c>
      <c r="G90" s="416" t="str">
        <f t="shared" si="4"/>
        <v xml:space="preserve">  </v>
      </c>
      <c r="H90" s="1159"/>
      <c r="I90" s="415"/>
      <c r="J90" s="415"/>
      <c r="K90" s="948">
        <f t="shared" si="5"/>
        <v>5</v>
      </c>
      <c r="L90" s="1119">
        <v>12</v>
      </c>
      <c r="M90" s="1120">
        <f t="shared" si="6"/>
        <v>11160</v>
      </c>
      <c r="N90" s="1119">
        <v>2</v>
      </c>
      <c r="O90" s="1119">
        <v>6</v>
      </c>
      <c r="P90" s="1120">
        <f t="shared" si="7"/>
        <v>5580</v>
      </c>
      <c r="Q90" s="886"/>
      <c r="R90" s="886"/>
      <c r="S90" s="886"/>
    </row>
    <row r="91" spans="1:19" x14ac:dyDescent="0.2">
      <c r="A91" s="1152" t="s">
        <v>3091</v>
      </c>
      <c r="B91" s="415" t="s">
        <v>3092</v>
      </c>
      <c r="C91" s="1158" t="s">
        <v>398</v>
      </c>
      <c r="D91" s="1159" t="s">
        <v>3099</v>
      </c>
      <c r="E91" s="1120">
        <v>3000</v>
      </c>
      <c r="F91" s="1160" t="s">
        <v>3249</v>
      </c>
      <c r="G91" s="416" t="str">
        <f t="shared" si="4"/>
        <v xml:space="preserve">  </v>
      </c>
      <c r="H91" s="1159"/>
      <c r="I91" s="415"/>
      <c r="J91" s="415"/>
      <c r="K91" s="948">
        <f t="shared" si="5"/>
        <v>5</v>
      </c>
      <c r="L91" s="1119">
        <v>12</v>
      </c>
      <c r="M91" s="1120">
        <f t="shared" si="6"/>
        <v>36000</v>
      </c>
      <c r="N91" s="1119">
        <v>2</v>
      </c>
      <c r="O91" s="1119">
        <v>6</v>
      </c>
      <c r="P91" s="1120">
        <f t="shared" si="7"/>
        <v>18000</v>
      </c>
      <c r="Q91" s="886"/>
      <c r="R91" s="886"/>
      <c r="S91" s="886"/>
    </row>
    <row r="92" spans="1:19" ht="24" x14ac:dyDescent="0.2">
      <c r="A92" s="1152" t="s">
        <v>3091</v>
      </c>
      <c r="B92" s="415" t="s">
        <v>3092</v>
      </c>
      <c r="C92" s="1158" t="s">
        <v>398</v>
      </c>
      <c r="D92" s="1159" t="s">
        <v>3100</v>
      </c>
      <c r="E92" s="1120">
        <v>2000</v>
      </c>
      <c r="F92" s="1160" t="s">
        <v>3250</v>
      </c>
      <c r="G92" s="416" t="str">
        <f t="shared" si="4"/>
        <v xml:space="preserve">  </v>
      </c>
      <c r="H92" s="1159" t="s">
        <v>3124</v>
      </c>
      <c r="I92" s="415"/>
      <c r="J92" s="415"/>
      <c r="K92" s="948">
        <f t="shared" si="5"/>
        <v>5</v>
      </c>
      <c r="L92" s="1119">
        <v>12</v>
      </c>
      <c r="M92" s="1120">
        <f t="shared" si="6"/>
        <v>24000</v>
      </c>
      <c r="N92" s="1119">
        <v>2</v>
      </c>
      <c r="O92" s="1119">
        <v>6</v>
      </c>
      <c r="P92" s="1120">
        <f t="shared" si="7"/>
        <v>12000</v>
      </c>
      <c r="Q92" s="886"/>
      <c r="R92" s="886"/>
      <c r="S92" s="886"/>
    </row>
    <row r="93" spans="1:19" ht="24" x14ac:dyDescent="0.2">
      <c r="A93" s="1152" t="s">
        <v>3091</v>
      </c>
      <c r="B93" s="415" t="s">
        <v>3092</v>
      </c>
      <c r="C93" s="1158" t="s">
        <v>398</v>
      </c>
      <c r="D93" s="1159" t="s">
        <v>3112</v>
      </c>
      <c r="E93" s="1120">
        <v>1200</v>
      </c>
      <c r="F93" s="1160" t="s">
        <v>3251</v>
      </c>
      <c r="G93" s="416" t="str">
        <f t="shared" si="4"/>
        <v xml:space="preserve">  </v>
      </c>
      <c r="H93" s="1159" t="s">
        <v>3252</v>
      </c>
      <c r="I93" s="415"/>
      <c r="J93" s="415"/>
      <c r="K93" s="948">
        <f t="shared" si="5"/>
        <v>5</v>
      </c>
      <c r="L93" s="1119">
        <v>12</v>
      </c>
      <c r="M93" s="1120">
        <f t="shared" si="6"/>
        <v>14400</v>
      </c>
      <c r="N93" s="1119">
        <v>2</v>
      </c>
      <c r="O93" s="1119">
        <v>6</v>
      </c>
      <c r="P93" s="1120">
        <f t="shared" si="7"/>
        <v>7200</v>
      </c>
      <c r="Q93" s="886"/>
      <c r="R93" s="886"/>
      <c r="S93" s="886"/>
    </row>
    <row r="94" spans="1:19" ht="36" x14ac:dyDescent="0.2">
      <c r="A94" s="1152" t="s">
        <v>3091</v>
      </c>
      <c r="B94" s="415" t="s">
        <v>3092</v>
      </c>
      <c r="C94" s="1158" t="s">
        <v>398</v>
      </c>
      <c r="D94" s="1159" t="s">
        <v>3100</v>
      </c>
      <c r="E94" s="1120">
        <v>1500</v>
      </c>
      <c r="F94" s="1160" t="s">
        <v>3253</v>
      </c>
      <c r="G94" s="416" t="str">
        <f t="shared" si="4"/>
        <v xml:space="preserve">  </v>
      </c>
      <c r="H94" s="1159" t="s">
        <v>3254</v>
      </c>
      <c r="I94" s="415"/>
      <c r="J94" s="415"/>
      <c r="K94" s="948">
        <f t="shared" si="5"/>
        <v>5</v>
      </c>
      <c r="L94" s="1119">
        <v>12</v>
      </c>
      <c r="M94" s="1120">
        <f t="shared" si="6"/>
        <v>18000</v>
      </c>
      <c r="N94" s="1119">
        <v>2</v>
      </c>
      <c r="O94" s="1119">
        <v>6</v>
      </c>
      <c r="P94" s="1120">
        <f t="shared" si="7"/>
        <v>9000</v>
      </c>
      <c r="Q94" s="886"/>
      <c r="R94" s="886"/>
      <c r="S94" s="886"/>
    </row>
    <row r="95" spans="1:19" x14ac:dyDescent="0.2">
      <c r="A95" s="1152" t="s">
        <v>3091</v>
      </c>
      <c r="B95" s="415" t="s">
        <v>3092</v>
      </c>
      <c r="C95" s="1158" t="s">
        <v>398</v>
      </c>
      <c r="D95" s="1159" t="s">
        <v>3255</v>
      </c>
      <c r="E95" s="1120">
        <v>2000</v>
      </c>
      <c r="F95" s="1160" t="s">
        <v>3256</v>
      </c>
      <c r="G95" s="416" t="str">
        <f t="shared" si="4"/>
        <v xml:space="preserve">  </v>
      </c>
      <c r="H95" s="1159"/>
      <c r="I95" s="415"/>
      <c r="J95" s="415"/>
      <c r="K95" s="948">
        <f t="shared" si="5"/>
        <v>5</v>
      </c>
      <c r="L95" s="1119">
        <v>12</v>
      </c>
      <c r="M95" s="1120">
        <f t="shared" si="6"/>
        <v>24000</v>
      </c>
      <c r="N95" s="1119">
        <v>2</v>
      </c>
      <c r="O95" s="1119">
        <v>6</v>
      </c>
      <c r="P95" s="1120">
        <f t="shared" si="7"/>
        <v>12000</v>
      </c>
      <c r="Q95" s="886"/>
      <c r="R95" s="886"/>
      <c r="S95" s="886"/>
    </row>
    <row r="96" spans="1:19" x14ac:dyDescent="0.2">
      <c r="A96" s="1152" t="s">
        <v>3091</v>
      </c>
      <c r="B96" s="415" t="s">
        <v>3092</v>
      </c>
      <c r="C96" s="1158" t="s">
        <v>398</v>
      </c>
      <c r="D96" s="1159" t="s">
        <v>3257</v>
      </c>
      <c r="E96" s="1120">
        <v>930</v>
      </c>
      <c r="F96" s="1160" t="s">
        <v>3258</v>
      </c>
      <c r="G96" s="416" t="str">
        <f t="shared" si="4"/>
        <v xml:space="preserve">  </v>
      </c>
      <c r="H96" s="1159"/>
      <c r="I96" s="415"/>
      <c r="J96" s="415"/>
      <c r="K96" s="948">
        <f t="shared" si="5"/>
        <v>5</v>
      </c>
      <c r="L96" s="1119">
        <v>12</v>
      </c>
      <c r="M96" s="1120">
        <f t="shared" si="6"/>
        <v>11160</v>
      </c>
      <c r="N96" s="1119">
        <v>2</v>
      </c>
      <c r="O96" s="1119">
        <v>6</v>
      </c>
      <c r="P96" s="1120">
        <f t="shared" si="7"/>
        <v>5580</v>
      </c>
      <c r="Q96" s="886"/>
      <c r="R96" s="886"/>
      <c r="S96" s="886"/>
    </row>
    <row r="97" spans="1:19" x14ac:dyDescent="0.2">
      <c r="A97" s="1152" t="s">
        <v>3091</v>
      </c>
      <c r="B97" s="415" t="s">
        <v>3092</v>
      </c>
      <c r="C97" s="1158" t="s">
        <v>398</v>
      </c>
      <c r="D97" s="1159" t="s">
        <v>3112</v>
      </c>
      <c r="E97" s="1120">
        <v>930</v>
      </c>
      <c r="F97" s="1160" t="s">
        <v>3259</v>
      </c>
      <c r="G97" s="416" t="str">
        <f t="shared" si="4"/>
        <v xml:space="preserve">  </v>
      </c>
      <c r="H97" s="1159"/>
      <c r="I97" s="415"/>
      <c r="J97" s="415"/>
      <c r="K97" s="948">
        <f t="shared" si="5"/>
        <v>5</v>
      </c>
      <c r="L97" s="1119">
        <v>12</v>
      </c>
      <c r="M97" s="1120">
        <f t="shared" si="6"/>
        <v>11160</v>
      </c>
      <c r="N97" s="1119">
        <v>2</v>
      </c>
      <c r="O97" s="1119">
        <v>6</v>
      </c>
      <c r="P97" s="1120">
        <f t="shared" si="7"/>
        <v>5580</v>
      </c>
      <c r="Q97" s="886"/>
      <c r="R97" s="886"/>
      <c r="S97" s="886"/>
    </row>
    <row r="98" spans="1:19" ht="24" x14ac:dyDescent="0.2">
      <c r="A98" s="1152" t="s">
        <v>3091</v>
      </c>
      <c r="B98" s="415" t="s">
        <v>3092</v>
      </c>
      <c r="C98" s="1158" t="s">
        <v>398</v>
      </c>
      <c r="D98" s="1159" t="s">
        <v>3260</v>
      </c>
      <c r="E98" s="1120">
        <v>930</v>
      </c>
      <c r="F98" s="1160" t="s">
        <v>3261</v>
      </c>
      <c r="G98" s="416" t="str">
        <f t="shared" si="4"/>
        <v xml:space="preserve">  </v>
      </c>
      <c r="H98" s="1159"/>
      <c r="I98" s="415"/>
      <c r="J98" s="415"/>
      <c r="K98" s="948">
        <f t="shared" si="5"/>
        <v>5</v>
      </c>
      <c r="L98" s="1119">
        <v>12</v>
      </c>
      <c r="M98" s="1120">
        <f t="shared" si="6"/>
        <v>11160</v>
      </c>
      <c r="N98" s="1119">
        <v>2</v>
      </c>
      <c r="O98" s="1119">
        <v>6</v>
      </c>
      <c r="P98" s="1120">
        <f t="shared" si="7"/>
        <v>5580</v>
      </c>
      <c r="Q98" s="886"/>
      <c r="R98" s="886"/>
      <c r="S98" s="886"/>
    </row>
    <row r="99" spans="1:19" ht="24" x14ac:dyDescent="0.2">
      <c r="A99" s="1152" t="s">
        <v>3091</v>
      </c>
      <c r="B99" s="415" t="s">
        <v>3092</v>
      </c>
      <c r="C99" s="1158" t="s">
        <v>398</v>
      </c>
      <c r="D99" s="1159" t="s">
        <v>3262</v>
      </c>
      <c r="E99" s="1120">
        <v>1400</v>
      </c>
      <c r="F99" s="1160" t="s">
        <v>3263</v>
      </c>
      <c r="G99" s="416" t="str">
        <f t="shared" si="4"/>
        <v xml:space="preserve">  </v>
      </c>
      <c r="H99" s="1159"/>
      <c r="I99" s="415"/>
      <c r="J99" s="415"/>
      <c r="K99" s="948">
        <f t="shared" si="5"/>
        <v>5</v>
      </c>
      <c r="L99" s="1119">
        <v>12</v>
      </c>
      <c r="M99" s="1120">
        <f t="shared" si="6"/>
        <v>16800</v>
      </c>
      <c r="N99" s="1119">
        <v>2</v>
      </c>
      <c r="O99" s="1119">
        <v>6</v>
      </c>
      <c r="P99" s="1120">
        <f t="shared" si="7"/>
        <v>8400</v>
      </c>
      <c r="Q99" s="886"/>
      <c r="R99" s="886"/>
      <c r="S99" s="886"/>
    </row>
    <row r="100" spans="1:19" x14ac:dyDescent="0.2">
      <c r="A100" s="1152" t="s">
        <v>3091</v>
      </c>
      <c r="B100" s="415" t="s">
        <v>3092</v>
      </c>
      <c r="C100" s="1158" t="s">
        <v>398</v>
      </c>
      <c r="D100" s="1159" t="s">
        <v>3264</v>
      </c>
      <c r="E100" s="1120">
        <v>1800</v>
      </c>
      <c r="F100" s="1160" t="s">
        <v>3265</v>
      </c>
      <c r="G100" s="416" t="str">
        <f t="shared" si="4"/>
        <v xml:space="preserve">  </v>
      </c>
      <c r="H100" s="1159"/>
      <c r="I100" s="415"/>
      <c r="J100" s="415"/>
      <c r="K100" s="948">
        <f t="shared" si="5"/>
        <v>5</v>
      </c>
      <c r="L100" s="1119">
        <v>12</v>
      </c>
      <c r="M100" s="1120">
        <f t="shared" si="6"/>
        <v>21600</v>
      </c>
      <c r="N100" s="1119">
        <v>2</v>
      </c>
      <c r="O100" s="1119">
        <v>6</v>
      </c>
      <c r="P100" s="1120">
        <f t="shared" si="7"/>
        <v>10800</v>
      </c>
      <c r="Q100" s="886"/>
      <c r="R100" s="886"/>
      <c r="S100" s="886"/>
    </row>
    <row r="101" spans="1:19" x14ac:dyDescent="0.2">
      <c r="A101" s="1152" t="s">
        <v>3091</v>
      </c>
      <c r="B101" s="415" t="s">
        <v>3092</v>
      </c>
      <c r="C101" s="1158" t="s">
        <v>398</v>
      </c>
      <c r="D101" s="1159" t="s">
        <v>3266</v>
      </c>
      <c r="E101" s="1120">
        <v>4000</v>
      </c>
      <c r="F101" s="1160" t="s">
        <v>3267</v>
      </c>
      <c r="G101" s="416" t="str">
        <f t="shared" si="4"/>
        <v xml:space="preserve">  </v>
      </c>
      <c r="H101" s="1159" t="s">
        <v>3131</v>
      </c>
      <c r="I101" s="415"/>
      <c r="J101" s="415"/>
      <c r="K101" s="948">
        <f t="shared" si="5"/>
        <v>5</v>
      </c>
      <c r="L101" s="1119">
        <v>12</v>
      </c>
      <c r="M101" s="1120">
        <f t="shared" si="6"/>
        <v>48000</v>
      </c>
      <c r="N101" s="1119">
        <v>2</v>
      </c>
      <c r="O101" s="1119">
        <v>6</v>
      </c>
      <c r="P101" s="1120">
        <f t="shared" si="7"/>
        <v>24000</v>
      </c>
      <c r="Q101" s="886"/>
      <c r="R101" s="886"/>
      <c r="S101" s="886"/>
    </row>
    <row r="102" spans="1:19" x14ac:dyDescent="0.2">
      <c r="A102" s="1152" t="s">
        <v>3091</v>
      </c>
      <c r="B102" s="415" t="s">
        <v>3092</v>
      </c>
      <c r="C102" s="1158" t="s">
        <v>398</v>
      </c>
      <c r="D102" s="1159" t="s">
        <v>3115</v>
      </c>
      <c r="E102" s="1120">
        <v>2500</v>
      </c>
      <c r="F102" s="1160" t="s">
        <v>3268</v>
      </c>
      <c r="G102" s="416" t="str">
        <f t="shared" si="4"/>
        <v xml:space="preserve">  </v>
      </c>
      <c r="H102" s="1159"/>
      <c r="I102" s="415"/>
      <c r="J102" s="415"/>
      <c r="K102" s="948">
        <f t="shared" si="5"/>
        <v>5</v>
      </c>
      <c r="L102" s="1119">
        <v>12</v>
      </c>
      <c r="M102" s="1120">
        <f t="shared" si="6"/>
        <v>30000</v>
      </c>
      <c r="N102" s="1119">
        <v>2</v>
      </c>
      <c r="O102" s="1119">
        <v>6</v>
      </c>
      <c r="P102" s="1120">
        <f t="shared" si="7"/>
        <v>15000</v>
      </c>
      <c r="Q102" s="886"/>
      <c r="R102" s="886"/>
      <c r="S102" s="886"/>
    </row>
    <row r="103" spans="1:19" ht="36" x14ac:dyDescent="0.2">
      <c r="A103" s="1152" t="s">
        <v>3091</v>
      </c>
      <c r="B103" s="415" t="s">
        <v>3092</v>
      </c>
      <c r="C103" s="1158" t="s">
        <v>398</v>
      </c>
      <c r="D103" s="1159" t="s">
        <v>3269</v>
      </c>
      <c r="E103" s="1120">
        <v>2500</v>
      </c>
      <c r="F103" s="1160" t="s">
        <v>3270</v>
      </c>
      <c r="G103" s="416" t="str">
        <f t="shared" si="4"/>
        <v xml:space="preserve">  </v>
      </c>
      <c r="H103" s="1159" t="s">
        <v>3131</v>
      </c>
      <c r="I103" s="415"/>
      <c r="J103" s="415"/>
      <c r="K103" s="948">
        <f t="shared" si="5"/>
        <v>5</v>
      </c>
      <c r="L103" s="1119">
        <v>12</v>
      </c>
      <c r="M103" s="1120">
        <f t="shared" si="6"/>
        <v>30000</v>
      </c>
      <c r="N103" s="1119">
        <v>2</v>
      </c>
      <c r="O103" s="1119">
        <v>6</v>
      </c>
      <c r="P103" s="1120">
        <f t="shared" si="7"/>
        <v>15000</v>
      </c>
      <c r="Q103" s="886"/>
      <c r="R103" s="886"/>
      <c r="S103" s="886"/>
    </row>
    <row r="104" spans="1:19" ht="48" x14ac:dyDescent="0.2">
      <c r="A104" s="1152" t="s">
        <v>3091</v>
      </c>
      <c r="B104" s="415" t="s">
        <v>3092</v>
      </c>
      <c r="C104" s="1158" t="s">
        <v>398</v>
      </c>
      <c r="D104" s="1159" t="s">
        <v>3115</v>
      </c>
      <c r="E104" s="1120">
        <v>1400</v>
      </c>
      <c r="F104" s="1160" t="s">
        <v>3271</v>
      </c>
      <c r="G104" s="416" t="str">
        <f t="shared" si="4"/>
        <v xml:space="preserve">  </v>
      </c>
      <c r="H104" s="1159" t="s">
        <v>3114</v>
      </c>
      <c r="I104" s="415"/>
      <c r="J104" s="415"/>
      <c r="K104" s="948">
        <f t="shared" si="5"/>
        <v>5</v>
      </c>
      <c r="L104" s="1119">
        <v>12</v>
      </c>
      <c r="M104" s="1120">
        <f t="shared" si="6"/>
        <v>16800</v>
      </c>
      <c r="N104" s="1119">
        <v>2</v>
      </c>
      <c r="O104" s="1119">
        <v>6</v>
      </c>
      <c r="P104" s="1120">
        <f t="shared" si="7"/>
        <v>8400</v>
      </c>
      <c r="Q104" s="886"/>
      <c r="R104" s="886"/>
      <c r="S104" s="886"/>
    </row>
    <row r="105" spans="1:19" ht="24" x14ac:dyDescent="0.2">
      <c r="A105" s="1152" t="s">
        <v>3091</v>
      </c>
      <c r="B105" s="415" t="s">
        <v>3092</v>
      </c>
      <c r="C105" s="1158" t="s">
        <v>398</v>
      </c>
      <c r="D105" s="1159" t="s">
        <v>3272</v>
      </c>
      <c r="E105" s="1120">
        <v>2500</v>
      </c>
      <c r="F105" s="1160" t="s">
        <v>3273</v>
      </c>
      <c r="G105" s="416" t="str">
        <f t="shared" si="4"/>
        <v xml:space="preserve">  </v>
      </c>
      <c r="H105" s="1159" t="s">
        <v>3274</v>
      </c>
      <c r="I105" s="415"/>
      <c r="J105" s="415"/>
      <c r="K105" s="948">
        <f t="shared" si="5"/>
        <v>5</v>
      </c>
      <c r="L105" s="1119">
        <v>12</v>
      </c>
      <c r="M105" s="1120">
        <f t="shared" si="6"/>
        <v>30000</v>
      </c>
      <c r="N105" s="1119">
        <v>2</v>
      </c>
      <c r="O105" s="1119">
        <v>6</v>
      </c>
      <c r="P105" s="1120">
        <f t="shared" si="7"/>
        <v>15000</v>
      </c>
      <c r="Q105" s="886"/>
      <c r="R105" s="886"/>
      <c r="S105" s="886"/>
    </row>
    <row r="106" spans="1:19" ht="36" x14ac:dyDescent="0.2">
      <c r="A106" s="1152" t="s">
        <v>3091</v>
      </c>
      <c r="B106" s="415" t="s">
        <v>3092</v>
      </c>
      <c r="C106" s="1158" t="s">
        <v>398</v>
      </c>
      <c r="D106" s="1159" t="s">
        <v>3275</v>
      </c>
      <c r="E106" s="1120">
        <v>1800</v>
      </c>
      <c r="F106" s="1160" t="s">
        <v>3276</v>
      </c>
      <c r="G106" s="416" t="str">
        <f t="shared" si="4"/>
        <v xml:space="preserve">  </v>
      </c>
      <c r="H106" s="1159"/>
      <c r="I106" s="415"/>
      <c r="J106" s="415"/>
      <c r="K106" s="948">
        <f t="shared" si="5"/>
        <v>5</v>
      </c>
      <c r="L106" s="1119">
        <v>12</v>
      </c>
      <c r="M106" s="1120">
        <f t="shared" si="6"/>
        <v>21600</v>
      </c>
      <c r="N106" s="1119">
        <v>2</v>
      </c>
      <c r="O106" s="1119">
        <v>6</v>
      </c>
      <c r="P106" s="1120">
        <f t="shared" si="7"/>
        <v>10800</v>
      </c>
      <c r="Q106" s="886"/>
      <c r="R106" s="886"/>
      <c r="S106" s="886"/>
    </row>
    <row r="107" spans="1:19" ht="24" x14ac:dyDescent="0.2">
      <c r="A107" s="1152" t="s">
        <v>3091</v>
      </c>
      <c r="B107" s="415" t="s">
        <v>3092</v>
      </c>
      <c r="C107" s="1158" t="s">
        <v>398</v>
      </c>
      <c r="D107" s="1159" t="s">
        <v>3277</v>
      </c>
      <c r="E107" s="1120">
        <v>2800</v>
      </c>
      <c r="F107" s="1160" t="s">
        <v>3278</v>
      </c>
      <c r="G107" s="416" t="str">
        <f t="shared" si="4"/>
        <v xml:space="preserve">  </v>
      </c>
      <c r="H107" s="1159" t="s">
        <v>3129</v>
      </c>
      <c r="I107" s="415"/>
      <c r="J107" s="415"/>
      <c r="K107" s="948">
        <f t="shared" si="5"/>
        <v>5</v>
      </c>
      <c r="L107" s="1119">
        <v>12</v>
      </c>
      <c r="M107" s="1120">
        <f t="shared" si="6"/>
        <v>33600</v>
      </c>
      <c r="N107" s="1119">
        <v>2</v>
      </c>
      <c r="O107" s="1119">
        <v>6</v>
      </c>
      <c r="P107" s="1120">
        <f t="shared" si="7"/>
        <v>16800</v>
      </c>
      <c r="Q107" s="886"/>
      <c r="R107" s="886"/>
      <c r="S107" s="886"/>
    </row>
    <row r="108" spans="1:19" x14ac:dyDescent="0.2">
      <c r="A108" s="1152" t="s">
        <v>3091</v>
      </c>
      <c r="B108" s="415" t="s">
        <v>3092</v>
      </c>
      <c r="C108" s="1158" t="s">
        <v>398</v>
      </c>
      <c r="D108" s="1159" t="s">
        <v>3279</v>
      </c>
      <c r="E108" s="1120">
        <v>3000</v>
      </c>
      <c r="F108" s="1160" t="s">
        <v>3280</v>
      </c>
      <c r="G108" s="416" t="str">
        <f t="shared" si="4"/>
        <v xml:space="preserve">  </v>
      </c>
      <c r="H108" s="1159" t="s">
        <v>3099</v>
      </c>
      <c r="I108" s="415"/>
      <c r="J108" s="415"/>
      <c r="K108" s="948">
        <f t="shared" si="5"/>
        <v>5</v>
      </c>
      <c r="L108" s="1119">
        <v>12</v>
      </c>
      <c r="M108" s="1120">
        <f t="shared" si="6"/>
        <v>36000</v>
      </c>
      <c r="N108" s="1119">
        <v>2</v>
      </c>
      <c r="O108" s="1119">
        <v>6</v>
      </c>
      <c r="P108" s="1120">
        <f t="shared" si="7"/>
        <v>18000</v>
      </c>
      <c r="Q108" s="886"/>
      <c r="R108" s="886"/>
      <c r="S108" s="886"/>
    </row>
    <row r="109" spans="1:19" ht="36" x14ac:dyDescent="0.2">
      <c r="A109" s="1152" t="s">
        <v>3091</v>
      </c>
      <c r="B109" s="415" t="s">
        <v>3092</v>
      </c>
      <c r="C109" s="1158" t="s">
        <v>398</v>
      </c>
      <c r="D109" s="1159" t="s">
        <v>3281</v>
      </c>
      <c r="E109" s="1120">
        <v>2600</v>
      </c>
      <c r="F109" s="1160" t="s">
        <v>3282</v>
      </c>
      <c r="G109" s="416" t="str">
        <f t="shared" si="4"/>
        <v xml:space="preserve">  </v>
      </c>
      <c r="H109" s="1159" t="s">
        <v>3283</v>
      </c>
      <c r="I109" s="415"/>
      <c r="J109" s="415"/>
      <c r="K109" s="948">
        <f t="shared" si="5"/>
        <v>5</v>
      </c>
      <c r="L109" s="1119">
        <v>12</v>
      </c>
      <c r="M109" s="1120">
        <f t="shared" si="6"/>
        <v>31200</v>
      </c>
      <c r="N109" s="1119">
        <v>2</v>
      </c>
      <c r="O109" s="1119">
        <v>6</v>
      </c>
      <c r="P109" s="1120">
        <f t="shared" si="7"/>
        <v>15600</v>
      </c>
      <c r="Q109" s="886"/>
      <c r="R109" s="886"/>
      <c r="S109" s="886"/>
    </row>
    <row r="110" spans="1:19" x14ac:dyDescent="0.2">
      <c r="A110" s="1152" t="s">
        <v>3091</v>
      </c>
      <c r="B110" s="415" t="s">
        <v>3092</v>
      </c>
      <c r="C110" s="1158" t="s">
        <v>398</v>
      </c>
      <c r="D110" s="1159" t="s">
        <v>3284</v>
      </c>
      <c r="E110" s="1120">
        <v>2500</v>
      </c>
      <c r="F110" s="1160" t="s">
        <v>3285</v>
      </c>
      <c r="G110" s="416" t="str">
        <f t="shared" si="4"/>
        <v xml:space="preserve">  </v>
      </c>
      <c r="H110" s="1159"/>
      <c r="I110" s="415"/>
      <c r="J110" s="415"/>
      <c r="K110" s="948">
        <f t="shared" si="5"/>
        <v>5</v>
      </c>
      <c r="L110" s="1119">
        <v>12</v>
      </c>
      <c r="M110" s="1120">
        <f t="shared" si="6"/>
        <v>30000</v>
      </c>
      <c r="N110" s="1119">
        <v>2</v>
      </c>
      <c r="O110" s="1119">
        <v>6</v>
      </c>
      <c r="P110" s="1120">
        <f t="shared" si="7"/>
        <v>15000</v>
      </c>
      <c r="Q110" s="886"/>
      <c r="R110" s="886"/>
      <c r="S110" s="886"/>
    </row>
    <row r="111" spans="1:19" ht="24" x14ac:dyDescent="0.2">
      <c r="A111" s="1152" t="s">
        <v>3091</v>
      </c>
      <c r="B111" s="415" t="s">
        <v>3092</v>
      </c>
      <c r="C111" s="1158" t="s">
        <v>398</v>
      </c>
      <c r="D111" s="1159" t="s">
        <v>3286</v>
      </c>
      <c r="E111" s="1120">
        <v>1700</v>
      </c>
      <c r="F111" s="1160" t="s">
        <v>3287</v>
      </c>
      <c r="G111" s="416" t="str">
        <f t="shared" si="4"/>
        <v xml:space="preserve">  </v>
      </c>
      <c r="H111" s="1159" t="s">
        <v>3288</v>
      </c>
      <c r="I111" s="415"/>
      <c r="J111" s="415"/>
      <c r="K111" s="948">
        <f t="shared" si="5"/>
        <v>5</v>
      </c>
      <c r="L111" s="1119">
        <v>12</v>
      </c>
      <c r="M111" s="1120">
        <f t="shared" si="6"/>
        <v>20400</v>
      </c>
      <c r="N111" s="1119">
        <v>2</v>
      </c>
      <c r="O111" s="1119">
        <v>6</v>
      </c>
      <c r="P111" s="1120">
        <f t="shared" si="7"/>
        <v>10200</v>
      </c>
      <c r="Q111" s="886"/>
      <c r="R111" s="886"/>
      <c r="S111" s="886"/>
    </row>
    <row r="112" spans="1:19" ht="24" x14ac:dyDescent="0.2">
      <c r="A112" s="1152" t="s">
        <v>3091</v>
      </c>
      <c r="B112" s="415" t="s">
        <v>3092</v>
      </c>
      <c r="C112" s="1158" t="s">
        <v>398</v>
      </c>
      <c r="D112" s="1159" t="s">
        <v>3289</v>
      </c>
      <c r="E112" s="1120">
        <v>930</v>
      </c>
      <c r="F112" s="1160" t="s">
        <v>3290</v>
      </c>
      <c r="G112" s="416" t="str">
        <f t="shared" si="4"/>
        <v xml:space="preserve">  </v>
      </c>
      <c r="H112" s="1159"/>
      <c r="I112" s="415"/>
      <c r="J112" s="415"/>
      <c r="K112" s="948">
        <f t="shared" si="5"/>
        <v>5</v>
      </c>
      <c r="L112" s="1119">
        <v>12</v>
      </c>
      <c r="M112" s="1120">
        <f t="shared" si="6"/>
        <v>11160</v>
      </c>
      <c r="N112" s="1119">
        <v>2</v>
      </c>
      <c r="O112" s="1119">
        <v>6</v>
      </c>
      <c r="P112" s="1120">
        <f t="shared" si="7"/>
        <v>5580</v>
      </c>
      <c r="Q112" s="886"/>
      <c r="R112" s="886"/>
      <c r="S112" s="886"/>
    </row>
    <row r="113" spans="1:19" x14ac:dyDescent="0.2">
      <c r="A113" s="1152" t="s">
        <v>3091</v>
      </c>
      <c r="B113" s="415" t="s">
        <v>3092</v>
      </c>
      <c r="C113" s="1158" t="s">
        <v>398</v>
      </c>
      <c r="D113" s="1159" t="s">
        <v>3115</v>
      </c>
      <c r="E113" s="1120">
        <v>1300</v>
      </c>
      <c r="F113" s="1160" t="s">
        <v>3291</v>
      </c>
      <c r="G113" s="416" t="str">
        <f t="shared" si="4"/>
        <v xml:space="preserve">  </v>
      </c>
      <c r="H113" s="1159" t="s">
        <v>3292</v>
      </c>
      <c r="I113" s="415"/>
      <c r="J113" s="415"/>
      <c r="K113" s="948">
        <f t="shared" si="5"/>
        <v>5</v>
      </c>
      <c r="L113" s="1119">
        <v>12</v>
      </c>
      <c r="M113" s="1120">
        <f t="shared" si="6"/>
        <v>15600</v>
      </c>
      <c r="N113" s="1119">
        <v>2</v>
      </c>
      <c r="O113" s="1119">
        <v>6</v>
      </c>
      <c r="P113" s="1120">
        <f t="shared" si="7"/>
        <v>7800</v>
      </c>
      <c r="Q113" s="886"/>
      <c r="R113" s="886"/>
      <c r="S113" s="886"/>
    </row>
    <row r="114" spans="1:19" x14ac:dyDescent="0.2">
      <c r="A114" s="1152" t="s">
        <v>3091</v>
      </c>
      <c r="B114" s="415" t="s">
        <v>3092</v>
      </c>
      <c r="C114" s="1158" t="s">
        <v>398</v>
      </c>
      <c r="D114" s="1159" t="s">
        <v>583</v>
      </c>
      <c r="E114" s="1120">
        <v>1600</v>
      </c>
      <c r="F114" s="1160" t="s">
        <v>3293</v>
      </c>
      <c r="G114" s="416" t="str">
        <f t="shared" si="4"/>
        <v xml:space="preserve">  </v>
      </c>
      <c r="H114" s="1159"/>
      <c r="I114" s="415"/>
      <c r="J114" s="415"/>
      <c r="K114" s="948">
        <f t="shared" si="5"/>
        <v>5</v>
      </c>
      <c r="L114" s="1119">
        <v>12</v>
      </c>
      <c r="M114" s="1120">
        <f t="shared" si="6"/>
        <v>19200</v>
      </c>
      <c r="N114" s="1119">
        <v>2</v>
      </c>
      <c r="O114" s="1119">
        <v>6</v>
      </c>
      <c r="P114" s="1120">
        <f t="shared" si="7"/>
        <v>9600</v>
      </c>
      <c r="Q114" s="886"/>
      <c r="R114" s="886"/>
      <c r="S114" s="886"/>
    </row>
    <row r="115" spans="1:19" x14ac:dyDescent="0.2">
      <c r="A115" s="1152" t="s">
        <v>3091</v>
      </c>
      <c r="B115" s="415" t="s">
        <v>3092</v>
      </c>
      <c r="C115" s="1158" t="s">
        <v>398</v>
      </c>
      <c r="D115" s="1159" t="s">
        <v>3294</v>
      </c>
      <c r="E115" s="1120">
        <v>2000</v>
      </c>
      <c r="F115" s="1160" t="s">
        <v>3295</v>
      </c>
      <c r="G115" s="416" t="str">
        <f t="shared" si="4"/>
        <v xml:space="preserve">  </v>
      </c>
      <c r="H115" s="1159"/>
      <c r="I115" s="415"/>
      <c r="J115" s="415"/>
      <c r="K115" s="948">
        <f t="shared" si="5"/>
        <v>5</v>
      </c>
      <c r="L115" s="1119">
        <v>12</v>
      </c>
      <c r="M115" s="1120">
        <f t="shared" si="6"/>
        <v>24000</v>
      </c>
      <c r="N115" s="1119">
        <v>2</v>
      </c>
      <c r="O115" s="1119">
        <v>6</v>
      </c>
      <c r="P115" s="1120">
        <f t="shared" si="7"/>
        <v>12000</v>
      </c>
      <c r="Q115" s="886"/>
      <c r="R115" s="886"/>
      <c r="S115" s="886"/>
    </row>
    <row r="116" spans="1:19" ht="24" x14ac:dyDescent="0.2">
      <c r="A116" s="1152" t="s">
        <v>3091</v>
      </c>
      <c r="B116" s="415" t="s">
        <v>3092</v>
      </c>
      <c r="C116" s="1158" t="s">
        <v>398</v>
      </c>
      <c r="D116" s="1159" t="s">
        <v>3175</v>
      </c>
      <c r="E116" s="1120">
        <v>2000</v>
      </c>
      <c r="F116" s="1160" t="s">
        <v>3296</v>
      </c>
      <c r="G116" s="416" t="str">
        <f t="shared" si="4"/>
        <v xml:space="preserve">  </v>
      </c>
      <c r="H116" s="1159"/>
      <c r="I116" s="415"/>
      <c r="J116" s="415"/>
      <c r="K116" s="948">
        <f t="shared" si="5"/>
        <v>5</v>
      </c>
      <c r="L116" s="1119">
        <v>12</v>
      </c>
      <c r="M116" s="1120">
        <f t="shared" si="6"/>
        <v>24000</v>
      </c>
      <c r="N116" s="1119">
        <v>2</v>
      </c>
      <c r="O116" s="1119">
        <v>6</v>
      </c>
      <c r="P116" s="1120">
        <f t="shared" si="7"/>
        <v>12000</v>
      </c>
      <c r="Q116" s="886"/>
      <c r="R116" s="886"/>
      <c r="S116" s="886"/>
    </row>
    <row r="117" spans="1:19" ht="24" x14ac:dyDescent="0.2">
      <c r="A117" s="1152" t="s">
        <v>3091</v>
      </c>
      <c r="B117" s="415" t="s">
        <v>3092</v>
      </c>
      <c r="C117" s="1158" t="s">
        <v>398</v>
      </c>
      <c r="D117" s="1159" t="s">
        <v>3277</v>
      </c>
      <c r="E117" s="1120">
        <v>2500</v>
      </c>
      <c r="F117" s="1160" t="s">
        <v>3297</v>
      </c>
      <c r="G117" s="416" t="str">
        <f t="shared" si="4"/>
        <v xml:space="preserve">  </v>
      </c>
      <c r="H117" s="1159" t="s">
        <v>3129</v>
      </c>
      <c r="I117" s="415"/>
      <c r="J117" s="415"/>
      <c r="K117" s="948">
        <f t="shared" si="5"/>
        <v>5</v>
      </c>
      <c r="L117" s="1119">
        <v>12</v>
      </c>
      <c r="M117" s="1120">
        <f t="shared" si="6"/>
        <v>30000</v>
      </c>
      <c r="N117" s="1119">
        <v>2</v>
      </c>
      <c r="O117" s="1119">
        <v>6</v>
      </c>
      <c r="P117" s="1120">
        <f t="shared" si="7"/>
        <v>15000</v>
      </c>
      <c r="Q117" s="886"/>
      <c r="R117" s="886"/>
      <c r="S117" s="886"/>
    </row>
    <row r="118" spans="1:19" ht="24" x14ac:dyDescent="0.2">
      <c r="A118" s="1152" t="s">
        <v>3091</v>
      </c>
      <c r="B118" s="415" t="s">
        <v>3092</v>
      </c>
      <c r="C118" s="1158" t="s">
        <v>398</v>
      </c>
      <c r="D118" s="1159" t="s">
        <v>3284</v>
      </c>
      <c r="E118" s="1120">
        <v>1800</v>
      </c>
      <c r="F118" s="1160" t="s">
        <v>3298</v>
      </c>
      <c r="G118" s="416" t="str">
        <f t="shared" si="4"/>
        <v xml:space="preserve">  </v>
      </c>
      <c r="H118" s="1159" t="s">
        <v>3124</v>
      </c>
      <c r="I118" s="415"/>
      <c r="J118" s="415"/>
      <c r="K118" s="948">
        <f t="shared" si="5"/>
        <v>5</v>
      </c>
      <c r="L118" s="1119">
        <v>12</v>
      </c>
      <c r="M118" s="1120">
        <f t="shared" si="6"/>
        <v>21600</v>
      </c>
      <c r="N118" s="1119">
        <v>2</v>
      </c>
      <c r="O118" s="1119">
        <v>6</v>
      </c>
      <c r="P118" s="1120">
        <f t="shared" si="7"/>
        <v>10800</v>
      </c>
      <c r="Q118" s="886"/>
      <c r="R118" s="886"/>
      <c r="S118" s="886"/>
    </row>
    <row r="119" spans="1:19" x14ac:dyDescent="0.2">
      <c r="A119" s="1152" t="s">
        <v>3091</v>
      </c>
      <c r="B119" s="415" t="s">
        <v>3092</v>
      </c>
      <c r="C119" s="1158" t="s">
        <v>398</v>
      </c>
      <c r="D119" s="1159" t="s">
        <v>3134</v>
      </c>
      <c r="E119" s="1120">
        <v>1200</v>
      </c>
      <c r="F119" s="1160" t="s">
        <v>3299</v>
      </c>
      <c r="G119" s="416" t="str">
        <f t="shared" si="4"/>
        <v xml:space="preserve">  </v>
      </c>
      <c r="H119" s="1159"/>
      <c r="I119" s="415"/>
      <c r="J119" s="415"/>
      <c r="K119" s="948">
        <f t="shared" si="5"/>
        <v>5</v>
      </c>
      <c r="L119" s="1119">
        <v>12</v>
      </c>
      <c r="M119" s="1120">
        <f t="shared" si="6"/>
        <v>14400</v>
      </c>
      <c r="N119" s="1119">
        <v>2</v>
      </c>
      <c r="O119" s="1119">
        <v>6</v>
      </c>
      <c r="P119" s="1120">
        <f t="shared" si="7"/>
        <v>7200</v>
      </c>
      <c r="Q119" s="886"/>
      <c r="R119" s="886"/>
      <c r="S119" s="886"/>
    </row>
    <row r="120" spans="1:19" ht="36" x14ac:dyDescent="0.2">
      <c r="A120" s="1152" t="s">
        <v>3091</v>
      </c>
      <c r="B120" s="415" t="s">
        <v>3092</v>
      </c>
      <c r="C120" s="1158" t="s">
        <v>398</v>
      </c>
      <c r="D120" s="1159" t="s">
        <v>3300</v>
      </c>
      <c r="E120" s="1120">
        <v>4000</v>
      </c>
      <c r="F120" s="1160" t="s">
        <v>3301</v>
      </c>
      <c r="G120" s="416" t="str">
        <f t="shared" si="4"/>
        <v xml:space="preserve">  </v>
      </c>
      <c r="H120" s="1159" t="s">
        <v>3302</v>
      </c>
      <c r="I120" s="415"/>
      <c r="J120" s="415"/>
      <c r="K120" s="948">
        <f t="shared" si="5"/>
        <v>5</v>
      </c>
      <c r="L120" s="1119">
        <v>12</v>
      </c>
      <c r="M120" s="1120">
        <f t="shared" si="6"/>
        <v>48000</v>
      </c>
      <c r="N120" s="1119">
        <v>2</v>
      </c>
      <c r="O120" s="1119">
        <v>6</v>
      </c>
      <c r="P120" s="1120">
        <f t="shared" si="7"/>
        <v>24000</v>
      </c>
      <c r="Q120" s="886"/>
      <c r="R120" s="886"/>
      <c r="S120" s="886"/>
    </row>
    <row r="121" spans="1:19" ht="36" x14ac:dyDescent="0.2">
      <c r="A121" s="1152" t="s">
        <v>3091</v>
      </c>
      <c r="B121" s="415" t="s">
        <v>3092</v>
      </c>
      <c r="C121" s="1158" t="s">
        <v>398</v>
      </c>
      <c r="D121" s="1159" t="s">
        <v>3303</v>
      </c>
      <c r="E121" s="1120">
        <v>2000</v>
      </c>
      <c r="F121" s="1160" t="s">
        <v>3304</v>
      </c>
      <c r="G121" s="416" t="str">
        <f t="shared" si="4"/>
        <v xml:space="preserve">  </v>
      </c>
      <c r="H121" s="1159" t="s">
        <v>3186</v>
      </c>
      <c r="I121" s="415"/>
      <c r="J121" s="415"/>
      <c r="K121" s="948">
        <f t="shared" si="5"/>
        <v>5</v>
      </c>
      <c r="L121" s="1119">
        <v>12</v>
      </c>
      <c r="M121" s="1120">
        <f t="shared" si="6"/>
        <v>24000</v>
      </c>
      <c r="N121" s="1119">
        <v>2</v>
      </c>
      <c r="O121" s="1119">
        <v>6</v>
      </c>
      <c r="P121" s="1120">
        <f t="shared" si="7"/>
        <v>12000</v>
      </c>
      <c r="Q121" s="886"/>
      <c r="R121" s="886"/>
      <c r="S121" s="886"/>
    </row>
    <row r="122" spans="1:19" x14ac:dyDescent="0.2">
      <c r="A122" s="1152" t="s">
        <v>3091</v>
      </c>
      <c r="B122" s="415" t="s">
        <v>3092</v>
      </c>
      <c r="C122" s="1158" t="s">
        <v>398</v>
      </c>
      <c r="D122" s="1159" t="s">
        <v>3305</v>
      </c>
      <c r="E122" s="1120">
        <v>1500</v>
      </c>
      <c r="F122" s="1160" t="s">
        <v>3306</v>
      </c>
      <c r="G122" s="416" t="str">
        <f t="shared" si="4"/>
        <v xml:space="preserve">  </v>
      </c>
      <c r="H122" s="1159"/>
      <c r="I122" s="415"/>
      <c r="J122" s="415"/>
      <c r="K122" s="948">
        <f t="shared" si="5"/>
        <v>5</v>
      </c>
      <c r="L122" s="1119">
        <v>12</v>
      </c>
      <c r="M122" s="1120">
        <f t="shared" si="6"/>
        <v>18000</v>
      </c>
      <c r="N122" s="1119">
        <v>2</v>
      </c>
      <c r="O122" s="1119">
        <v>6</v>
      </c>
      <c r="P122" s="1120">
        <f t="shared" si="7"/>
        <v>9000</v>
      </c>
      <c r="Q122" s="886"/>
      <c r="R122" s="886"/>
      <c r="S122" s="886"/>
    </row>
    <row r="123" spans="1:19" x14ac:dyDescent="0.2">
      <c r="A123" s="1152" t="s">
        <v>3091</v>
      </c>
      <c r="B123" s="415" t="s">
        <v>3092</v>
      </c>
      <c r="C123" s="1158" t="s">
        <v>398</v>
      </c>
      <c r="D123" s="1159" t="s">
        <v>3307</v>
      </c>
      <c r="E123" s="1120">
        <v>5950</v>
      </c>
      <c r="F123" s="1160" t="s">
        <v>3308</v>
      </c>
      <c r="G123" s="416" t="str">
        <f t="shared" si="4"/>
        <v xml:space="preserve">  </v>
      </c>
      <c r="H123" s="1159"/>
      <c r="I123" s="415"/>
      <c r="J123" s="415"/>
      <c r="K123" s="948">
        <f t="shared" si="5"/>
        <v>5</v>
      </c>
      <c r="L123" s="1119">
        <v>12</v>
      </c>
      <c r="M123" s="1120">
        <f t="shared" si="6"/>
        <v>71400</v>
      </c>
      <c r="N123" s="1119">
        <v>2</v>
      </c>
      <c r="O123" s="1119">
        <v>6</v>
      </c>
      <c r="P123" s="1120">
        <f t="shared" si="7"/>
        <v>35700</v>
      </c>
      <c r="Q123" s="886"/>
      <c r="R123" s="886"/>
      <c r="S123" s="886"/>
    </row>
    <row r="124" spans="1:19" ht="24" x14ac:dyDescent="0.2">
      <c r="A124" s="1152" t="s">
        <v>3091</v>
      </c>
      <c r="B124" s="415" t="s">
        <v>3092</v>
      </c>
      <c r="C124" s="1158" t="s">
        <v>398</v>
      </c>
      <c r="D124" s="1159" t="s">
        <v>3309</v>
      </c>
      <c r="E124" s="1120">
        <v>3500</v>
      </c>
      <c r="F124" s="1160" t="s">
        <v>3310</v>
      </c>
      <c r="G124" s="416" t="str">
        <f t="shared" si="4"/>
        <v xml:space="preserve">  </v>
      </c>
      <c r="H124" s="1159"/>
      <c r="I124" s="415"/>
      <c r="J124" s="415"/>
      <c r="K124" s="948">
        <f t="shared" si="5"/>
        <v>5</v>
      </c>
      <c r="L124" s="1119">
        <v>12</v>
      </c>
      <c r="M124" s="1120">
        <f t="shared" si="6"/>
        <v>42000</v>
      </c>
      <c r="N124" s="1119">
        <v>2</v>
      </c>
      <c r="O124" s="1119">
        <v>6</v>
      </c>
      <c r="P124" s="1120">
        <f t="shared" si="7"/>
        <v>21000</v>
      </c>
      <c r="Q124" s="886"/>
      <c r="R124" s="886"/>
      <c r="S124" s="886"/>
    </row>
    <row r="125" spans="1:19" x14ac:dyDescent="0.2">
      <c r="A125" s="1152" t="s">
        <v>3091</v>
      </c>
      <c r="B125" s="415" t="s">
        <v>3092</v>
      </c>
      <c r="C125" s="1158" t="s">
        <v>398</v>
      </c>
      <c r="D125" s="1159"/>
      <c r="E125" s="1120">
        <v>1100</v>
      </c>
      <c r="F125" s="1160" t="s">
        <v>3311</v>
      </c>
      <c r="G125" s="416" t="str">
        <f t="shared" si="4"/>
        <v xml:space="preserve">  </v>
      </c>
      <c r="H125" s="1159"/>
      <c r="I125" s="415"/>
      <c r="J125" s="415"/>
      <c r="K125" s="948">
        <f t="shared" si="5"/>
        <v>5</v>
      </c>
      <c r="L125" s="1119">
        <v>12</v>
      </c>
      <c r="M125" s="1120">
        <f t="shared" si="6"/>
        <v>13200</v>
      </c>
      <c r="N125" s="1119">
        <v>2</v>
      </c>
      <c r="O125" s="1119">
        <v>6</v>
      </c>
      <c r="P125" s="1120">
        <f t="shared" si="7"/>
        <v>6600</v>
      </c>
      <c r="Q125" s="886"/>
      <c r="R125" s="886"/>
      <c r="S125" s="886"/>
    </row>
    <row r="126" spans="1:19" x14ac:dyDescent="0.2">
      <c r="A126" s="1152" t="s">
        <v>3091</v>
      </c>
      <c r="B126" s="415" t="s">
        <v>3092</v>
      </c>
      <c r="C126" s="1158" t="s">
        <v>398</v>
      </c>
      <c r="D126" s="1159" t="s">
        <v>3312</v>
      </c>
      <c r="E126" s="1120">
        <v>930</v>
      </c>
      <c r="F126" s="1160" t="s">
        <v>3313</v>
      </c>
      <c r="G126" s="416" t="str">
        <f t="shared" si="4"/>
        <v xml:space="preserve">  </v>
      </c>
      <c r="H126" s="1159"/>
      <c r="I126" s="415"/>
      <c r="J126" s="415"/>
      <c r="K126" s="948">
        <f t="shared" si="5"/>
        <v>5</v>
      </c>
      <c r="L126" s="1119">
        <v>12</v>
      </c>
      <c r="M126" s="1120">
        <f t="shared" si="6"/>
        <v>11160</v>
      </c>
      <c r="N126" s="1119">
        <v>2</v>
      </c>
      <c r="O126" s="1119">
        <v>6</v>
      </c>
      <c r="P126" s="1120">
        <f t="shared" si="7"/>
        <v>5580</v>
      </c>
      <c r="Q126" s="886"/>
      <c r="R126" s="886"/>
      <c r="S126" s="886"/>
    </row>
    <row r="127" spans="1:19" x14ac:dyDescent="0.2">
      <c r="A127" s="1152" t="s">
        <v>3091</v>
      </c>
      <c r="B127" s="415" t="s">
        <v>3092</v>
      </c>
      <c r="C127" s="1158" t="s">
        <v>398</v>
      </c>
      <c r="D127" s="1159" t="s">
        <v>3314</v>
      </c>
      <c r="E127" s="1120">
        <v>1000</v>
      </c>
      <c r="F127" s="1160" t="s">
        <v>3315</v>
      </c>
      <c r="G127" s="416" t="str">
        <f t="shared" si="4"/>
        <v xml:space="preserve">  </v>
      </c>
      <c r="H127" s="1159"/>
      <c r="I127" s="415"/>
      <c r="J127" s="415"/>
      <c r="K127" s="948">
        <f t="shared" si="5"/>
        <v>5</v>
      </c>
      <c r="L127" s="1119">
        <v>12</v>
      </c>
      <c r="M127" s="1120">
        <f t="shared" si="6"/>
        <v>12000</v>
      </c>
      <c r="N127" s="1119">
        <v>2</v>
      </c>
      <c r="O127" s="1119">
        <v>6</v>
      </c>
      <c r="P127" s="1120">
        <f t="shared" si="7"/>
        <v>6000</v>
      </c>
      <c r="Q127" s="886"/>
      <c r="R127" s="886"/>
      <c r="S127" s="886"/>
    </row>
    <row r="128" spans="1:19" ht="24" x14ac:dyDescent="0.2">
      <c r="A128" s="1152" t="s">
        <v>3091</v>
      </c>
      <c r="B128" s="415" t="s">
        <v>3092</v>
      </c>
      <c r="C128" s="1158" t="s">
        <v>398</v>
      </c>
      <c r="D128" s="1159" t="s">
        <v>3316</v>
      </c>
      <c r="E128" s="1120">
        <v>1800</v>
      </c>
      <c r="F128" s="1160" t="s">
        <v>3317</v>
      </c>
      <c r="G128" s="416" t="str">
        <f t="shared" si="4"/>
        <v xml:space="preserve">  </v>
      </c>
      <c r="H128" s="1159" t="s">
        <v>2729</v>
      </c>
      <c r="I128" s="415"/>
      <c r="J128" s="415"/>
      <c r="K128" s="948">
        <f t="shared" si="5"/>
        <v>5</v>
      </c>
      <c r="L128" s="1119">
        <v>12</v>
      </c>
      <c r="M128" s="1120">
        <f t="shared" si="6"/>
        <v>21600</v>
      </c>
      <c r="N128" s="1119">
        <v>2</v>
      </c>
      <c r="O128" s="1119">
        <v>6</v>
      </c>
      <c r="P128" s="1120">
        <f t="shared" si="7"/>
        <v>10800</v>
      </c>
      <c r="Q128" s="886"/>
      <c r="R128" s="886"/>
      <c r="S128" s="886"/>
    </row>
    <row r="129" spans="1:19" ht="24" x14ac:dyDescent="0.2">
      <c r="A129" s="1152" t="s">
        <v>3091</v>
      </c>
      <c r="B129" s="415" t="s">
        <v>3092</v>
      </c>
      <c r="C129" s="1158" t="s">
        <v>398</v>
      </c>
      <c r="D129" s="1159" t="s">
        <v>3318</v>
      </c>
      <c r="E129" s="1120">
        <v>2200</v>
      </c>
      <c r="F129" s="1160" t="s">
        <v>3319</v>
      </c>
      <c r="G129" s="416" t="str">
        <f t="shared" si="4"/>
        <v xml:space="preserve">  </v>
      </c>
      <c r="H129" s="1159"/>
      <c r="I129" s="415"/>
      <c r="J129" s="415"/>
      <c r="K129" s="948">
        <f t="shared" si="5"/>
        <v>5</v>
      </c>
      <c r="L129" s="1119">
        <v>12</v>
      </c>
      <c r="M129" s="1120">
        <f t="shared" si="6"/>
        <v>26400</v>
      </c>
      <c r="N129" s="1119">
        <v>2</v>
      </c>
      <c r="O129" s="1119">
        <v>6</v>
      </c>
      <c r="P129" s="1120">
        <f t="shared" si="7"/>
        <v>13200</v>
      </c>
      <c r="Q129" s="886"/>
      <c r="R129" s="886"/>
      <c r="S129" s="886"/>
    </row>
    <row r="130" spans="1:19" ht="24" x14ac:dyDescent="0.2">
      <c r="A130" s="1152" t="s">
        <v>3091</v>
      </c>
      <c r="B130" s="415" t="s">
        <v>3092</v>
      </c>
      <c r="C130" s="1158" t="s">
        <v>398</v>
      </c>
      <c r="D130" s="1159" t="s">
        <v>3100</v>
      </c>
      <c r="E130" s="1120">
        <v>1800</v>
      </c>
      <c r="F130" s="1160" t="s">
        <v>3320</v>
      </c>
      <c r="G130" s="416" t="str">
        <f t="shared" si="4"/>
        <v xml:space="preserve">  </v>
      </c>
      <c r="H130" s="1159" t="s">
        <v>3109</v>
      </c>
      <c r="I130" s="415"/>
      <c r="J130" s="415"/>
      <c r="K130" s="948">
        <f t="shared" si="5"/>
        <v>5</v>
      </c>
      <c r="L130" s="1119">
        <v>12</v>
      </c>
      <c r="M130" s="1120">
        <f t="shared" si="6"/>
        <v>21600</v>
      </c>
      <c r="N130" s="1119">
        <v>2</v>
      </c>
      <c r="O130" s="1119">
        <v>6</v>
      </c>
      <c r="P130" s="1120">
        <f t="shared" si="7"/>
        <v>10800</v>
      </c>
      <c r="Q130" s="886"/>
      <c r="R130" s="886"/>
      <c r="S130" s="886"/>
    </row>
    <row r="131" spans="1:19" ht="36" x14ac:dyDescent="0.2">
      <c r="A131" s="1152" t="s">
        <v>3091</v>
      </c>
      <c r="B131" s="415" t="s">
        <v>3092</v>
      </c>
      <c r="C131" s="1158" t="s">
        <v>398</v>
      </c>
      <c r="D131" s="1159" t="s">
        <v>3100</v>
      </c>
      <c r="E131" s="1120">
        <v>1500</v>
      </c>
      <c r="F131" s="1160" t="s">
        <v>3321</v>
      </c>
      <c r="G131" s="416" t="str">
        <f t="shared" si="4"/>
        <v xml:space="preserve">  </v>
      </c>
      <c r="H131" s="1159" t="s">
        <v>3322</v>
      </c>
      <c r="I131" s="415"/>
      <c r="J131" s="415"/>
      <c r="K131" s="948">
        <f t="shared" si="5"/>
        <v>5</v>
      </c>
      <c r="L131" s="1119">
        <v>12</v>
      </c>
      <c r="M131" s="1120">
        <f t="shared" si="6"/>
        <v>18000</v>
      </c>
      <c r="N131" s="1119">
        <v>2</v>
      </c>
      <c r="O131" s="1119">
        <v>6</v>
      </c>
      <c r="P131" s="1120">
        <f t="shared" si="7"/>
        <v>9000</v>
      </c>
      <c r="Q131" s="886"/>
      <c r="R131" s="886"/>
      <c r="S131" s="886"/>
    </row>
    <row r="132" spans="1:19" x14ac:dyDescent="0.2">
      <c r="A132" s="1152" t="s">
        <v>3091</v>
      </c>
      <c r="B132" s="415" t="s">
        <v>3092</v>
      </c>
      <c r="C132" s="1158" t="s">
        <v>398</v>
      </c>
      <c r="D132" s="1159" t="s">
        <v>3323</v>
      </c>
      <c r="E132" s="1120">
        <v>2000</v>
      </c>
      <c r="F132" s="1160" t="s">
        <v>3324</v>
      </c>
      <c r="G132" s="416" t="str">
        <f t="shared" si="4"/>
        <v xml:space="preserve">  </v>
      </c>
      <c r="H132" s="1159"/>
      <c r="I132" s="415"/>
      <c r="J132" s="415"/>
      <c r="K132" s="948">
        <f t="shared" si="5"/>
        <v>5</v>
      </c>
      <c r="L132" s="1119">
        <v>12</v>
      </c>
      <c r="M132" s="1120">
        <f t="shared" si="6"/>
        <v>24000</v>
      </c>
      <c r="N132" s="1119">
        <v>2</v>
      </c>
      <c r="O132" s="1119">
        <v>6</v>
      </c>
      <c r="P132" s="1120">
        <f t="shared" si="7"/>
        <v>12000</v>
      </c>
      <c r="Q132" s="886"/>
      <c r="R132" s="886"/>
      <c r="S132" s="886"/>
    </row>
    <row r="133" spans="1:19" x14ac:dyDescent="0.2">
      <c r="A133" s="1152" t="s">
        <v>3091</v>
      </c>
      <c r="B133" s="415" t="s">
        <v>3092</v>
      </c>
      <c r="C133" s="1158" t="s">
        <v>398</v>
      </c>
      <c r="D133" s="1159" t="s">
        <v>3115</v>
      </c>
      <c r="E133" s="1120">
        <v>1500</v>
      </c>
      <c r="F133" s="1160" t="s">
        <v>3325</v>
      </c>
      <c r="G133" s="416" t="str">
        <f t="shared" si="4"/>
        <v xml:space="preserve">  </v>
      </c>
      <c r="H133" s="1159"/>
      <c r="I133" s="415"/>
      <c r="J133" s="415"/>
      <c r="K133" s="948">
        <f t="shared" si="5"/>
        <v>5</v>
      </c>
      <c r="L133" s="1119">
        <v>12</v>
      </c>
      <c r="M133" s="1120">
        <f t="shared" si="6"/>
        <v>18000</v>
      </c>
      <c r="N133" s="1119">
        <v>2</v>
      </c>
      <c r="O133" s="1119">
        <v>6</v>
      </c>
      <c r="P133" s="1120">
        <f t="shared" si="7"/>
        <v>9000</v>
      </c>
      <c r="Q133" s="886"/>
      <c r="R133" s="886"/>
      <c r="S133" s="886"/>
    </row>
    <row r="134" spans="1:19" x14ac:dyDescent="0.2">
      <c r="A134" s="1152" t="s">
        <v>3091</v>
      </c>
      <c r="B134" s="415" t="s">
        <v>3092</v>
      </c>
      <c r="C134" s="1158" t="s">
        <v>398</v>
      </c>
      <c r="D134" s="1159" t="s">
        <v>3099</v>
      </c>
      <c r="E134" s="1120">
        <v>3000</v>
      </c>
      <c r="F134" s="1160" t="s">
        <v>3326</v>
      </c>
      <c r="G134" s="416" t="str">
        <f t="shared" si="4"/>
        <v xml:space="preserve">  </v>
      </c>
      <c r="H134" s="1159"/>
      <c r="I134" s="415"/>
      <c r="J134" s="415"/>
      <c r="K134" s="948">
        <f t="shared" si="5"/>
        <v>5</v>
      </c>
      <c r="L134" s="1119">
        <v>12</v>
      </c>
      <c r="M134" s="1120">
        <f t="shared" si="6"/>
        <v>36000</v>
      </c>
      <c r="N134" s="1119">
        <v>2</v>
      </c>
      <c r="O134" s="1119">
        <v>6</v>
      </c>
      <c r="P134" s="1120">
        <f t="shared" si="7"/>
        <v>18000</v>
      </c>
      <c r="Q134" s="886"/>
      <c r="R134" s="886"/>
      <c r="S134" s="886"/>
    </row>
    <row r="135" spans="1:19" x14ac:dyDescent="0.2">
      <c r="A135" s="1152" t="s">
        <v>3091</v>
      </c>
      <c r="B135" s="415" t="s">
        <v>3092</v>
      </c>
      <c r="C135" s="1158" t="s">
        <v>398</v>
      </c>
      <c r="D135" s="1159" t="s">
        <v>3327</v>
      </c>
      <c r="E135" s="1120">
        <v>2000</v>
      </c>
      <c r="F135" s="1160" t="s">
        <v>3328</v>
      </c>
      <c r="G135" s="416" t="str">
        <f t="shared" si="4"/>
        <v xml:space="preserve">  </v>
      </c>
      <c r="H135" s="1159"/>
      <c r="I135" s="415"/>
      <c r="J135" s="415"/>
      <c r="K135" s="948">
        <f t="shared" si="5"/>
        <v>5</v>
      </c>
      <c r="L135" s="1119">
        <v>12</v>
      </c>
      <c r="M135" s="1120">
        <f t="shared" si="6"/>
        <v>24000</v>
      </c>
      <c r="N135" s="1119">
        <v>2</v>
      </c>
      <c r="O135" s="1119">
        <v>6</v>
      </c>
      <c r="P135" s="1120">
        <f t="shared" si="7"/>
        <v>12000</v>
      </c>
      <c r="Q135" s="886"/>
      <c r="R135" s="886"/>
      <c r="S135" s="886"/>
    </row>
    <row r="136" spans="1:19" x14ac:dyDescent="0.2">
      <c r="A136" s="1152" t="s">
        <v>3091</v>
      </c>
      <c r="B136" s="415" t="s">
        <v>3092</v>
      </c>
      <c r="C136" s="1158" t="s">
        <v>398</v>
      </c>
      <c r="D136" s="1159" t="s">
        <v>3164</v>
      </c>
      <c r="E136" s="1120">
        <v>2500</v>
      </c>
      <c r="F136" s="1160" t="s">
        <v>3329</v>
      </c>
      <c r="G136" s="416" t="str">
        <f t="shared" ref="G136:G199" si="8">CONCATENATE(W136," ",X136," ",Y136)</f>
        <v xml:space="preserve">  </v>
      </c>
      <c r="H136" s="1159"/>
      <c r="I136" s="415"/>
      <c r="J136" s="415"/>
      <c r="K136" s="948">
        <f t="shared" si="5"/>
        <v>5</v>
      </c>
      <c r="L136" s="1119">
        <v>12</v>
      </c>
      <c r="M136" s="1120">
        <f t="shared" si="6"/>
        <v>30000</v>
      </c>
      <c r="N136" s="1119">
        <v>2</v>
      </c>
      <c r="O136" s="1119">
        <v>6</v>
      </c>
      <c r="P136" s="1120">
        <f t="shared" si="7"/>
        <v>15000</v>
      </c>
      <c r="Q136" s="886"/>
      <c r="R136" s="886"/>
      <c r="S136" s="886"/>
    </row>
    <row r="137" spans="1:19" x14ac:dyDescent="0.2">
      <c r="A137" s="1152" t="s">
        <v>3091</v>
      </c>
      <c r="B137" s="415" t="s">
        <v>3092</v>
      </c>
      <c r="C137" s="1158" t="s">
        <v>398</v>
      </c>
      <c r="D137" s="1159" t="s">
        <v>3330</v>
      </c>
      <c r="E137" s="1120">
        <v>1000</v>
      </c>
      <c r="F137" s="1160" t="s">
        <v>3331</v>
      </c>
      <c r="G137" s="416" t="str">
        <f t="shared" si="8"/>
        <v xml:space="preserve">  </v>
      </c>
      <c r="H137" s="1159"/>
      <c r="I137" s="415"/>
      <c r="J137" s="415"/>
      <c r="K137" s="948">
        <f t="shared" ref="K137:K200" si="9">1+4</f>
        <v>5</v>
      </c>
      <c r="L137" s="1119">
        <v>12</v>
      </c>
      <c r="M137" s="1120">
        <f t="shared" ref="M137:M200" si="10">E137*L137</f>
        <v>12000</v>
      </c>
      <c r="N137" s="1119">
        <v>2</v>
      </c>
      <c r="O137" s="1119">
        <v>6</v>
      </c>
      <c r="P137" s="1120">
        <f t="shared" ref="P137:P200" si="11">E137*O137</f>
        <v>6000</v>
      </c>
      <c r="Q137" s="886"/>
      <c r="R137" s="886"/>
      <c r="S137" s="886"/>
    </row>
    <row r="138" spans="1:19" x14ac:dyDescent="0.2">
      <c r="A138" s="1152" t="s">
        <v>3091</v>
      </c>
      <c r="B138" s="415" t="s">
        <v>3092</v>
      </c>
      <c r="C138" s="1158" t="s">
        <v>398</v>
      </c>
      <c r="D138" s="1159" t="s">
        <v>3160</v>
      </c>
      <c r="E138" s="1120">
        <v>3000</v>
      </c>
      <c r="F138" s="1160" t="s">
        <v>3332</v>
      </c>
      <c r="G138" s="416" t="str">
        <f t="shared" si="8"/>
        <v xml:space="preserve">  </v>
      </c>
      <c r="H138" s="1159" t="s">
        <v>3099</v>
      </c>
      <c r="I138" s="415"/>
      <c r="J138" s="415"/>
      <c r="K138" s="948">
        <f t="shared" si="9"/>
        <v>5</v>
      </c>
      <c r="L138" s="1119">
        <v>12</v>
      </c>
      <c r="M138" s="1120">
        <f t="shared" si="10"/>
        <v>36000</v>
      </c>
      <c r="N138" s="1119">
        <v>2</v>
      </c>
      <c r="O138" s="1119">
        <v>6</v>
      </c>
      <c r="P138" s="1120">
        <f t="shared" si="11"/>
        <v>18000</v>
      </c>
      <c r="Q138" s="886"/>
      <c r="R138" s="886"/>
      <c r="S138" s="886"/>
    </row>
    <row r="139" spans="1:19" ht="36" x14ac:dyDescent="0.2">
      <c r="A139" s="1152" t="s">
        <v>3091</v>
      </c>
      <c r="B139" s="415" t="s">
        <v>3092</v>
      </c>
      <c r="C139" s="1158" t="s">
        <v>398</v>
      </c>
      <c r="D139" s="1159" t="s">
        <v>3112</v>
      </c>
      <c r="E139" s="1120">
        <v>1000</v>
      </c>
      <c r="F139" s="1160" t="s">
        <v>3333</v>
      </c>
      <c r="G139" s="416" t="str">
        <f t="shared" si="8"/>
        <v xml:space="preserve">  </v>
      </c>
      <c r="H139" s="1159" t="s">
        <v>3334</v>
      </c>
      <c r="I139" s="415"/>
      <c r="J139" s="415"/>
      <c r="K139" s="948">
        <f t="shared" si="9"/>
        <v>5</v>
      </c>
      <c r="L139" s="1119">
        <v>12</v>
      </c>
      <c r="M139" s="1120">
        <f t="shared" si="10"/>
        <v>12000</v>
      </c>
      <c r="N139" s="1119">
        <v>2</v>
      </c>
      <c r="O139" s="1119">
        <v>6</v>
      </c>
      <c r="P139" s="1120">
        <f t="shared" si="11"/>
        <v>6000</v>
      </c>
      <c r="Q139" s="886"/>
      <c r="R139" s="886"/>
      <c r="S139" s="886"/>
    </row>
    <row r="140" spans="1:19" x14ac:dyDescent="0.2">
      <c r="A140" s="1152" t="s">
        <v>3091</v>
      </c>
      <c r="B140" s="415" t="s">
        <v>3092</v>
      </c>
      <c r="C140" s="1158" t="s">
        <v>398</v>
      </c>
      <c r="D140" s="1159" t="s">
        <v>3103</v>
      </c>
      <c r="E140" s="1120">
        <v>1400</v>
      </c>
      <c r="F140" s="1160" t="s">
        <v>3335</v>
      </c>
      <c r="G140" s="416" t="str">
        <f t="shared" si="8"/>
        <v xml:space="preserve">  </v>
      </c>
      <c r="H140" s="1159" t="s">
        <v>3099</v>
      </c>
      <c r="I140" s="415"/>
      <c r="J140" s="415"/>
      <c r="K140" s="948">
        <f t="shared" si="9"/>
        <v>5</v>
      </c>
      <c r="L140" s="1119">
        <v>12</v>
      </c>
      <c r="M140" s="1120">
        <f t="shared" si="10"/>
        <v>16800</v>
      </c>
      <c r="N140" s="1119">
        <v>2</v>
      </c>
      <c r="O140" s="1119">
        <v>6</v>
      </c>
      <c r="P140" s="1120">
        <f t="shared" si="11"/>
        <v>8400</v>
      </c>
      <c r="Q140" s="886"/>
      <c r="R140" s="886"/>
      <c r="S140" s="886"/>
    </row>
    <row r="141" spans="1:19" x14ac:dyDescent="0.2">
      <c r="A141" s="1152" t="s">
        <v>3091</v>
      </c>
      <c r="B141" s="415" t="s">
        <v>3092</v>
      </c>
      <c r="C141" s="1158" t="s">
        <v>398</v>
      </c>
      <c r="D141" s="1159" t="s">
        <v>3112</v>
      </c>
      <c r="E141" s="1120">
        <v>1400</v>
      </c>
      <c r="F141" s="1160" t="s">
        <v>3336</v>
      </c>
      <c r="G141" s="416" t="str">
        <f t="shared" si="8"/>
        <v xml:space="preserve">  </v>
      </c>
      <c r="H141" s="1159"/>
      <c r="I141" s="415"/>
      <c r="J141" s="415"/>
      <c r="K141" s="948">
        <f t="shared" si="9"/>
        <v>5</v>
      </c>
      <c r="L141" s="1119">
        <v>12</v>
      </c>
      <c r="M141" s="1120">
        <f t="shared" si="10"/>
        <v>16800</v>
      </c>
      <c r="N141" s="1119">
        <v>2</v>
      </c>
      <c r="O141" s="1119">
        <v>6</v>
      </c>
      <c r="P141" s="1120">
        <f t="shared" si="11"/>
        <v>8400</v>
      </c>
      <c r="Q141" s="886"/>
      <c r="R141" s="886"/>
      <c r="S141" s="886"/>
    </row>
    <row r="142" spans="1:19" x14ac:dyDescent="0.2">
      <c r="A142" s="1152" t="s">
        <v>3091</v>
      </c>
      <c r="B142" s="415" t="s">
        <v>3092</v>
      </c>
      <c r="C142" s="1158" t="s">
        <v>398</v>
      </c>
      <c r="D142" s="1159" t="s">
        <v>3337</v>
      </c>
      <c r="E142" s="1120">
        <v>1800</v>
      </c>
      <c r="F142" s="1160" t="s">
        <v>3338</v>
      </c>
      <c r="G142" s="416" t="str">
        <f t="shared" si="8"/>
        <v xml:space="preserve">  </v>
      </c>
      <c r="H142" s="1159"/>
      <c r="I142" s="415"/>
      <c r="J142" s="415"/>
      <c r="K142" s="948">
        <f t="shared" si="9"/>
        <v>5</v>
      </c>
      <c r="L142" s="1119">
        <v>12</v>
      </c>
      <c r="M142" s="1120">
        <f t="shared" si="10"/>
        <v>21600</v>
      </c>
      <c r="N142" s="1119">
        <v>2</v>
      </c>
      <c r="O142" s="1119">
        <v>6</v>
      </c>
      <c r="P142" s="1120">
        <f t="shared" si="11"/>
        <v>10800</v>
      </c>
      <c r="Q142" s="886"/>
      <c r="R142" s="886"/>
      <c r="S142" s="886"/>
    </row>
    <row r="143" spans="1:19" ht="24" x14ac:dyDescent="0.2">
      <c r="A143" s="1152" t="s">
        <v>3091</v>
      </c>
      <c r="B143" s="415" t="s">
        <v>3092</v>
      </c>
      <c r="C143" s="1158" t="s">
        <v>398</v>
      </c>
      <c r="D143" s="1159" t="s">
        <v>3339</v>
      </c>
      <c r="E143" s="1120">
        <v>3000</v>
      </c>
      <c r="F143" s="1160" t="s">
        <v>3340</v>
      </c>
      <c r="G143" s="416" t="str">
        <f t="shared" si="8"/>
        <v xml:space="preserve">  </v>
      </c>
      <c r="H143" s="1159" t="s">
        <v>3129</v>
      </c>
      <c r="I143" s="415"/>
      <c r="J143" s="415"/>
      <c r="K143" s="948">
        <f t="shared" si="9"/>
        <v>5</v>
      </c>
      <c r="L143" s="1119">
        <v>12</v>
      </c>
      <c r="M143" s="1120">
        <f t="shared" si="10"/>
        <v>36000</v>
      </c>
      <c r="N143" s="1119">
        <v>2</v>
      </c>
      <c r="O143" s="1119">
        <v>6</v>
      </c>
      <c r="P143" s="1120">
        <f t="shared" si="11"/>
        <v>18000</v>
      </c>
      <c r="Q143" s="886"/>
      <c r="R143" s="886"/>
      <c r="S143" s="886"/>
    </row>
    <row r="144" spans="1:19" ht="24" x14ac:dyDescent="0.2">
      <c r="A144" s="1152" t="s">
        <v>3091</v>
      </c>
      <c r="B144" s="415" t="s">
        <v>3092</v>
      </c>
      <c r="C144" s="1158" t="s">
        <v>398</v>
      </c>
      <c r="D144" s="1159" t="s">
        <v>3115</v>
      </c>
      <c r="E144" s="1120">
        <v>2500</v>
      </c>
      <c r="F144" s="1160" t="s">
        <v>3341</v>
      </c>
      <c r="G144" s="416" t="str">
        <f t="shared" si="8"/>
        <v xml:space="preserve">  </v>
      </c>
      <c r="H144" s="1159" t="s">
        <v>3171</v>
      </c>
      <c r="I144" s="415"/>
      <c r="J144" s="415"/>
      <c r="K144" s="948">
        <f t="shared" si="9"/>
        <v>5</v>
      </c>
      <c r="L144" s="1119">
        <v>12</v>
      </c>
      <c r="M144" s="1120">
        <f t="shared" si="10"/>
        <v>30000</v>
      </c>
      <c r="N144" s="1119">
        <v>2</v>
      </c>
      <c r="O144" s="1119">
        <v>6</v>
      </c>
      <c r="P144" s="1120">
        <f t="shared" si="11"/>
        <v>15000</v>
      </c>
      <c r="Q144" s="886"/>
      <c r="R144" s="886"/>
      <c r="S144" s="886"/>
    </row>
    <row r="145" spans="1:19" ht="24" x14ac:dyDescent="0.2">
      <c r="A145" s="1152" t="s">
        <v>3091</v>
      </c>
      <c r="B145" s="415" t="s">
        <v>3092</v>
      </c>
      <c r="C145" s="1158" t="s">
        <v>398</v>
      </c>
      <c r="D145" s="1159" t="s">
        <v>3342</v>
      </c>
      <c r="E145" s="1120">
        <v>1200</v>
      </c>
      <c r="F145" s="1160" t="s">
        <v>3343</v>
      </c>
      <c r="G145" s="416" t="str">
        <f t="shared" si="8"/>
        <v xml:space="preserve">  </v>
      </c>
      <c r="H145" s="1159"/>
      <c r="I145" s="415"/>
      <c r="J145" s="415"/>
      <c r="K145" s="948">
        <f t="shared" si="9"/>
        <v>5</v>
      </c>
      <c r="L145" s="1119">
        <v>12</v>
      </c>
      <c r="M145" s="1120">
        <f t="shared" si="10"/>
        <v>14400</v>
      </c>
      <c r="N145" s="1119">
        <v>2</v>
      </c>
      <c r="O145" s="1119">
        <v>6</v>
      </c>
      <c r="P145" s="1120">
        <f t="shared" si="11"/>
        <v>7200</v>
      </c>
      <c r="Q145" s="886"/>
      <c r="R145" s="886"/>
      <c r="S145" s="886"/>
    </row>
    <row r="146" spans="1:19" ht="36" x14ac:dyDescent="0.2">
      <c r="A146" s="1152" t="s">
        <v>3091</v>
      </c>
      <c r="B146" s="415" t="s">
        <v>3092</v>
      </c>
      <c r="C146" s="1158" t="s">
        <v>398</v>
      </c>
      <c r="D146" s="1159" t="s">
        <v>3164</v>
      </c>
      <c r="E146" s="1120">
        <v>1200</v>
      </c>
      <c r="F146" s="1160" t="s">
        <v>3344</v>
      </c>
      <c r="G146" s="416" t="str">
        <f t="shared" si="8"/>
        <v xml:space="preserve">  </v>
      </c>
      <c r="H146" s="1159" t="s">
        <v>3254</v>
      </c>
      <c r="I146" s="415"/>
      <c r="J146" s="415"/>
      <c r="K146" s="948">
        <f t="shared" si="9"/>
        <v>5</v>
      </c>
      <c r="L146" s="1119">
        <v>12</v>
      </c>
      <c r="M146" s="1120">
        <f t="shared" si="10"/>
        <v>14400</v>
      </c>
      <c r="N146" s="1119">
        <v>2</v>
      </c>
      <c r="O146" s="1119">
        <v>6</v>
      </c>
      <c r="P146" s="1120">
        <f t="shared" si="11"/>
        <v>7200</v>
      </c>
      <c r="Q146" s="886"/>
      <c r="R146" s="886"/>
      <c r="S146" s="886"/>
    </row>
    <row r="147" spans="1:19" x14ac:dyDescent="0.2">
      <c r="A147" s="1152" t="s">
        <v>3091</v>
      </c>
      <c r="B147" s="415" t="s">
        <v>3092</v>
      </c>
      <c r="C147" s="1158" t="s">
        <v>398</v>
      </c>
      <c r="D147" s="1159" t="s">
        <v>3112</v>
      </c>
      <c r="E147" s="1120">
        <v>1500</v>
      </c>
      <c r="F147" s="1160" t="s">
        <v>3345</v>
      </c>
      <c r="G147" s="416" t="str">
        <f t="shared" si="8"/>
        <v xml:space="preserve">  </v>
      </c>
      <c r="H147" s="1159"/>
      <c r="I147" s="415"/>
      <c r="J147" s="415"/>
      <c r="K147" s="948">
        <f t="shared" si="9"/>
        <v>5</v>
      </c>
      <c r="L147" s="1119">
        <v>12</v>
      </c>
      <c r="M147" s="1120">
        <f t="shared" si="10"/>
        <v>18000</v>
      </c>
      <c r="N147" s="1119">
        <v>2</v>
      </c>
      <c r="O147" s="1119">
        <v>6</v>
      </c>
      <c r="P147" s="1120">
        <f t="shared" si="11"/>
        <v>9000</v>
      </c>
      <c r="Q147" s="886"/>
      <c r="R147" s="886"/>
      <c r="S147" s="886"/>
    </row>
    <row r="148" spans="1:19" x14ac:dyDescent="0.2">
      <c r="A148" s="1152" t="s">
        <v>3091</v>
      </c>
      <c r="B148" s="415" t="s">
        <v>3092</v>
      </c>
      <c r="C148" s="1158" t="s">
        <v>398</v>
      </c>
      <c r="D148" s="1159" t="s">
        <v>3346</v>
      </c>
      <c r="E148" s="1120">
        <v>930</v>
      </c>
      <c r="F148" s="1160" t="s">
        <v>3347</v>
      </c>
      <c r="G148" s="416" t="str">
        <f t="shared" si="8"/>
        <v xml:space="preserve">  </v>
      </c>
      <c r="H148" s="1159"/>
      <c r="I148" s="415"/>
      <c r="J148" s="415"/>
      <c r="K148" s="948">
        <f t="shared" si="9"/>
        <v>5</v>
      </c>
      <c r="L148" s="1119">
        <v>12</v>
      </c>
      <c r="M148" s="1120">
        <f t="shared" si="10"/>
        <v>11160</v>
      </c>
      <c r="N148" s="1119">
        <v>2</v>
      </c>
      <c r="O148" s="1119">
        <v>6</v>
      </c>
      <c r="P148" s="1120">
        <f t="shared" si="11"/>
        <v>5580</v>
      </c>
      <c r="Q148" s="886"/>
      <c r="R148" s="886"/>
      <c r="S148" s="886"/>
    </row>
    <row r="149" spans="1:19" x14ac:dyDescent="0.2">
      <c r="A149" s="1152" t="s">
        <v>3091</v>
      </c>
      <c r="B149" s="415" t="s">
        <v>3092</v>
      </c>
      <c r="C149" s="1158" t="s">
        <v>398</v>
      </c>
      <c r="D149" s="1159" t="s">
        <v>3110</v>
      </c>
      <c r="E149" s="1120">
        <v>1200</v>
      </c>
      <c r="F149" s="1160" t="s">
        <v>3348</v>
      </c>
      <c r="G149" s="416" t="str">
        <f t="shared" si="8"/>
        <v xml:space="preserve">  </v>
      </c>
      <c r="H149" s="1159"/>
      <c r="I149" s="415"/>
      <c r="J149" s="415"/>
      <c r="K149" s="948">
        <f t="shared" si="9"/>
        <v>5</v>
      </c>
      <c r="L149" s="1119">
        <v>12</v>
      </c>
      <c r="M149" s="1120">
        <f t="shared" si="10"/>
        <v>14400</v>
      </c>
      <c r="N149" s="1119">
        <v>2</v>
      </c>
      <c r="O149" s="1119">
        <v>6</v>
      </c>
      <c r="P149" s="1120">
        <f t="shared" si="11"/>
        <v>7200</v>
      </c>
      <c r="Q149" s="886"/>
      <c r="R149" s="886"/>
      <c r="S149" s="886"/>
    </row>
    <row r="150" spans="1:19" x14ac:dyDescent="0.2">
      <c r="A150" s="1152" t="s">
        <v>3091</v>
      </c>
      <c r="B150" s="415" t="s">
        <v>3092</v>
      </c>
      <c r="C150" s="1158" t="s">
        <v>398</v>
      </c>
      <c r="D150" s="1159" t="s">
        <v>3349</v>
      </c>
      <c r="E150" s="1120">
        <v>930</v>
      </c>
      <c r="F150" s="1160" t="s">
        <v>3350</v>
      </c>
      <c r="G150" s="416" t="str">
        <f t="shared" si="8"/>
        <v xml:space="preserve">  </v>
      </c>
      <c r="H150" s="1159"/>
      <c r="I150" s="415"/>
      <c r="J150" s="415"/>
      <c r="K150" s="948">
        <f t="shared" si="9"/>
        <v>5</v>
      </c>
      <c r="L150" s="1119">
        <v>12</v>
      </c>
      <c r="M150" s="1120">
        <f t="shared" si="10"/>
        <v>11160</v>
      </c>
      <c r="N150" s="1119">
        <v>2</v>
      </c>
      <c r="O150" s="1119">
        <v>6</v>
      </c>
      <c r="P150" s="1120">
        <f t="shared" si="11"/>
        <v>5580</v>
      </c>
      <c r="Q150" s="886"/>
      <c r="R150" s="886"/>
      <c r="S150" s="886"/>
    </row>
    <row r="151" spans="1:19" x14ac:dyDescent="0.2">
      <c r="A151" s="1152" t="s">
        <v>3091</v>
      </c>
      <c r="B151" s="415" t="s">
        <v>3092</v>
      </c>
      <c r="C151" s="1158" t="s">
        <v>398</v>
      </c>
      <c r="D151" s="1159" t="s">
        <v>3305</v>
      </c>
      <c r="E151" s="1120">
        <v>3000</v>
      </c>
      <c r="F151" s="1160" t="s">
        <v>3351</v>
      </c>
      <c r="G151" s="416" t="str">
        <f t="shared" si="8"/>
        <v xml:space="preserve">  </v>
      </c>
      <c r="H151" s="1159" t="s">
        <v>3352</v>
      </c>
      <c r="I151" s="415"/>
      <c r="J151" s="415"/>
      <c r="K151" s="948">
        <f t="shared" si="9"/>
        <v>5</v>
      </c>
      <c r="L151" s="1119">
        <v>12</v>
      </c>
      <c r="M151" s="1120">
        <f t="shared" si="10"/>
        <v>36000</v>
      </c>
      <c r="N151" s="1119">
        <v>2</v>
      </c>
      <c r="O151" s="1119">
        <v>6</v>
      </c>
      <c r="P151" s="1120">
        <f t="shared" si="11"/>
        <v>18000</v>
      </c>
      <c r="Q151" s="886"/>
      <c r="R151" s="886"/>
      <c r="S151" s="886"/>
    </row>
    <row r="152" spans="1:19" x14ac:dyDescent="0.2">
      <c r="A152" s="1152" t="s">
        <v>3091</v>
      </c>
      <c r="B152" s="415" t="s">
        <v>3092</v>
      </c>
      <c r="C152" s="1158" t="s">
        <v>398</v>
      </c>
      <c r="D152" s="1159" t="s">
        <v>3353</v>
      </c>
      <c r="E152" s="1120">
        <v>930</v>
      </c>
      <c r="F152" s="1160" t="s">
        <v>3354</v>
      </c>
      <c r="G152" s="416" t="str">
        <f t="shared" si="8"/>
        <v xml:space="preserve">  </v>
      </c>
      <c r="H152" s="1159"/>
      <c r="I152" s="415"/>
      <c r="J152" s="415"/>
      <c r="K152" s="948">
        <f t="shared" si="9"/>
        <v>5</v>
      </c>
      <c r="L152" s="1119">
        <v>12</v>
      </c>
      <c r="M152" s="1120">
        <f t="shared" si="10"/>
        <v>11160</v>
      </c>
      <c r="N152" s="1119">
        <v>2</v>
      </c>
      <c r="O152" s="1119">
        <v>6</v>
      </c>
      <c r="P152" s="1120">
        <f t="shared" si="11"/>
        <v>5580</v>
      </c>
      <c r="Q152" s="886"/>
      <c r="R152" s="886"/>
      <c r="S152" s="886"/>
    </row>
    <row r="153" spans="1:19" x14ac:dyDescent="0.2">
      <c r="A153" s="1152" t="s">
        <v>3091</v>
      </c>
      <c r="B153" s="415" t="s">
        <v>3092</v>
      </c>
      <c r="C153" s="1158" t="s">
        <v>398</v>
      </c>
      <c r="D153" s="1159" t="s">
        <v>3355</v>
      </c>
      <c r="E153" s="1120">
        <v>1200</v>
      </c>
      <c r="F153" s="1160" t="s">
        <v>3356</v>
      </c>
      <c r="G153" s="416" t="str">
        <f t="shared" si="8"/>
        <v xml:space="preserve">  </v>
      </c>
      <c r="H153" s="1159"/>
      <c r="I153" s="415"/>
      <c r="J153" s="415"/>
      <c r="K153" s="948">
        <f t="shared" si="9"/>
        <v>5</v>
      </c>
      <c r="L153" s="1119">
        <v>12</v>
      </c>
      <c r="M153" s="1120">
        <f t="shared" si="10"/>
        <v>14400</v>
      </c>
      <c r="N153" s="1119">
        <v>2</v>
      </c>
      <c r="O153" s="1119">
        <v>6</v>
      </c>
      <c r="P153" s="1120">
        <f t="shared" si="11"/>
        <v>7200</v>
      </c>
      <c r="Q153" s="886"/>
      <c r="R153" s="886"/>
      <c r="S153" s="886"/>
    </row>
    <row r="154" spans="1:19" ht="24" x14ac:dyDescent="0.2">
      <c r="A154" s="1152" t="s">
        <v>3091</v>
      </c>
      <c r="B154" s="415" t="s">
        <v>3092</v>
      </c>
      <c r="C154" s="1158" t="s">
        <v>398</v>
      </c>
      <c r="D154" s="1159" t="s">
        <v>3247</v>
      </c>
      <c r="E154" s="1120">
        <v>930</v>
      </c>
      <c r="F154" s="1160" t="s">
        <v>3357</v>
      </c>
      <c r="G154" s="416" t="str">
        <f t="shared" si="8"/>
        <v xml:space="preserve">  </v>
      </c>
      <c r="H154" s="1159"/>
      <c r="I154" s="415"/>
      <c r="J154" s="415"/>
      <c r="K154" s="948">
        <f t="shared" si="9"/>
        <v>5</v>
      </c>
      <c r="L154" s="1119">
        <v>12</v>
      </c>
      <c r="M154" s="1120">
        <f t="shared" si="10"/>
        <v>11160</v>
      </c>
      <c r="N154" s="1119">
        <v>2</v>
      </c>
      <c r="O154" s="1119">
        <v>6</v>
      </c>
      <c r="P154" s="1120">
        <f t="shared" si="11"/>
        <v>5580</v>
      </c>
      <c r="Q154" s="886"/>
      <c r="R154" s="886"/>
      <c r="S154" s="886"/>
    </row>
    <row r="155" spans="1:19" x14ac:dyDescent="0.2">
      <c r="A155" s="1152" t="s">
        <v>3091</v>
      </c>
      <c r="B155" s="415" t="s">
        <v>3092</v>
      </c>
      <c r="C155" s="1158" t="s">
        <v>398</v>
      </c>
      <c r="D155" s="1159" t="s">
        <v>3358</v>
      </c>
      <c r="E155" s="1120">
        <v>2000</v>
      </c>
      <c r="F155" s="1160" t="s">
        <v>3359</v>
      </c>
      <c r="G155" s="416" t="str">
        <f t="shared" si="8"/>
        <v xml:space="preserve">  </v>
      </c>
      <c r="H155" s="1159" t="s">
        <v>3292</v>
      </c>
      <c r="I155" s="415"/>
      <c r="J155" s="415"/>
      <c r="K155" s="948">
        <f t="shared" si="9"/>
        <v>5</v>
      </c>
      <c r="L155" s="1119">
        <v>12</v>
      </c>
      <c r="M155" s="1120">
        <f t="shared" si="10"/>
        <v>24000</v>
      </c>
      <c r="N155" s="1119">
        <v>2</v>
      </c>
      <c r="O155" s="1119">
        <v>6</v>
      </c>
      <c r="P155" s="1120">
        <f t="shared" si="11"/>
        <v>12000</v>
      </c>
      <c r="Q155" s="886"/>
      <c r="R155" s="886"/>
      <c r="S155" s="886"/>
    </row>
    <row r="156" spans="1:19" x14ac:dyDescent="0.2">
      <c r="A156" s="1152" t="s">
        <v>3091</v>
      </c>
      <c r="B156" s="415" t="s">
        <v>3092</v>
      </c>
      <c r="C156" s="1158" t="s">
        <v>398</v>
      </c>
      <c r="D156" s="1159" t="s">
        <v>3112</v>
      </c>
      <c r="E156" s="1120">
        <v>1400</v>
      </c>
      <c r="F156" s="1160" t="s">
        <v>3360</v>
      </c>
      <c r="G156" s="416" t="str">
        <f t="shared" si="8"/>
        <v xml:space="preserve">  </v>
      </c>
      <c r="H156" s="1159"/>
      <c r="I156" s="415"/>
      <c r="J156" s="415"/>
      <c r="K156" s="948">
        <f t="shared" si="9"/>
        <v>5</v>
      </c>
      <c r="L156" s="1119">
        <v>12</v>
      </c>
      <c r="M156" s="1120">
        <f t="shared" si="10"/>
        <v>16800</v>
      </c>
      <c r="N156" s="1119">
        <v>2</v>
      </c>
      <c r="O156" s="1119">
        <v>6</v>
      </c>
      <c r="P156" s="1120">
        <f t="shared" si="11"/>
        <v>8400</v>
      </c>
      <c r="Q156" s="886"/>
      <c r="R156" s="886"/>
      <c r="S156" s="886"/>
    </row>
    <row r="157" spans="1:19" x14ac:dyDescent="0.2">
      <c r="A157" s="1152" t="s">
        <v>3091</v>
      </c>
      <c r="B157" s="415" t="s">
        <v>3092</v>
      </c>
      <c r="C157" s="1158" t="s">
        <v>398</v>
      </c>
      <c r="D157" s="1159" t="s">
        <v>3112</v>
      </c>
      <c r="E157" s="1120">
        <v>1200</v>
      </c>
      <c r="F157" s="1160" t="s">
        <v>3361</v>
      </c>
      <c r="G157" s="416" t="str">
        <f t="shared" si="8"/>
        <v xml:space="preserve">  </v>
      </c>
      <c r="H157" s="1159"/>
      <c r="I157" s="415"/>
      <c r="J157" s="415"/>
      <c r="K157" s="948">
        <f t="shared" si="9"/>
        <v>5</v>
      </c>
      <c r="L157" s="1119">
        <v>12</v>
      </c>
      <c r="M157" s="1120">
        <f t="shared" si="10"/>
        <v>14400</v>
      </c>
      <c r="N157" s="1119">
        <v>2</v>
      </c>
      <c r="O157" s="1119">
        <v>6</v>
      </c>
      <c r="P157" s="1120">
        <f t="shared" si="11"/>
        <v>7200</v>
      </c>
      <c r="Q157" s="886"/>
      <c r="R157" s="886"/>
      <c r="S157" s="886"/>
    </row>
    <row r="158" spans="1:19" x14ac:dyDescent="0.2">
      <c r="A158" s="1152" t="s">
        <v>3091</v>
      </c>
      <c r="B158" s="415" t="s">
        <v>3092</v>
      </c>
      <c r="C158" s="1158" t="s">
        <v>398</v>
      </c>
      <c r="D158" s="1159" t="s">
        <v>3362</v>
      </c>
      <c r="E158" s="1120">
        <v>930</v>
      </c>
      <c r="F158" s="1160" t="s">
        <v>3363</v>
      </c>
      <c r="G158" s="416" t="str">
        <f t="shared" si="8"/>
        <v xml:space="preserve">  </v>
      </c>
      <c r="H158" s="1159"/>
      <c r="I158" s="415"/>
      <c r="J158" s="415"/>
      <c r="K158" s="948">
        <f t="shared" si="9"/>
        <v>5</v>
      </c>
      <c r="L158" s="1119">
        <v>12</v>
      </c>
      <c r="M158" s="1120">
        <f t="shared" si="10"/>
        <v>11160</v>
      </c>
      <c r="N158" s="1119">
        <v>2</v>
      </c>
      <c r="O158" s="1119">
        <v>6</v>
      </c>
      <c r="P158" s="1120">
        <f t="shared" si="11"/>
        <v>5580</v>
      </c>
      <c r="Q158" s="886"/>
      <c r="R158" s="886"/>
      <c r="S158" s="886"/>
    </row>
    <row r="159" spans="1:19" ht="24" x14ac:dyDescent="0.2">
      <c r="A159" s="1152" t="s">
        <v>3091</v>
      </c>
      <c r="B159" s="415" t="s">
        <v>3092</v>
      </c>
      <c r="C159" s="1158" t="s">
        <v>398</v>
      </c>
      <c r="D159" s="1159" t="s">
        <v>3184</v>
      </c>
      <c r="E159" s="1120">
        <v>2000</v>
      </c>
      <c r="F159" s="1160" t="s">
        <v>3364</v>
      </c>
      <c r="G159" s="416" t="str">
        <f t="shared" si="8"/>
        <v xml:space="preserve">  </v>
      </c>
      <c r="H159" s="1159" t="s">
        <v>3171</v>
      </c>
      <c r="I159" s="415"/>
      <c r="J159" s="415"/>
      <c r="K159" s="948">
        <f t="shared" si="9"/>
        <v>5</v>
      </c>
      <c r="L159" s="1119">
        <v>12</v>
      </c>
      <c r="M159" s="1120">
        <f t="shared" si="10"/>
        <v>24000</v>
      </c>
      <c r="N159" s="1119">
        <v>2</v>
      </c>
      <c r="O159" s="1119">
        <v>6</v>
      </c>
      <c r="P159" s="1120">
        <f t="shared" si="11"/>
        <v>12000</v>
      </c>
      <c r="Q159" s="886"/>
      <c r="R159" s="886"/>
      <c r="S159" s="886"/>
    </row>
    <row r="160" spans="1:19" x14ac:dyDescent="0.2">
      <c r="A160" s="1152" t="s">
        <v>3091</v>
      </c>
      <c r="B160" s="415" t="s">
        <v>3092</v>
      </c>
      <c r="C160" s="1158" t="s">
        <v>398</v>
      </c>
      <c r="D160" s="1159" t="s">
        <v>3112</v>
      </c>
      <c r="E160" s="1120">
        <v>1300</v>
      </c>
      <c r="F160" s="1160" t="s">
        <v>3365</v>
      </c>
      <c r="G160" s="416" t="str">
        <f t="shared" si="8"/>
        <v xml:space="preserve">  </v>
      </c>
      <c r="H160" s="1159" t="s">
        <v>3099</v>
      </c>
      <c r="I160" s="415"/>
      <c r="J160" s="415"/>
      <c r="K160" s="948">
        <f t="shared" si="9"/>
        <v>5</v>
      </c>
      <c r="L160" s="1119">
        <v>12</v>
      </c>
      <c r="M160" s="1120">
        <f t="shared" si="10"/>
        <v>15600</v>
      </c>
      <c r="N160" s="1119">
        <v>2</v>
      </c>
      <c r="O160" s="1119">
        <v>6</v>
      </c>
      <c r="P160" s="1120">
        <f t="shared" si="11"/>
        <v>7800</v>
      </c>
      <c r="Q160" s="886"/>
      <c r="R160" s="886"/>
      <c r="S160" s="886"/>
    </row>
    <row r="161" spans="1:19" ht="24" x14ac:dyDescent="0.2">
      <c r="A161" s="1152" t="s">
        <v>3091</v>
      </c>
      <c r="B161" s="415" t="s">
        <v>3092</v>
      </c>
      <c r="C161" s="1158" t="s">
        <v>398</v>
      </c>
      <c r="D161" s="1159" t="s">
        <v>3100</v>
      </c>
      <c r="E161" s="1120">
        <v>1000</v>
      </c>
      <c r="F161" s="1160" t="s">
        <v>3366</v>
      </c>
      <c r="G161" s="416" t="str">
        <f t="shared" si="8"/>
        <v xml:space="preserve">  </v>
      </c>
      <c r="H161" s="1159" t="s">
        <v>3124</v>
      </c>
      <c r="I161" s="415"/>
      <c r="J161" s="415"/>
      <c r="K161" s="948">
        <f t="shared" si="9"/>
        <v>5</v>
      </c>
      <c r="L161" s="1119">
        <v>12</v>
      </c>
      <c r="M161" s="1120">
        <f t="shared" si="10"/>
        <v>12000</v>
      </c>
      <c r="N161" s="1119">
        <v>2</v>
      </c>
      <c r="O161" s="1119">
        <v>6</v>
      </c>
      <c r="P161" s="1120">
        <f t="shared" si="11"/>
        <v>6000</v>
      </c>
      <c r="Q161" s="886"/>
      <c r="R161" s="886"/>
      <c r="S161" s="886"/>
    </row>
    <row r="162" spans="1:19" x14ac:dyDescent="0.2">
      <c r="A162" s="1152" t="s">
        <v>3091</v>
      </c>
      <c r="B162" s="415" t="s">
        <v>3092</v>
      </c>
      <c r="C162" s="1158" t="s">
        <v>398</v>
      </c>
      <c r="D162" s="1159" t="s">
        <v>3187</v>
      </c>
      <c r="E162" s="1120">
        <v>930</v>
      </c>
      <c r="F162" s="1160" t="s">
        <v>3367</v>
      </c>
      <c r="G162" s="416" t="str">
        <f t="shared" si="8"/>
        <v xml:space="preserve">  </v>
      </c>
      <c r="H162" s="1159"/>
      <c r="I162" s="415"/>
      <c r="J162" s="415"/>
      <c r="K162" s="948">
        <f t="shared" si="9"/>
        <v>5</v>
      </c>
      <c r="L162" s="1119">
        <v>12</v>
      </c>
      <c r="M162" s="1120">
        <f t="shared" si="10"/>
        <v>11160</v>
      </c>
      <c r="N162" s="1119">
        <v>2</v>
      </c>
      <c r="O162" s="1119">
        <v>6</v>
      </c>
      <c r="P162" s="1120">
        <f t="shared" si="11"/>
        <v>5580</v>
      </c>
      <c r="Q162" s="886"/>
      <c r="R162" s="886"/>
      <c r="S162" s="886"/>
    </row>
    <row r="163" spans="1:19" x14ac:dyDescent="0.2">
      <c r="A163" s="1152" t="s">
        <v>3091</v>
      </c>
      <c r="B163" s="415" t="s">
        <v>3092</v>
      </c>
      <c r="C163" s="1158" t="s">
        <v>398</v>
      </c>
      <c r="D163" s="1159" t="s">
        <v>3368</v>
      </c>
      <c r="E163" s="1120">
        <v>1600</v>
      </c>
      <c r="F163" s="1160" t="s">
        <v>3369</v>
      </c>
      <c r="G163" s="416" t="str">
        <f t="shared" si="8"/>
        <v xml:space="preserve">  </v>
      </c>
      <c r="H163" s="1159"/>
      <c r="I163" s="415"/>
      <c r="J163" s="415"/>
      <c r="K163" s="948">
        <f t="shared" si="9"/>
        <v>5</v>
      </c>
      <c r="L163" s="1119">
        <v>12</v>
      </c>
      <c r="M163" s="1120">
        <f t="shared" si="10"/>
        <v>19200</v>
      </c>
      <c r="N163" s="1119">
        <v>2</v>
      </c>
      <c r="O163" s="1119">
        <v>6</v>
      </c>
      <c r="P163" s="1120">
        <f t="shared" si="11"/>
        <v>9600</v>
      </c>
      <c r="Q163" s="886"/>
      <c r="R163" s="886"/>
      <c r="S163" s="886"/>
    </row>
    <row r="164" spans="1:19" ht="24" x14ac:dyDescent="0.2">
      <c r="A164" s="1152" t="s">
        <v>3091</v>
      </c>
      <c r="B164" s="415" t="s">
        <v>3092</v>
      </c>
      <c r="C164" s="1158" t="s">
        <v>398</v>
      </c>
      <c r="D164" s="1159" t="s">
        <v>3370</v>
      </c>
      <c r="E164" s="1120">
        <v>1400</v>
      </c>
      <c r="F164" s="1160" t="s">
        <v>3371</v>
      </c>
      <c r="G164" s="416" t="str">
        <f t="shared" si="8"/>
        <v xml:space="preserve">  </v>
      </c>
      <c r="H164" s="1159"/>
      <c r="I164" s="415"/>
      <c r="J164" s="415"/>
      <c r="K164" s="948">
        <f t="shared" si="9"/>
        <v>5</v>
      </c>
      <c r="L164" s="1119">
        <v>12</v>
      </c>
      <c r="M164" s="1120">
        <f t="shared" si="10"/>
        <v>16800</v>
      </c>
      <c r="N164" s="1119">
        <v>2</v>
      </c>
      <c r="O164" s="1119">
        <v>6</v>
      </c>
      <c r="P164" s="1120">
        <f t="shared" si="11"/>
        <v>8400</v>
      </c>
      <c r="Q164" s="886"/>
      <c r="R164" s="886"/>
      <c r="S164" s="886"/>
    </row>
    <row r="165" spans="1:19" ht="24" x14ac:dyDescent="0.2">
      <c r="A165" s="1152" t="s">
        <v>3091</v>
      </c>
      <c r="B165" s="415" t="s">
        <v>3092</v>
      </c>
      <c r="C165" s="1158" t="s">
        <v>398</v>
      </c>
      <c r="D165" s="1159" t="s">
        <v>3372</v>
      </c>
      <c r="E165" s="1120">
        <v>2500</v>
      </c>
      <c r="F165" s="1160" t="s">
        <v>3373</v>
      </c>
      <c r="G165" s="416" t="str">
        <f t="shared" si="8"/>
        <v xml:space="preserve">  </v>
      </c>
      <c r="H165" s="1159" t="s">
        <v>3168</v>
      </c>
      <c r="I165" s="415"/>
      <c r="J165" s="415"/>
      <c r="K165" s="948">
        <f t="shared" si="9"/>
        <v>5</v>
      </c>
      <c r="L165" s="1119">
        <v>12</v>
      </c>
      <c r="M165" s="1120">
        <f t="shared" si="10"/>
        <v>30000</v>
      </c>
      <c r="N165" s="1119">
        <v>2</v>
      </c>
      <c r="O165" s="1119">
        <v>6</v>
      </c>
      <c r="P165" s="1120">
        <f t="shared" si="11"/>
        <v>15000</v>
      </c>
      <c r="Q165" s="886"/>
      <c r="R165" s="886"/>
      <c r="S165" s="886"/>
    </row>
    <row r="166" spans="1:19" ht="24" x14ac:dyDescent="0.2">
      <c r="A166" s="1152" t="s">
        <v>3091</v>
      </c>
      <c r="B166" s="415" t="s">
        <v>3092</v>
      </c>
      <c r="C166" s="1158" t="s">
        <v>398</v>
      </c>
      <c r="D166" s="1159" t="s">
        <v>3374</v>
      </c>
      <c r="E166" s="1120">
        <v>1000</v>
      </c>
      <c r="F166" s="1160" t="s">
        <v>3375</v>
      </c>
      <c r="G166" s="416" t="str">
        <f t="shared" si="8"/>
        <v xml:space="preserve">  </v>
      </c>
      <c r="H166" s="1159"/>
      <c r="I166" s="415"/>
      <c r="J166" s="415"/>
      <c r="K166" s="948">
        <f t="shared" si="9"/>
        <v>5</v>
      </c>
      <c r="L166" s="1119">
        <v>12</v>
      </c>
      <c r="M166" s="1120">
        <f t="shared" si="10"/>
        <v>12000</v>
      </c>
      <c r="N166" s="1119">
        <v>2</v>
      </c>
      <c r="O166" s="1119">
        <v>6</v>
      </c>
      <c r="P166" s="1120">
        <f t="shared" si="11"/>
        <v>6000</v>
      </c>
      <c r="Q166" s="886"/>
      <c r="R166" s="886"/>
      <c r="S166" s="886"/>
    </row>
    <row r="167" spans="1:19" ht="24" x14ac:dyDescent="0.2">
      <c r="A167" s="1152" t="s">
        <v>3091</v>
      </c>
      <c r="B167" s="415" t="s">
        <v>3092</v>
      </c>
      <c r="C167" s="1158" t="s">
        <v>398</v>
      </c>
      <c r="D167" s="1159" t="s">
        <v>3266</v>
      </c>
      <c r="E167" s="1120">
        <v>3500</v>
      </c>
      <c r="F167" s="1160" t="s">
        <v>3376</v>
      </c>
      <c r="G167" s="416" t="str">
        <f t="shared" si="8"/>
        <v xml:space="preserve">  </v>
      </c>
      <c r="H167" s="1159" t="s">
        <v>3129</v>
      </c>
      <c r="I167" s="415"/>
      <c r="J167" s="415"/>
      <c r="K167" s="948">
        <f t="shared" si="9"/>
        <v>5</v>
      </c>
      <c r="L167" s="1119">
        <v>12</v>
      </c>
      <c r="M167" s="1120">
        <f t="shared" si="10"/>
        <v>42000</v>
      </c>
      <c r="N167" s="1119">
        <v>2</v>
      </c>
      <c r="O167" s="1119">
        <v>6</v>
      </c>
      <c r="P167" s="1120">
        <f t="shared" si="11"/>
        <v>21000</v>
      </c>
      <c r="Q167" s="886"/>
      <c r="R167" s="886"/>
      <c r="S167" s="886"/>
    </row>
    <row r="168" spans="1:19" ht="24" x14ac:dyDescent="0.2">
      <c r="A168" s="1152" t="s">
        <v>3091</v>
      </c>
      <c r="B168" s="415" t="s">
        <v>3092</v>
      </c>
      <c r="C168" s="1158" t="s">
        <v>398</v>
      </c>
      <c r="D168" s="1159" t="s">
        <v>3377</v>
      </c>
      <c r="E168" s="1120">
        <v>2500</v>
      </c>
      <c r="F168" s="1160" t="s">
        <v>3378</v>
      </c>
      <c r="G168" s="416" t="str">
        <f t="shared" si="8"/>
        <v xml:space="preserve">  </v>
      </c>
      <c r="H168" s="1159"/>
      <c r="I168" s="415"/>
      <c r="J168" s="415"/>
      <c r="K168" s="948">
        <f t="shared" si="9"/>
        <v>5</v>
      </c>
      <c r="L168" s="1119">
        <v>12</v>
      </c>
      <c r="M168" s="1120">
        <f t="shared" si="10"/>
        <v>30000</v>
      </c>
      <c r="N168" s="1119">
        <v>2</v>
      </c>
      <c r="O168" s="1119">
        <v>6</v>
      </c>
      <c r="P168" s="1120">
        <f t="shared" si="11"/>
        <v>15000</v>
      </c>
      <c r="Q168" s="886"/>
      <c r="R168" s="886"/>
      <c r="S168" s="886"/>
    </row>
    <row r="169" spans="1:19" ht="24" x14ac:dyDescent="0.2">
      <c r="A169" s="1152" t="s">
        <v>3091</v>
      </c>
      <c r="B169" s="415" t="s">
        <v>3092</v>
      </c>
      <c r="C169" s="1158" t="s">
        <v>398</v>
      </c>
      <c r="D169" s="1159" t="s">
        <v>3100</v>
      </c>
      <c r="E169" s="1120">
        <v>1200</v>
      </c>
      <c r="F169" s="1160" t="s">
        <v>3379</v>
      </c>
      <c r="G169" s="416" t="str">
        <f t="shared" si="8"/>
        <v xml:space="preserve">  </v>
      </c>
      <c r="H169" s="1159" t="s">
        <v>3129</v>
      </c>
      <c r="I169" s="415"/>
      <c r="J169" s="415"/>
      <c r="K169" s="948">
        <f t="shared" si="9"/>
        <v>5</v>
      </c>
      <c r="L169" s="1119">
        <v>12</v>
      </c>
      <c r="M169" s="1120">
        <f t="shared" si="10"/>
        <v>14400</v>
      </c>
      <c r="N169" s="1119">
        <v>2</v>
      </c>
      <c r="O169" s="1119">
        <v>6</v>
      </c>
      <c r="P169" s="1120">
        <f t="shared" si="11"/>
        <v>7200</v>
      </c>
      <c r="Q169" s="886"/>
      <c r="R169" s="886"/>
      <c r="S169" s="886"/>
    </row>
    <row r="170" spans="1:19" ht="24" x14ac:dyDescent="0.2">
      <c r="A170" s="1152" t="s">
        <v>3091</v>
      </c>
      <c r="B170" s="415" t="s">
        <v>3380</v>
      </c>
      <c r="C170" s="1161" t="s">
        <v>398</v>
      </c>
      <c r="D170" s="1162" t="s">
        <v>3381</v>
      </c>
      <c r="E170" s="1139">
        <v>1700</v>
      </c>
      <c r="F170" s="1082" t="s">
        <v>3382</v>
      </c>
      <c r="G170" s="1103" t="str">
        <f t="shared" si="8"/>
        <v xml:space="preserve">  </v>
      </c>
      <c r="H170" s="1162" t="s">
        <v>3383</v>
      </c>
      <c r="I170" s="415"/>
      <c r="J170" s="415"/>
      <c r="K170" s="948">
        <f t="shared" si="9"/>
        <v>5</v>
      </c>
      <c r="L170" s="1119">
        <v>12</v>
      </c>
      <c r="M170" s="1120">
        <f t="shared" si="10"/>
        <v>20400</v>
      </c>
      <c r="N170" s="1119">
        <v>2</v>
      </c>
      <c r="O170" s="1119">
        <v>6</v>
      </c>
      <c r="P170" s="1120">
        <f t="shared" si="11"/>
        <v>10200</v>
      </c>
      <c r="Q170" s="886"/>
      <c r="R170" s="886"/>
      <c r="S170" s="886"/>
    </row>
    <row r="171" spans="1:19" ht="36" x14ac:dyDescent="0.2">
      <c r="A171" s="1152" t="s">
        <v>3091</v>
      </c>
      <c r="B171" s="415" t="s">
        <v>3380</v>
      </c>
      <c r="C171" s="1161" t="s">
        <v>398</v>
      </c>
      <c r="D171" s="1162" t="s">
        <v>3384</v>
      </c>
      <c r="E171" s="1139">
        <v>1800</v>
      </c>
      <c r="F171" s="1082" t="s">
        <v>3385</v>
      </c>
      <c r="G171" s="1103" t="str">
        <f t="shared" si="8"/>
        <v xml:space="preserve">  </v>
      </c>
      <c r="H171" s="1162" t="s">
        <v>3201</v>
      </c>
      <c r="I171" s="415"/>
      <c r="J171" s="415"/>
      <c r="K171" s="948">
        <f t="shared" si="9"/>
        <v>5</v>
      </c>
      <c r="L171" s="1119">
        <v>12</v>
      </c>
      <c r="M171" s="1120">
        <f t="shared" si="10"/>
        <v>21600</v>
      </c>
      <c r="N171" s="1119">
        <v>2</v>
      </c>
      <c r="O171" s="1119">
        <v>6</v>
      </c>
      <c r="P171" s="1120">
        <f t="shared" si="11"/>
        <v>10800</v>
      </c>
      <c r="Q171" s="886"/>
      <c r="R171" s="886"/>
      <c r="S171" s="886"/>
    </row>
    <row r="172" spans="1:19" x14ac:dyDescent="0.2">
      <c r="A172" s="1152" t="s">
        <v>3091</v>
      </c>
      <c r="B172" s="415" t="s">
        <v>3380</v>
      </c>
      <c r="C172" s="1161" t="s">
        <v>398</v>
      </c>
      <c r="D172" s="1162" t="s">
        <v>583</v>
      </c>
      <c r="E172" s="1139">
        <v>1100</v>
      </c>
      <c r="F172" s="1082" t="s">
        <v>3386</v>
      </c>
      <c r="G172" s="1103" t="str">
        <f t="shared" si="8"/>
        <v xml:space="preserve">  </v>
      </c>
      <c r="H172" s="1162"/>
      <c r="I172" s="415"/>
      <c r="J172" s="415"/>
      <c r="K172" s="948">
        <f t="shared" si="9"/>
        <v>5</v>
      </c>
      <c r="L172" s="1119">
        <v>12</v>
      </c>
      <c r="M172" s="1120">
        <f t="shared" si="10"/>
        <v>13200</v>
      </c>
      <c r="N172" s="1119">
        <v>2</v>
      </c>
      <c r="O172" s="1119">
        <v>6</v>
      </c>
      <c r="P172" s="1120">
        <f t="shared" si="11"/>
        <v>6600</v>
      </c>
      <c r="Q172" s="886"/>
      <c r="R172" s="886"/>
      <c r="S172" s="886"/>
    </row>
    <row r="173" spans="1:19" ht="24" x14ac:dyDescent="0.2">
      <c r="A173" s="1152" t="s">
        <v>3091</v>
      </c>
      <c r="B173" s="415" t="s">
        <v>3380</v>
      </c>
      <c r="C173" s="1161" t="s">
        <v>398</v>
      </c>
      <c r="D173" s="1162" t="s">
        <v>3387</v>
      </c>
      <c r="E173" s="1139">
        <v>3000</v>
      </c>
      <c r="F173" s="1082" t="s">
        <v>3388</v>
      </c>
      <c r="G173" s="1103" t="str">
        <f t="shared" si="8"/>
        <v xml:space="preserve">  </v>
      </c>
      <c r="H173" s="1162" t="s">
        <v>3383</v>
      </c>
      <c r="I173" s="415"/>
      <c r="J173" s="415"/>
      <c r="K173" s="948">
        <f t="shared" si="9"/>
        <v>5</v>
      </c>
      <c r="L173" s="1119">
        <v>12</v>
      </c>
      <c r="M173" s="1120">
        <f t="shared" si="10"/>
        <v>36000</v>
      </c>
      <c r="N173" s="1119">
        <v>2</v>
      </c>
      <c r="O173" s="1119">
        <v>6</v>
      </c>
      <c r="P173" s="1120">
        <f t="shared" si="11"/>
        <v>18000</v>
      </c>
      <c r="Q173" s="886"/>
      <c r="R173" s="886"/>
      <c r="S173" s="886"/>
    </row>
    <row r="174" spans="1:19" x14ac:dyDescent="0.2">
      <c r="A174" s="1152" t="s">
        <v>3091</v>
      </c>
      <c r="B174" s="415" t="s">
        <v>3380</v>
      </c>
      <c r="C174" s="1161" t="s">
        <v>398</v>
      </c>
      <c r="D174" s="1162" t="s">
        <v>3389</v>
      </c>
      <c r="E174" s="1139">
        <v>1200</v>
      </c>
      <c r="F174" s="1082" t="s">
        <v>3390</v>
      </c>
      <c r="G174" s="1103" t="str">
        <f t="shared" si="8"/>
        <v xml:space="preserve">  </v>
      </c>
      <c r="H174" s="1162"/>
      <c r="I174" s="415"/>
      <c r="J174" s="415"/>
      <c r="K174" s="948">
        <f t="shared" si="9"/>
        <v>5</v>
      </c>
      <c r="L174" s="1119">
        <v>12</v>
      </c>
      <c r="M174" s="1120">
        <f t="shared" si="10"/>
        <v>14400</v>
      </c>
      <c r="N174" s="1119">
        <v>2</v>
      </c>
      <c r="O174" s="1119">
        <v>6</v>
      </c>
      <c r="P174" s="1120">
        <f t="shared" si="11"/>
        <v>7200</v>
      </c>
      <c r="Q174" s="886"/>
      <c r="R174" s="886"/>
      <c r="S174" s="886"/>
    </row>
    <row r="175" spans="1:19" x14ac:dyDescent="0.2">
      <c r="A175" s="1152" t="s">
        <v>3091</v>
      </c>
      <c r="B175" s="415" t="s">
        <v>3380</v>
      </c>
      <c r="C175" s="1161" t="s">
        <v>398</v>
      </c>
      <c r="D175" s="1162" t="s">
        <v>3391</v>
      </c>
      <c r="E175" s="1139">
        <v>1200</v>
      </c>
      <c r="F175" s="1082" t="s">
        <v>3392</v>
      </c>
      <c r="G175" s="1103" t="str">
        <f t="shared" si="8"/>
        <v xml:space="preserve">  </v>
      </c>
      <c r="H175" s="1162"/>
      <c r="I175" s="415"/>
      <c r="J175" s="415"/>
      <c r="K175" s="948">
        <f t="shared" si="9"/>
        <v>5</v>
      </c>
      <c r="L175" s="1119">
        <v>12</v>
      </c>
      <c r="M175" s="1120">
        <f t="shared" si="10"/>
        <v>14400</v>
      </c>
      <c r="N175" s="1119">
        <v>2</v>
      </c>
      <c r="O175" s="1119">
        <v>6</v>
      </c>
      <c r="P175" s="1120">
        <f t="shared" si="11"/>
        <v>7200</v>
      </c>
      <c r="Q175" s="886"/>
      <c r="R175" s="886"/>
      <c r="S175" s="886"/>
    </row>
    <row r="176" spans="1:19" x14ac:dyDescent="0.2">
      <c r="A176" s="1152" t="s">
        <v>3091</v>
      </c>
      <c r="B176" s="415" t="s">
        <v>3380</v>
      </c>
      <c r="C176" s="1161" t="s">
        <v>398</v>
      </c>
      <c r="D176" s="1162" t="s">
        <v>3164</v>
      </c>
      <c r="E176" s="1139">
        <v>2000</v>
      </c>
      <c r="F176" s="1082" t="s">
        <v>3393</v>
      </c>
      <c r="G176" s="1103" t="str">
        <f t="shared" si="8"/>
        <v xml:space="preserve">  </v>
      </c>
      <c r="H176" s="1162"/>
      <c r="I176" s="415"/>
      <c r="J176" s="415"/>
      <c r="K176" s="948">
        <f t="shared" si="9"/>
        <v>5</v>
      </c>
      <c r="L176" s="1119">
        <v>12</v>
      </c>
      <c r="M176" s="1120">
        <f t="shared" si="10"/>
        <v>24000</v>
      </c>
      <c r="N176" s="1119">
        <v>2</v>
      </c>
      <c r="O176" s="1119">
        <v>6</v>
      </c>
      <c r="P176" s="1120">
        <f t="shared" si="11"/>
        <v>12000</v>
      </c>
      <c r="Q176" s="886"/>
      <c r="R176" s="886"/>
      <c r="S176" s="886"/>
    </row>
    <row r="177" spans="1:19" ht="24" x14ac:dyDescent="0.2">
      <c r="A177" s="1152" t="s">
        <v>3091</v>
      </c>
      <c r="B177" s="415" t="s">
        <v>3380</v>
      </c>
      <c r="C177" s="1161" t="s">
        <v>398</v>
      </c>
      <c r="D177" s="1162" t="s">
        <v>3394</v>
      </c>
      <c r="E177" s="1139">
        <v>3000</v>
      </c>
      <c r="F177" s="1082" t="s">
        <v>3395</v>
      </c>
      <c r="G177" s="1103" t="str">
        <f t="shared" si="8"/>
        <v xml:space="preserve">  </v>
      </c>
      <c r="H177" s="1162" t="s">
        <v>3129</v>
      </c>
      <c r="I177" s="415"/>
      <c r="J177" s="415"/>
      <c r="K177" s="948">
        <f t="shared" si="9"/>
        <v>5</v>
      </c>
      <c r="L177" s="1119">
        <v>12</v>
      </c>
      <c r="M177" s="1120">
        <f t="shared" si="10"/>
        <v>36000</v>
      </c>
      <c r="N177" s="1119">
        <v>2</v>
      </c>
      <c r="O177" s="1119">
        <v>6</v>
      </c>
      <c r="P177" s="1120">
        <f t="shared" si="11"/>
        <v>18000</v>
      </c>
      <c r="Q177" s="886"/>
      <c r="R177" s="886"/>
      <c r="S177" s="886"/>
    </row>
    <row r="178" spans="1:19" ht="24" x14ac:dyDescent="0.2">
      <c r="A178" s="1152" t="s">
        <v>3091</v>
      </c>
      <c r="B178" s="415" t="s">
        <v>3380</v>
      </c>
      <c r="C178" s="1161" t="s">
        <v>398</v>
      </c>
      <c r="D178" s="1162" t="s">
        <v>3396</v>
      </c>
      <c r="E178" s="1139">
        <v>5950</v>
      </c>
      <c r="F178" s="1082" t="s">
        <v>3397</v>
      </c>
      <c r="G178" s="1103" t="str">
        <f t="shared" si="8"/>
        <v xml:space="preserve">  </v>
      </c>
      <c r="H178" s="1162" t="s">
        <v>3383</v>
      </c>
      <c r="I178" s="415"/>
      <c r="J178" s="415"/>
      <c r="K178" s="948">
        <f t="shared" si="9"/>
        <v>5</v>
      </c>
      <c r="L178" s="1119">
        <v>12</v>
      </c>
      <c r="M178" s="1120">
        <f t="shared" si="10"/>
        <v>71400</v>
      </c>
      <c r="N178" s="1119">
        <v>2</v>
      </c>
      <c r="O178" s="1119">
        <v>6</v>
      </c>
      <c r="P178" s="1120">
        <f t="shared" si="11"/>
        <v>35700</v>
      </c>
      <c r="Q178" s="886"/>
      <c r="R178" s="886"/>
      <c r="S178" s="886"/>
    </row>
    <row r="179" spans="1:19" ht="24" x14ac:dyDescent="0.2">
      <c r="A179" s="1152" t="s">
        <v>3091</v>
      </c>
      <c r="B179" s="415" t="s">
        <v>3380</v>
      </c>
      <c r="C179" s="1161" t="s">
        <v>398</v>
      </c>
      <c r="D179" s="1162"/>
      <c r="E179" s="1139">
        <v>2500</v>
      </c>
      <c r="F179" s="1082" t="s">
        <v>3398</v>
      </c>
      <c r="G179" s="1103" t="str">
        <f t="shared" si="8"/>
        <v xml:space="preserve">  </v>
      </c>
      <c r="H179" s="1162" t="s">
        <v>3383</v>
      </c>
      <c r="I179" s="415"/>
      <c r="J179" s="415"/>
      <c r="K179" s="948">
        <f t="shared" si="9"/>
        <v>5</v>
      </c>
      <c r="L179" s="1119">
        <v>12</v>
      </c>
      <c r="M179" s="1120">
        <f t="shared" si="10"/>
        <v>30000</v>
      </c>
      <c r="N179" s="1119">
        <v>2</v>
      </c>
      <c r="O179" s="1119">
        <v>6</v>
      </c>
      <c r="P179" s="1120">
        <f t="shared" si="11"/>
        <v>15000</v>
      </c>
      <c r="Q179" s="886"/>
      <c r="R179" s="886"/>
      <c r="S179" s="886"/>
    </row>
    <row r="180" spans="1:19" ht="24" x14ac:dyDescent="0.2">
      <c r="A180" s="1152" t="s">
        <v>3091</v>
      </c>
      <c r="B180" s="415" t="s">
        <v>3380</v>
      </c>
      <c r="C180" s="1161" t="s">
        <v>398</v>
      </c>
      <c r="D180" s="1162" t="s">
        <v>3399</v>
      </c>
      <c r="E180" s="1139">
        <v>1700</v>
      </c>
      <c r="F180" s="1082" t="s">
        <v>3400</v>
      </c>
      <c r="G180" s="1103" t="str">
        <f t="shared" si="8"/>
        <v xml:space="preserve">  </v>
      </c>
      <c r="H180" s="1162" t="s">
        <v>3186</v>
      </c>
      <c r="I180" s="415"/>
      <c r="J180" s="415"/>
      <c r="K180" s="948">
        <f t="shared" si="9"/>
        <v>5</v>
      </c>
      <c r="L180" s="1119">
        <v>12</v>
      </c>
      <c r="M180" s="1120">
        <f t="shared" si="10"/>
        <v>20400</v>
      </c>
      <c r="N180" s="1119">
        <v>2</v>
      </c>
      <c r="O180" s="1119">
        <v>6</v>
      </c>
      <c r="P180" s="1120">
        <f t="shared" si="11"/>
        <v>10200</v>
      </c>
      <c r="Q180" s="886"/>
      <c r="R180" s="886"/>
      <c r="S180" s="886"/>
    </row>
    <row r="181" spans="1:19" ht="24" x14ac:dyDescent="0.2">
      <c r="A181" s="1152" t="s">
        <v>3091</v>
      </c>
      <c r="B181" s="415" t="s">
        <v>3380</v>
      </c>
      <c r="C181" s="1161" t="s">
        <v>398</v>
      </c>
      <c r="D181" s="1162" t="s">
        <v>3396</v>
      </c>
      <c r="E181" s="1139">
        <v>3000</v>
      </c>
      <c r="F181" s="1082" t="s">
        <v>3401</v>
      </c>
      <c r="G181" s="1103" t="str">
        <f t="shared" si="8"/>
        <v xml:space="preserve">  </v>
      </c>
      <c r="H181" s="1162" t="s">
        <v>3383</v>
      </c>
      <c r="I181" s="415"/>
      <c r="J181" s="415"/>
      <c r="K181" s="948">
        <f t="shared" si="9"/>
        <v>5</v>
      </c>
      <c r="L181" s="1119">
        <v>12</v>
      </c>
      <c r="M181" s="1120">
        <f t="shared" si="10"/>
        <v>36000</v>
      </c>
      <c r="N181" s="1119">
        <v>2</v>
      </c>
      <c r="O181" s="1119">
        <v>6</v>
      </c>
      <c r="P181" s="1120">
        <f t="shared" si="11"/>
        <v>18000</v>
      </c>
      <c r="Q181" s="886"/>
      <c r="R181" s="886"/>
      <c r="S181" s="886"/>
    </row>
    <row r="182" spans="1:19" ht="24" x14ac:dyDescent="0.2">
      <c r="A182" s="1152" t="s">
        <v>3091</v>
      </c>
      <c r="B182" s="415" t="s">
        <v>3380</v>
      </c>
      <c r="C182" s="1161" t="s">
        <v>398</v>
      </c>
      <c r="D182" s="1162" t="s">
        <v>3402</v>
      </c>
      <c r="E182" s="1139">
        <v>1200</v>
      </c>
      <c r="F182" s="1082" t="s">
        <v>3403</v>
      </c>
      <c r="G182" s="1103" t="str">
        <f t="shared" si="8"/>
        <v xml:space="preserve">  </v>
      </c>
      <c r="H182" s="1162" t="s">
        <v>3404</v>
      </c>
      <c r="I182" s="415"/>
      <c r="J182" s="415"/>
      <c r="K182" s="948">
        <f t="shared" si="9"/>
        <v>5</v>
      </c>
      <c r="L182" s="1119">
        <v>12</v>
      </c>
      <c r="M182" s="1120">
        <f t="shared" si="10"/>
        <v>14400</v>
      </c>
      <c r="N182" s="1119">
        <v>2</v>
      </c>
      <c r="O182" s="1119">
        <v>6</v>
      </c>
      <c r="P182" s="1120">
        <f t="shared" si="11"/>
        <v>7200</v>
      </c>
      <c r="Q182" s="886"/>
      <c r="R182" s="886"/>
      <c r="S182" s="886"/>
    </row>
    <row r="183" spans="1:19" ht="24" x14ac:dyDescent="0.2">
      <c r="A183" s="1152" t="s">
        <v>3091</v>
      </c>
      <c r="B183" s="415" t="s">
        <v>3380</v>
      </c>
      <c r="C183" s="1161" t="s">
        <v>398</v>
      </c>
      <c r="D183" s="1162"/>
      <c r="E183" s="1139">
        <v>1400</v>
      </c>
      <c r="F183" s="1082" t="s">
        <v>3405</v>
      </c>
      <c r="G183" s="1103" t="str">
        <f t="shared" si="8"/>
        <v xml:space="preserve">  </v>
      </c>
      <c r="H183" s="1162" t="s">
        <v>3171</v>
      </c>
      <c r="I183" s="415"/>
      <c r="J183" s="415"/>
      <c r="K183" s="948">
        <f t="shared" si="9"/>
        <v>5</v>
      </c>
      <c r="L183" s="1119">
        <v>12</v>
      </c>
      <c r="M183" s="1120">
        <f t="shared" si="10"/>
        <v>16800</v>
      </c>
      <c r="N183" s="1119">
        <v>2</v>
      </c>
      <c r="O183" s="1119">
        <v>6</v>
      </c>
      <c r="P183" s="1120">
        <f t="shared" si="11"/>
        <v>8400</v>
      </c>
      <c r="Q183" s="886"/>
      <c r="R183" s="886"/>
      <c r="S183" s="886"/>
    </row>
    <row r="184" spans="1:19" ht="36" x14ac:dyDescent="0.2">
      <c r="A184" s="1152" t="s">
        <v>3091</v>
      </c>
      <c r="B184" s="415" t="s">
        <v>3380</v>
      </c>
      <c r="C184" s="1161" t="s">
        <v>398</v>
      </c>
      <c r="D184" s="1162" t="s">
        <v>3406</v>
      </c>
      <c r="E184" s="1139">
        <v>2500</v>
      </c>
      <c r="F184" s="1082" t="s">
        <v>3407</v>
      </c>
      <c r="G184" s="1103" t="str">
        <f t="shared" si="8"/>
        <v xml:space="preserve">  </v>
      </c>
      <c r="H184" s="1162" t="s">
        <v>3408</v>
      </c>
      <c r="I184" s="415"/>
      <c r="J184" s="415"/>
      <c r="K184" s="948">
        <f t="shared" si="9"/>
        <v>5</v>
      </c>
      <c r="L184" s="1119">
        <v>12</v>
      </c>
      <c r="M184" s="1120">
        <f t="shared" si="10"/>
        <v>30000</v>
      </c>
      <c r="N184" s="1119">
        <v>2</v>
      </c>
      <c r="O184" s="1119">
        <v>6</v>
      </c>
      <c r="P184" s="1120">
        <f t="shared" si="11"/>
        <v>15000</v>
      </c>
      <c r="Q184" s="886"/>
      <c r="R184" s="886"/>
      <c r="S184" s="886"/>
    </row>
    <row r="185" spans="1:19" ht="24" x14ac:dyDescent="0.2">
      <c r="A185" s="1152" t="s">
        <v>3091</v>
      </c>
      <c r="B185" s="415" t="s">
        <v>3380</v>
      </c>
      <c r="C185" s="1161" t="s">
        <v>398</v>
      </c>
      <c r="D185" s="1162" t="s">
        <v>3146</v>
      </c>
      <c r="E185" s="1139">
        <v>4500</v>
      </c>
      <c r="F185" s="1082" t="s">
        <v>3409</v>
      </c>
      <c r="G185" s="1103" t="str">
        <f t="shared" si="8"/>
        <v xml:space="preserve">  </v>
      </c>
      <c r="H185" s="1162" t="s">
        <v>3383</v>
      </c>
      <c r="I185" s="415"/>
      <c r="J185" s="415"/>
      <c r="K185" s="948">
        <f t="shared" si="9"/>
        <v>5</v>
      </c>
      <c r="L185" s="1119">
        <v>12</v>
      </c>
      <c r="M185" s="1120">
        <f t="shared" si="10"/>
        <v>54000</v>
      </c>
      <c r="N185" s="1119">
        <v>2</v>
      </c>
      <c r="O185" s="1119">
        <v>6</v>
      </c>
      <c r="P185" s="1120">
        <f t="shared" si="11"/>
        <v>27000</v>
      </c>
      <c r="Q185" s="886"/>
      <c r="R185" s="886"/>
      <c r="S185" s="886"/>
    </row>
    <row r="186" spans="1:19" ht="24" x14ac:dyDescent="0.2">
      <c r="A186" s="1152" t="s">
        <v>3091</v>
      </c>
      <c r="B186" s="415" t="s">
        <v>3380</v>
      </c>
      <c r="C186" s="1161" t="s">
        <v>398</v>
      </c>
      <c r="D186" s="1162" t="s">
        <v>3410</v>
      </c>
      <c r="E186" s="1139">
        <v>1300</v>
      </c>
      <c r="F186" s="1082" t="s">
        <v>3411</v>
      </c>
      <c r="G186" s="1103" t="str">
        <f t="shared" si="8"/>
        <v xml:space="preserve">  </v>
      </c>
      <c r="H186" s="1162" t="s">
        <v>3186</v>
      </c>
      <c r="I186" s="415"/>
      <c r="J186" s="415"/>
      <c r="K186" s="948">
        <f t="shared" si="9"/>
        <v>5</v>
      </c>
      <c r="L186" s="1119">
        <v>12</v>
      </c>
      <c r="M186" s="1120">
        <f t="shared" si="10"/>
        <v>15600</v>
      </c>
      <c r="N186" s="1119">
        <v>2</v>
      </c>
      <c r="O186" s="1119">
        <v>6</v>
      </c>
      <c r="P186" s="1120">
        <f t="shared" si="11"/>
        <v>7800</v>
      </c>
      <c r="Q186" s="886"/>
      <c r="R186" s="886"/>
      <c r="S186" s="886"/>
    </row>
    <row r="187" spans="1:19" x14ac:dyDescent="0.2">
      <c r="A187" s="1152" t="s">
        <v>3091</v>
      </c>
      <c r="B187" s="415" t="s">
        <v>3380</v>
      </c>
      <c r="C187" s="1161" t="s">
        <v>398</v>
      </c>
      <c r="D187" s="1162" t="s">
        <v>3412</v>
      </c>
      <c r="E187" s="1139">
        <v>930</v>
      </c>
      <c r="F187" s="1082" t="s">
        <v>3413</v>
      </c>
      <c r="G187" s="1103" t="str">
        <f t="shared" si="8"/>
        <v xml:space="preserve">  </v>
      </c>
      <c r="H187" s="1162"/>
      <c r="I187" s="415"/>
      <c r="J187" s="415"/>
      <c r="K187" s="948">
        <f t="shared" si="9"/>
        <v>5</v>
      </c>
      <c r="L187" s="1119">
        <v>12</v>
      </c>
      <c r="M187" s="1120">
        <f t="shared" si="10"/>
        <v>11160</v>
      </c>
      <c r="N187" s="1119">
        <v>2</v>
      </c>
      <c r="O187" s="1119">
        <v>6</v>
      </c>
      <c r="P187" s="1120">
        <f t="shared" si="11"/>
        <v>5580</v>
      </c>
      <c r="Q187" s="886"/>
      <c r="R187" s="886"/>
      <c r="S187" s="886"/>
    </row>
    <row r="188" spans="1:19" ht="36" x14ac:dyDescent="0.2">
      <c r="A188" s="1152" t="s">
        <v>3091</v>
      </c>
      <c r="B188" s="415" t="s">
        <v>3380</v>
      </c>
      <c r="C188" s="1161" t="s">
        <v>398</v>
      </c>
      <c r="D188" s="1162" t="s">
        <v>3384</v>
      </c>
      <c r="E188" s="1139">
        <v>1800</v>
      </c>
      <c r="F188" s="1082" t="s">
        <v>3414</v>
      </c>
      <c r="G188" s="1103" t="str">
        <f t="shared" si="8"/>
        <v xml:space="preserve">  </v>
      </c>
      <c r="H188" s="1162" t="s">
        <v>3201</v>
      </c>
      <c r="I188" s="415"/>
      <c r="J188" s="415"/>
      <c r="K188" s="948">
        <f t="shared" si="9"/>
        <v>5</v>
      </c>
      <c r="L188" s="1119">
        <v>12</v>
      </c>
      <c r="M188" s="1120">
        <f t="shared" si="10"/>
        <v>21600</v>
      </c>
      <c r="N188" s="1119">
        <v>2</v>
      </c>
      <c r="O188" s="1119">
        <v>6</v>
      </c>
      <c r="P188" s="1120">
        <f t="shared" si="11"/>
        <v>10800</v>
      </c>
      <c r="Q188" s="886"/>
      <c r="R188" s="886"/>
      <c r="S188" s="886"/>
    </row>
    <row r="189" spans="1:19" ht="24" x14ac:dyDescent="0.2">
      <c r="A189" s="1152" t="s">
        <v>3091</v>
      </c>
      <c r="B189" s="415" t="s">
        <v>3380</v>
      </c>
      <c r="C189" s="1161" t="s">
        <v>398</v>
      </c>
      <c r="D189" s="1162" t="s">
        <v>3415</v>
      </c>
      <c r="E189" s="1139">
        <v>2500</v>
      </c>
      <c r="F189" s="1082" t="s">
        <v>3416</v>
      </c>
      <c r="G189" s="1103" t="str">
        <f t="shared" si="8"/>
        <v xml:space="preserve">  </v>
      </c>
      <c r="H189" s="1162" t="s">
        <v>3383</v>
      </c>
      <c r="I189" s="415"/>
      <c r="J189" s="415"/>
      <c r="K189" s="948">
        <f t="shared" si="9"/>
        <v>5</v>
      </c>
      <c r="L189" s="1119">
        <v>12</v>
      </c>
      <c r="M189" s="1120">
        <f t="shared" si="10"/>
        <v>30000</v>
      </c>
      <c r="N189" s="1119">
        <v>2</v>
      </c>
      <c r="O189" s="1119">
        <v>6</v>
      </c>
      <c r="P189" s="1120">
        <f t="shared" si="11"/>
        <v>15000</v>
      </c>
      <c r="Q189" s="886"/>
      <c r="R189" s="886"/>
      <c r="S189" s="886"/>
    </row>
    <row r="190" spans="1:19" ht="24" x14ac:dyDescent="0.2">
      <c r="A190" s="1152" t="s">
        <v>3091</v>
      </c>
      <c r="B190" s="415" t="s">
        <v>3380</v>
      </c>
      <c r="C190" s="1161" t="s">
        <v>398</v>
      </c>
      <c r="D190" s="1162" t="s">
        <v>3383</v>
      </c>
      <c r="E190" s="1139">
        <v>2500</v>
      </c>
      <c r="F190" s="1082" t="s">
        <v>3417</v>
      </c>
      <c r="G190" s="1103" t="str">
        <f t="shared" si="8"/>
        <v xml:space="preserve">  </v>
      </c>
      <c r="H190" s="1162" t="s">
        <v>3383</v>
      </c>
      <c r="I190" s="415"/>
      <c r="J190" s="415"/>
      <c r="K190" s="948">
        <f t="shared" si="9"/>
        <v>5</v>
      </c>
      <c r="L190" s="1119">
        <v>12</v>
      </c>
      <c r="M190" s="1120">
        <f t="shared" si="10"/>
        <v>30000</v>
      </c>
      <c r="N190" s="1119">
        <v>2</v>
      </c>
      <c r="O190" s="1119">
        <v>6</v>
      </c>
      <c r="P190" s="1120">
        <f t="shared" si="11"/>
        <v>15000</v>
      </c>
      <c r="Q190" s="886"/>
      <c r="R190" s="886"/>
      <c r="S190" s="886"/>
    </row>
    <row r="191" spans="1:19" x14ac:dyDescent="0.2">
      <c r="A191" s="1152" t="s">
        <v>3091</v>
      </c>
      <c r="B191" s="415" t="s">
        <v>3380</v>
      </c>
      <c r="C191" s="1161" t="s">
        <v>398</v>
      </c>
      <c r="D191" s="1162" t="s">
        <v>3418</v>
      </c>
      <c r="E191" s="1139">
        <v>1200</v>
      </c>
      <c r="F191" s="1082" t="s">
        <v>3419</v>
      </c>
      <c r="G191" s="1103" t="str">
        <f t="shared" si="8"/>
        <v xml:space="preserve">  </v>
      </c>
      <c r="H191" s="1162"/>
      <c r="I191" s="415"/>
      <c r="J191" s="415"/>
      <c r="K191" s="948">
        <f t="shared" si="9"/>
        <v>5</v>
      </c>
      <c r="L191" s="1119">
        <v>12</v>
      </c>
      <c r="M191" s="1120">
        <f t="shared" si="10"/>
        <v>14400</v>
      </c>
      <c r="N191" s="1119">
        <v>2</v>
      </c>
      <c r="O191" s="1119">
        <v>6</v>
      </c>
      <c r="P191" s="1120">
        <f t="shared" si="11"/>
        <v>7200</v>
      </c>
      <c r="Q191" s="886"/>
      <c r="R191" s="886"/>
      <c r="S191" s="886"/>
    </row>
    <row r="192" spans="1:19" x14ac:dyDescent="0.2">
      <c r="A192" s="1152" t="s">
        <v>3091</v>
      </c>
      <c r="B192" s="415" t="s">
        <v>3380</v>
      </c>
      <c r="C192" s="1161" t="s">
        <v>398</v>
      </c>
      <c r="D192" s="1162" t="s">
        <v>3420</v>
      </c>
      <c r="E192" s="1139">
        <v>1200</v>
      </c>
      <c r="F192" s="1082" t="s">
        <v>3421</v>
      </c>
      <c r="G192" s="1103" t="str">
        <f t="shared" si="8"/>
        <v xml:space="preserve">  </v>
      </c>
      <c r="H192" s="1162"/>
      <c r="I192" s="415"/>
      <c r="J192" s="415"/>
      <c r="K192" s="948">
        <f t="shared" si="9"/>
        <v>5</v>
      </c>
      <c r="L192" s="1119">
        <v>12</v>
      </c>
      <c r="M192" s="1120">
        <f t="shared" si="10"/>
        <v>14400</v>
      </c>
      <c r="N192" s="1119">
        <v>2</v>
      </c>
      <c r="O192" s="1119">
        <v>6</v>
      </c>
      <c r="P192" s="1120">
        <f t="shared" si="11"/>
        <v>7200</v>
      </c>
      <c r="Q192" s="886"/>
      <c r="R192" s="886"/>
      <c r="S192" s="886"/>
    </row>
    <row r="193" spans="1:19" ht="36" x14ac:dyDescent="0.2">
      <c r="A193" s="1152" t="s">
        <v>3091</v>
      </c>
      <c r="B193" s="415" t="s">
        <v>3380</v>
      </c>
      <c r="C193" s="1161" t="s">
        <v>398</v>
      </c>
      <c r="D193" s="1162" t="s">
        <v>3422</v>
      </c>
      <c r="E193" s="1139">
        <v>2500</v>
      </c>
      <c r="F193" s="1082" t="s">
        <v>3423</v>
      </c>
      <c r="G193" s="1103" t="str">
        <f t="shared" si="8"/>
        <v xml:space="preserve">  </v>
      </c>
      <c r="H193" s="1162" t="s">
        <v>3201</v>
      </c>
      <c r="I193" s="415"/>
      <c r="J193" s="415"/>
      <c r="K193" s="948">
        <f t="shared" si="9"/>
        <v>5</v>
      </c>
      <c r="L193" s="1119">
        <v>12</v>
      </c>
      <c r="M193" s="1120">
        <f t="shared" si="10"/>
        <v>30000</v>
      </c>
      <c r="N193" s="1119">
        <v>2</v>
      </c>
      <c r="O193" s="1119">
        <v>6</v>
      </c>
      <c r="P193" s="1120">
        <f t="shared" si="11"/>
        <v>15000</v>
      </c>
      <c r="Q193" s="886"/>
      <c r="R193" s="886"/>
      <c r="S193" s="886"/>
    </row>
    <row r="194" spans="1:19" x14ac:dyDescent="0.2">
      <c r="A194" s="1152" t="s">
        <v>3091</v>
      </c>
      <c r="B194" s="415" t="s">
        <v>3380</v>
      </c>
      <c r="C194" s="1161" t="s">
        <v>398</v>
      </c>
      <c r="D194" s="1162" t="s">
        <v>3424</v>
      </c>
      <c r="E194" s="1139">
        <v>1700</v>
      </c>
      <c r="F194" s="1082" t="s">
        <v>3425</v>
      </c>
      <c r="G194" s="1103" t="str">
        <f t="shared" si="8"/>
        <v xml:space="preserve">  </v>
      </c>
      <c r="H194" s="1162" t="s">
        <v>3424</v>
      </c>
      <c r="I194" s="415"/>
      <c r="J194" s="415"/>
      <c r="K194" s="948">
        <f t="shared" si="9"/>
        <v>5</v>
      </c>
      <c r="L194" s="1119">
        <v>12</v>
      </c>
      <c r="M194" s="1120">
        <f t="shared" si="10"/>
        <v>20400</v>
      </c>
      <c r="N194" s="1119">
        <v>2</v>
      </c>
      <c r="O194" s="1119">
        <v>6</v>
      </c>
      <c r="P194" s="1120">
        <f t="shared" si="11"/>
        <v>10200</v>
      </c>
      <c r="Q194" s="886"/>
      <c r="R194" s="886"/>
      <c r="S194" s="886"/>
    </row>
    <row r="195" spans="1:19" x14ac:dyDescent="0.2">
      <c r="A195" s="1152" t="s">
        <v>3091</v>
      </c>
      <c r="B195" s="415" t="s">
        <v>3380</v>
      </c>
      <c r="C195" s="1161" t="s">
        <v>398</v>
      </c>
      <c r="D195" s="1162" t="s">
        <v>3362</v>
      </c>
      <c r="E195" s="1139">
        <v>1700</v>
      </c>
      <c r="F195" s="1082" t="s">
        <v>3426</v>
      </c>
      <c r="G195" s="1103" t="str">
        <f t="shared" si="8"/>
        <v xml:space="preserve">  </v>
      </c>
      <c r="H195" s="1162" t="s">
        <v>3424</v>
      </c>
      <c r="I195" s="415"/>
      <c r="J195" s="415"/>
      <c r="K195" s="948">
        <f t="shared" si="9"/>
        <v>5</v>
      </c>
      <c r="L195" s="1119">
        <v>12</v>
      </c>
      <c r="M195" s="1120">
        <f t="shared" si="10"/>
        <v>20400</v>
      </c>
      <c r="N195" s="1119">
        <v>2</v>
      </c>
      <c r="O195" s="1119">
        <v>6</v>
      </c>
      <c r="P195" s="1120">
        <f t="shared" si="11"/>
        <v>10200</v>
      </c>
      <c r="Q195" s="886"/>
      <c r="R195" s="886"/>
      <c r="S195" s="886"/>
    </row>
    <row r="196" spans="1:19" ht="36" x14ac:dyDescent="0.2">
      <c r="A196" s="1152" t="s">
        <v>3091</v>
      </c>
      <c r="B196" s="415" t="s">
        <v>3380</v>
      </c>
      <c r="C196" s="1161" t="s">
        <v>398</v>
      </c>
      <c r="D196" s="1162" t="s">
        <v>3384</v>
      </c>
      <c r="E196" s="1139">
        <v>1800</v>
      </c>
      <c r="F196" s="1082" t="s">
        <v>3427</v>
      </c>
      <c r="G196" s="1103" t="str">
        <f t="shared" si="8"/>
        <v xml:space="preserve">  </v>
      </c>
      <c r="H196" s="1162" t="s">
        <v>3201</v>
      </c>
      <c r="I196" s="415"/>
      <c r="J196" s="415"/>
      <c r="K196" s="948">
        <f t="shared" si="9"/>
        <v>5</v>
      </c>
      <c r="L196" s="1119">
        <v>12</v>
      </c>
      <c r="M196" s="1120">
        <f t="shared" si="10"/>
        <v>21600</v>
      </c>
      <c r="N196" s="1119">
        <v>2</v>
      </c>
      <c r="O196" s="1119">
        <v>6</v>
      </c>
      <c r="P196" s="1120">
        <f t="shared" si="11"/>
        <v>10800</v>
      </c>
      <c r="Q196" s="886"/>
      <c r="R196" s="886"/>
      <c r="S196" s="886"/>
    </row>
    <row r="197" spans="1:19" ht="24" x14ac:dyDescent="0.2">
      <c r="A197" s="1152" t="s">
        <v>3091</v>
      </c>
      <c r="B197" s="415" t="s">
        <v>3380</v>
      </c>
      <c r="C197" s="1161" t="s">
        <v>398</v>
      </c>
      <c r="D197" s="1162" t="s">
        <v>3428</v>
      </c>
      <c r="E197" s="1139">
        <v>1700</v>
      </c>
      <c r="F197" s="1082" t="s">
        <v>3429</v>
      </c>
      <c r="G197" s="1103" t="str">
        <f t="shared" si="8"/>
        <v xml:space="preserve">  </v>
      </c>
      <c r="H197" s="1162" t="s">
        <v>3424</v>
      </c>
      <c r="I197" s="415"/>
      <c r="J197" s="415"/>
      <c r="K197" s="948">
        <f t="shared" si="9"/>
        <v>5</v>
      </c>
      <c r="L197" s="1119">
        <v>12</v>
      </c>
      <c r="M197" s="1120">
        <f t="shared" si="10"/>
        <v>20400</v>
      </c>
      <c r="N197" s="1119">
        <v>2</v>
      </c>
      <c r="O197" s="1119">
        <v>6</v>
      </c>
      <c r="P197" s="1120">
        <f t="shared" si="11"/>
        <v>10200</v>
      </c>
      <c r="Q197" s="886"/>
      <c r="R197" s="886"/>
      <c r="S197" s="886"/>
    </row>
    <row r="198" spans="1:19" ht="24" x14ac:dyDescent="0.2">
      <c r="A198" s="1152" t="s">
        <v>3091</v>
      </c>
      <c r="B198" s="415" t="s">
        <v>3380</v>
      </c>
      <c r="C198" s="1161" t="s">
        <v>398</v>
      </c>
      <c r="D198" s="1162" t="s">
        <v>3430</v>
      </c>
      <c r="E198" s="1139">
        <v>3000</v>
      </c>
      <c r="F198" s="1082" t="s">
        <v>3431</v>
      </c>
      <c r="G198" s="1103" t="str">
        <f t="shared" si="8"/>
        <v xml:space="preserve">  </v>
      </c>
      <c r="H198" s="1162" t="s">
        <v>3352</v>
      </c>
      <c r="I198" s="415"/>
      <c r="J198" s="415"/>
      <c r="K198" s="948">
        <f t="shared" si="9"/>
        <v>5</v>
      </c>
      <c r="L198" s="1119">
        <v>12</v>
      </c>
      <c r="M198" s="1120">
        <f t="shared" si="10"/>
        <v>36000</v>
      </c>
      <c r="N198" s="1119">
        <v>2</v>
      </c>
      <c r="O198" s="1119">
        <v>6</v>
      </c>
      <c r="P198" s="1120">
        <f t="shared" si="11"/>
        <v>18000</v>
      </c>
      <c r="Q198" s="886"/>
      <c r="R198" s="886"/>
      <c r="S198" s="886"/>
    </row>
    <row r="199" spans="1:19" ht="24" x14ac:dyDescent="0.2">
      <c r="A199" s="1152" t="s">
        <v>3091</v>
      </c>
      <c r="B199" s="415" t="s">
        <v>3380</v>
      </c>
      <c r="C199" s="1161" t="s">
        <v>398</v>
      </c>
      <c r="D199" s="1162"/>
      <c r="E199" s="1139">
        <v>4500</v>
      </c>
      <c r="F199" s="1082" t="s">
        <v>3432</v>
      </c>
      <c r="G199" s="1103" t="str">
        <f t="shared" si="8"/>
        <v xml:space="preserve">  </v>
      </c>
      <c r="H199" s="1162" t="s">
        <v>3383</v>
      </c>
      <c r="I199" s="415"/>
      <c r="J199" s="415"/>
      <c r="K199" s="948">
        <f t="shared" si="9"/>
        <v>5</v>
      </c>
      <c r="L199" s="1119">
        <v>12</v>
      </c>
      <c r="M199" s="1120">
        <f t="shared" si="10"/>
        <v>54000</v>
      </c>
      <c r="N199" s="1119">
        <v>2</v>
      </c>
      <c r="O199" s="1119">
        <v>6</v>
      </c>
      <c r="P199" s="1120">
        <f t="shared" si="11"/>
        <v>27000</v>
      </c>
      <c r="Q199" s="886"/>
      <c r="R199" s="886"/>
      <c r="S199" s="886"/>
    </row>
    <row r="200" spans="1:19" ht="36" x14ac:dyDescent="0.2">
      <c r="A200" s="1152" t="s">
        <v>3091</v>
      </c>
      <c r="B200" s="415" t="s">
        <v>3380</v>
      </c>
      <c r="C200" s="1161" t="s">
        <v>398</v>
      </c>
      <c r="D200" s="1162" t="s">
        <v>3433</v>
      </c>
      <c r="E200" s="1139">
        <v>930</v>
      </c>
      <c r="F200" s="1082" t="s">
        <v>3434</v>
      </c>
      <c r="G200" s="1103" t="str">
        <f t="shared" ref="G200:G264" si="12">CONCATENATE(W200," ",X200," ",Y200)</f>
        <v xml:space="preserve">  </v>
      </c>
      <c r="H200" s="1162"/>
      <c r="I200" s="415"/>
      <c r="J200" s="415"/>
      <c r="K200" s="948">
        <f t="shared" si="9"/>
        <v>5</v>
      </c>
      <c r="L200" s="1119">
        <v>12</v>
      </c>
      <c r="M200" s="1120">
        <f t="shared" si="10"/>
        <v>11160</v>
      </c>
      <c r="N200" s="1119">
        <v>2</v>
      </c>
      <c r="O200" s="1119">
        <v>6</v>
      </c>
      <c r="P200" s="1120">
        <f t="shared" si="11"/>
        <v>5580</v>
      </c>
      <c r="Q200" s="886"/>
      <c r="R200" s="886"/>
      <c r="S200" s="886"/>
    </row>
    <row r="201" spans="1:19" ht="24" x14ac:dyDescent="0.2">
      <c r="A201" s="1152" t="s">
        <v>3091</v>
      </c>
      <c r="B201" s="415" t="s">
        <v>3380</v>
      </c>
      <c r="C201" s="1161" t="s">
        <v>398</v>
      </c>
      <c r="D201" s="1162" t="s">
        <v>3435</v>
      </c>
      <c r="E201" s="1139">
        <v>2500</v>
      </c>
      <c r="F201" s="1082" t="s">
        <v>3436</v>
      </c>
      <c r="G201" s="1103" t="str">
        <f t="shared" si="12"/>
        <v xml:space="preserve">  </v>
      </c>
      <c r="H201" s="1162" t="s">
        <v>3224</v>
      </c>
      <c r="I201" s="415"/>
      <c r="J201" s="415"/>
      <c r="K201" s="948">
        <f t="shared" ref="K201:K232" si="13">1+4</f>
        <v>5</v>
      </c>
      <c r="L201" s="1119">
        <v>12</v>
      </c>
      <c r="M201" s="1120">
        <f t="shared" ref="M201:M265" si="14">E201*L201</f>
        <v>30000</v>
      </c>
      <c r="N201" s="1119">
        <v>2</v>
      </c>
      <c r="O201" s="1119">
        <v>6</v>
      </c>
      <c r="P201" s="1120">
        <f t="shared" ref="P201:P265" si="15">E201*O201</f>
        <v>15000</v>
      </c>
      <c r="Q201" s="886"/>
      <c r="R201" s="886"/>
      <c r="S201" s="886"/>
    </row>
    <row r="202" spans="1:19" ht="24" x14ac:dyDescent="0.2">
      <c r="A202" s="1152" t="s">
        <v>3091</v>
      </c>
      <c r="B202" s="415" t="s">
        <v>3380</v>
      </c>
      <c r="C202" s="1161" t="s">
        <v>398</v>
      </c>
      <c r="D202" s="1162" t="s">
        <v>3383</v>
      </c>
      <c r="E202" s="1139">
        <v>2500</v>
      </c>
      <c r="F202" s="1082" t="s">
        <v>3437</v>
      </c>
      <c r="G202" s="1103" t="str">
        <f t="shared" si="12"/>
        <v xml:space="preserve">  </v>
      </c>
      <c r="H202" s="1162" t="s">
        <v>3383</v>
      </c>
      <c r="I202" s="415"/>
      <c r="J202" s="415"/>
      <c r="K202" s="948">
        <f t="shared" si="13"/>
        <v>5</v>
      </c>
      <c r="L202" s="1119">
        <v>12</v>
      </c>
      <c r="M202" s="1120">
        <f t="shared" si="14"/>
        <v>30000</v>
      </c>
      <c r="N202" s="1119">
        <v>2</v>
      </c>
      <c r="O202" s="1119">
        <v>6</v>
      </c>
      <c r="P202" s="1120">
        <f t="shared" si="15"/>
        <v>15000</v>
      </c>
      <c r="Q202" s="886"/>
      <c r="R202" s="886"/>
      <c r="S202" s="886"/>
    </row>
    <row r="203" spans="1:19" ht="24" x14ac:dyDescent="0.2">
      <c r="A203" s="1152" t="s">
        <v>3091</v>
      </c>
      <c r="B203" s="415" t="s">
        <v>3380</v>
      </c>
      <c r="C203" s="1161" t="s">
        <v>398</v>
      </c>
      <c r="D203" s="1162" t="s">
        <v>3438</v>
      </c>
      <c r="E203" s="1139">
        <v>2500</v>
      </c>
      <c r="F203" s="1082" t="s">
        <v>3439</v>
      </c>
      <c r="G203" s="1103" t="str">
        <f t="shared" si="12"/>
        <v xml:space="preserve">  </v>
      </c>
      <c r="H203" s="1162" t="s">
        <v>3383</v>
      </c>
      <c r="I203" s="415"/>
      <c r="J203" s="415"/>
      <c r="K203" s="948">
        <f t="shared" si="13"/>
        <v>5</v>
      </c>
      <c r="L203" s="1119">
        <v>12</v>
      </c>
      <c r="M203" s="1120">
        <f t="shared" si="14"/>
        <v>30000</v>
      </c>
      <c r="N203" s="1119">
        <v>2</v>
      </c>
      <c r="O203" s="1119">
        <v>6</v>
      </c>
      <c r="P203" s="1120">
        <f t="shared" si="15"/>
        <v>15000</v>
      </c>
      <c r="Q203" s="886"/>
      <c r="R203" s="886"/>
      <c r="S203" s="886"/>
    </row>
    <row r="204" spans="1:19" ht="24" x14ac:dyDescent="0.2">
      <c r="A204" s="1152" t="s">
        <v>3091</v>
      </c>
      <c r="B204" s="415" t="s">
        <v>3380</v>
      </c>
      <c r="C204" s="1161" t="s">
        <v>398</v>
      </c>
      <c r="D204" s="1162" t="s">
        <v>3168</v>
      </c>
      <c r="E204" s="1139">
        <v>3000</v>
      </c>
      <c r="F204" s="1082" t="s">
        <v>3440</v>
      </c>
      <c r="G204" s="1103" t="str">
        <f t="shared" si="12"/>
        <v xml:space="preserve">  </v>
      </c>
      <c r="H204" s="1162" t="s">
        <v>3168</v>
      </c>
      <c r="I204" s="415"/>
      <c r="J204" s="415"/>
      <c r="K204" s="948">
        <f t="shared" si="13"/>
        <v>5</v>
      </c>
      <c r="L204" s="1119">
        <v>12</v>
      </c>
      <c r="M204" s="1120">
        <f t="shared" si="14"/>
        <v>36000</v>
      </c>
      <c r="N204" s="1119">
        <v>2</v>
      </c>
      <c r="O204" s="1119">
        <v>6</v>
      </c>
      <c r="P204" s="1120">
        <f t="shared" si="15"/>
        <v>18000</v>
      </c>
      <c r="Q204" s="886"/>
      <c r="R204" s="886"/>
      <c r="S204" s="886"/>
    </row>
    <row r="205" spans="1:19" x14ac:dyDescent="0.2">
      <c r="A205" s="1152" t="s">
        <v>3091</v>
      </c>
      <c r="B205" s="415" t="s">
        <v>3380</v>
      </c>
      <c r="C205" s="1161" t="s">
        <v>398</v>
      </c>
      <c r="D205" s="1162" t="s">
        <v>3112</v>
      </c>
      <c r="E205" s="1139">
        <v>930</v>
      </c>
      <c r="F205" s="1082" t="s">
        <v>3441</v>
      </c>
      <c r="G205" s="1103" t="str">
        <f t="shared" si="12"/>
        <v xml:space="preserve">  </v>
      </c>
      <c r="H205" s="1162"/>
      <c r="I205" s="415"/>
      <c r="J205" s="415"/>
      <c r="K205" s="948">
        <f t="shared" si="13"/>
        <v>5</v>
      </c>
      <c r="L205" s="1119">
        <v>12</v>
      </c>
      <c r="M205" s="1120">
        <f t="shared" si="14"/>
        <v>11160</v>
      </c>
      <c r="N205" s="1119">
        <v>2</v>
      </c>
      <c r="O205" s="1119">
        <v>6</v>
      </c>
      <c r="P205" s="1120">
        <f t="shared" si="15"/>
        <v>5580</v>
      </c>
      <c r="Q205" s="886"/>
      <c r="R205" s="886"/>
      <c r="S205" s="886"/>
    </row>
    <row r="206" spans="1:19" ht="24" x14ac:dyDescent="0.2">
      <c r="A206" s="1152" t="s">
        <v>3091</v>
      </c>
      <c r="B206" s="415" t="s">
        <v>3380</v>
      </c>
      <c r="C206" s="1161" t="s">
        <v>398</v>
      </c>
      <c r="D206" s="1162" t="s">
        <v>3442</v>
      </c>
      <c r="E206" s="1139">
        <v>930</v>
      </c>
      <c r="F206" s="1082" t="s">
        <v>3443</v>
      </c>
      <c r="G206" s="1103" t="str">
        <f t="shared" si="12"/>
        <v xml:space="preserve">  </v>
      </c>
      <c r="H206" s="1162" t="s">
        <v>3424</v>
      </c>
      <c r="I206" s="415"/>
      <c r="J206" s="415"/>
      <c r="K206" s="948">
        <f t="shared" si="13"/>
        <v>5</v>
      </c>
      <c r="L206" s="1119">
        <v>12</v>
      </c>
      <c r="M206" s="1120">
        <f t="shared" si="14"/>
        <v>11160</v>
      </c>
      <c r="N206" s="1119">
        <v>2</v>
      </c>
      <c r="O206" s="1119">
        <v>6</v>
      </c>
      <c r="P206" s="1120">
        <f t="shared" si="15"/>
        <v>5580</v>
      </c>
      <c r="Q206" s="886"/>
      <c r="R206" s="886"/>
      <c r="S206" s="886"/>
    </row>
    <row r="207" spans="1:19" x14ac:dyDescent="0.2">
      <c r="A207" s="1152" t="s">
        <v>3091</v>
      </c>
      <c r="B207" s="415" t="s">
        <v>3380</v>
      </c>
      <c r="C207" s="1161" t="s">
        <v>398</v>
      </c>
      <c r="D207" s="1162" t="s">
        <v>3444</v>
      </c>
      <c r="E207" s="1139">
        <v>1400</v>
      </c>
      <c r="F207" s="1082" t="s">
        <v>3445</v>
      </c>
      <c r="G207" s="1103" t="str">
        <f t="shared" si="12"/>
        <v xml:space="preserve">  </v>
      </c>
      <c r="H207" s="1162"/>
      <c r="I207" s="415"/>
      <c r="J207" s="415"/>
      <c r="K207" s="948">
        <f t="shared" si="13"/>
        <v>5</v>
      </c>
      <c r="L207" s="1119">
        <v>12</v>
      </c>
      <c r="M207" s="1120">
        <f t="shared" si="14"/>
        <v>16800</v>
      </c>
      <c r="N207" s="1119">
        <v>2</v>
      </c>
      <c r="O207" s="1119">
        <v>6</v>
      </c>
      <c r="P207" s="1120">
        <f t="shared" si="15"/>
        <v>8400</v>
      </c>
      <c r="Q207" s="886"/>
      <c r="R207" s="886"/>
      <c r="S207" s="886"/>
    </row>
    <row r="208" spans="1:19" ht="24" x14ac:dyDescent="0.2">
      <c r="A208" s="1152" t="s">
        <v>3091</v>
      </c>
      <c r="B208" s="415" t="s">
        <v>3380</v>
      </c>
      <c r="C208" s="1161" t="s">
        <v>398</v>
      </c>
      <c r="D208" s="1162"/>
      <c r="E208" s="1139">
        <v>2500</v>
      </c>
      <c r="F208" s="1082" t="s">
        <v>3446</v>
      </c>
      <c r="G208" s="1103" t="str">
        <f t="shared" si="12"/>
        <v xml:space="preserve">  </v>
      </c>
      <c r="H208" s="1162" t="s">
        <v>3383</v>
      </c>
      <c r="I208" s="415"/>
      <c r="J208" s="415"/>
      <c r="K208" s="948">
        <f t="shared" si="13"/>
        <v>5</v>
      </c>
      <c r="L208" s="1119">
        <v>12</v>
      </c>
      <c r="M208" s="1120">
        <f t="shared" si="14"/>
        <v>30000</v>
      </c>
      <c r="N208" s="1119">
        <v>2</v>
      </c>
      <c r="O208" s="1119">
        <v>6</v>
      </c>
      <c r="P208" s="1120">
        <f t="shared" si="15"/>
        <v>15000</v>
      </c>
      <c r="Q208" s="886"/>
      <c r="R208" s="886"/>
      <c r="S208" s="886"/>
    </row>
    <row r="209" spans="1:19" ht="24" x14ac:dyDescent="0.2">
      <c r="A209" s="1152" t="s">
        <v>3091</v>
      </c>
      <c r="B209" s="415" t="s">
        <v>3380</v>
      </c>
      <c r="C209" s="1161" t="s">
        <v>398</v>
      </c>
      <c r="D209" s="1162" t="s">
        <v>3383</v>
      </c>
      <c r="E209" s="1139">
        <v>2500</v>
      </c>
      <c r="F209" s="1082" t="s">
        <v>3447</v>
      </c>
      <c r="G209" s="1103" t="str">
        <f t="shared" si="12"/>
        <v xml:space="preserve">  </v>
      </c>
      <c r="H209" s="1162" t="s">
        <v>3383</v>
      </c>
      <c r="I209" s="415"/>
      <c r="J209" s="415"/>
      <c r="K209" s="948">
        <f t="shared" si="13"/>
        <v>5</v>
      </c>
      <c r="L209" s="1119">
        <v>12</v>
      </c>
      <c r="M209" s="1120">
        <f t="shared" si="14"/>
        <v>30000</v>
      </c>
      <c r="N209" s="1119">
        <v>2</v>
      </c>
      <c r="O209" s="1119">
        <v>6</v>
      </c>
      <c r="P209" s="1120">
        <f t="shared" si="15"/>
        <v>15000</v>
      </c>
      <c r="Q209" s="886"/>
      <c r="R209" s="886"/>
      <c r="S209" s="886"/>
    </row>
    <row r="210" spans="1:19" ht="24" x14ac:dyDescent="0.2">
      <c r="A210" s="1152" t="s">
        <v>3091</v>
      </c>
      <c r="B210" s="415" t="s">
        <v>3380</v>
      </c>
      <c r="C210" s="1161" t="s">
        <v>398</v>
      </c>
      <c r="D210" s="1162" t="s">
        <v>3448</v>
      </c>
      <c r="E210" s="1139">
        <v>2500</v>
      </c>
      <c r="F210" s="1082" t="s">
        <v>3449</v>
      </c>
      <c r="G210" s="1103" t="str">
        <f t="shared" si="12"/>
        <v xml:space="preserve">  </v>
      </c>
      <c r="H210" s="1162" t="s">
        <v>3383</v>
      </c>
      <c r="I210" s="415"/>
      <c r="J210" s="415"/>
      <c r="K210" s="948">
        <f t="shared" si="13"/>
        <v>5</v>
      </c>
      <c r="L210" s="1119">
        <v>12</v>
      </c>
      <c r="M210" s="1120">
        <f t="shared" si="14"/>
        <v>30000</v>
      </c>
      <c r="N210" s="1119">
        <v>2</v>
      </c>
      <c r="O210" s="1119">
        <v>6</v>
      </c>
      <c r="P210" s="1120">
        <f t="shared" si="15"/>
        <v>15000</v>
      </c>
      <c r="Q210" s="886"/>
      <c r="R210" s="886"/>
      <c r="S210" s="886"/>
    </row>
    <row r="211" spans="1:19" ht="24" x14ac:dyDescent="0.2">
      <c r="A211" s="1152" t="s">
        <v>3091</v>
      </c>
      <c r="B211" s="415" t="s">
        <v>3380</v>
      </c>
      <c r="C211" s="1161" t="s">
        <v>398</v>
      </c>
      <c r="D211" s="1162" t="s">
        <v>3450</v>
      </c>
      <c r="E211" s="1139">
        <v>1700</v>
      </c>
      <c r="F211" s="1082" t="s">
        <v>3451</v>
      </c>
      <c r="G211" s="1103" t="str">
        <f t="shared" si="12"/>
        <v xml:space="preserve">  </v>
      </c>
      <c r="H211" s="1162" t="s">
        <v>3383</v>
      </c>
      <c r="I211" s="415"/>
      <c r="J211" s="415"/>
      <c r="K211" s="948">
        <f t="shared" si="13"/>
        <v>5</v>
      </c>
      <c r="L211" s="1119">
        <v>12</v>
      </c>
      <c r="M211" s="1120">
        <f t="shared" si="14"/>
        <v>20400</v>
      </c>
      <c r="N211" s="1119">
        <v>2</v>
      </c>
      <c r="O211" s="1119">
        <v>6</v>
      </c>
      <c r="P211" s="1120">
        <f t="shared" si="15"/>
        <v>10200</v>
      </c>
      <c r="Q211" s="886"/>
      <c r="R211" s="886"/>
      <c r="S211" s="886"/>
    </row>
    <row r="212" spans="1:19" ht="24" x14ac:dyDescent="0.2">
      <c r="A212" s="1152" t="s">
        <v>3091</v>
      </c>
      <c r="B212" s="415" t="s">
        <v>3380</v>
      </c>
      <c r="C212" s="1161" t="s">
        <v>398</v>
      </c>
      <c r="D212" s="1162" t="s">
        <v>3396</v>
      </c>
      <c r="E212" s="1139">
        <v>3000</v>
      </c>
      <c r="F212" s="1082" t="s">
        <v>3452</v>
      </c>
      <c r="G212" s="1103" t="str">
        <f t="shared" si="12"/>
        <v xml:space="preserve">  </v>
      </c>
      <c r="H212" s="1162" t="s">
        <v>3383</v>
      </c>
      <c r="I212" s="415"/>
      <c r="J212" s="415"/>
      <c r="K212" s="948">
        <f t="shared" si="13"/>
        <v>5</v>
      </c>
      <c r="L212" s="1119">
        <v>12</v>
      </c>
      <c r="M212" s="1120">
        <f t="shared" si="14"/>
        <v>36000</v>
      </c>
      <c r="N212" s="1119">
        <v>2</v>
      </c>
      <c r="O212" s="1119">
        <v>6</v>
      </c>
      <c r="P212" s="1120">
        <f t="shared" si="15"/>
        <v>18000</v>
      </c>
      <c r="Q212" s="886"/>
      <c r="R212" s="886"/>
      <c r="S212" s="886"/>
    </row>
    <row r="213" spans="1:19" ht="24" x14ac:dyDescent="0.2">
      <c r="A213" s="1152" t="s">
        <v>3091</v>
      </c>
      <c r="B213" s="415" t="s">
        <v>3380</v>
      </c>
      <c r="C213" s="1161" t="s">
        <v>398</v>
      </c>
      <c r="D213" s="1162" t="s">
        <v>3453</v>
      </c>
      <c r="E213" s="1139">
        <v>2500</v>
      </c>
      <c r="F213" s="1082" t="s">
        <v>3454</v>
      </c>
      <c r="G213" s="1103" t="str">
        <f t="shared" si="12"/>
        <v xml:space="preserve">  </v>
      </c>
      <c r="H213" s="1162" t="s">
        <v>3383</v>
      </c>
      <c r="I213" s="415"/>
      <c r="J213" s="415"/>
      <c r="K213" s="948">
        <f t="shared" si="13"/>
        <v>5</v>
      </c>
      <c r="L213" s="1119">
        <v>12</v>
      </c>
      <c r="M213" s="1120">
        <f t="shared" si="14"/>
        <v>30000</v>
      </c>
      <c r="N213" s="1119">
        <v>2</v>
      </c>
      <c r="O213" s="1119">
        <v>6</v>
      </c>
      <c r="P213" s="1120">
        <f t="shared" si="15"/>
        <v>15000</v>
      </c>
      <c r="Q213" s="886"/>
      <c r="R213" s="886"/>
      <c r="S213" s="886"/>
    </row>
    <row r="214" spans="1:19" ht="36" x14ac:dyDescent="0.2">
      <c r="A214" s="1152" t="s">
        <v>3091</v>
      </c>
      <c r="B214" s="415" t="s">
        <v>3380</v>
      </c>
      <c r="C214" s="1161" t="s">
        <v>398</v>
      </c>
      <c r="D214" s="1162" t="s">
        <v>3455</v>
      </c>
      <c r="E214" s="1139">
        <v>930</v>
      </c>
      <c r="F214" s="1082" t="s">
        <v>3456</v>
      </c>
      <c r="G214" s="1103" t="str">
        <f t="shared" si="12"/>
        <v xml:space="preserve">  </v>
      </c>
      <c r="H214" s="1162" t="s">
        <v>3424</v>
      </c>
      <c r="I214" s="415"/>
      <c r="J214" s="415"/>
      <c r="K214" s="948">
        <f t="shared" si="13"/>
        <v>5</v>
      </c>
      <c r="L214" s="1119">
        <v>12</v>
      </c>
      <c r="M214" s="1120">
        <f t="shared" si="14"/>
        <v>11160</v>
      </c>
      <c r="N214" s="1119">
        <v>2</v>
      </c>
      <c r="O214" s="1119">
        <v>6</v>
      </c>
      <c r="P214" s="1120">
        <f t="shared" si="15"/>
        <v>5580</v>
      </c>
      <c r="Q214" s="886"/>
      <c r="R214" s="886"/>
      <c r="S214" s="886"/>
    </row>
    <row r="215" spans="1:19" ht="24" x14ac:dyDescent="0.2">
      <c r="A215" s="1152" t="s">
        <v>3091</v>
      </c>
      <c r="B215" s="415" t="s">
        <v>3380</v>
      </c>
      <c r="C215" s="1161" t="s">
        <v>398</v>
      </c>
      <c r="D215" s="1162" t="s">
        <v>3457</v>
      </c>
      <c r="E215" s="1139">
        <v>2500</v>
      </c>
      <c r="F215" s="1082" t="s">
        <v>3458</v>
      </c>
      <c r="G215" s="1103" t="str">
        <f t="shared" si="12"/>
        <v xml:space="preserve">  </v>
      </c>
      <c r="H215" s="1162" t="s">
        <v>3224</v>
      </c>
      <c r="I215" s="415"/>
      <c r="J215" s="415"/>
      <c r="K215" s="948">
        <f t="shared" si="13"/>
        <v>5</v>
      </c>
      <c r="L215" s="1119">
        <v>12</v>
      </c>
      <c r="M215" s="1120">
        <f t="shared" si="14"/>
        <v>30000</v>
      </c>
      <c r="N215" s="1119">
        <v>2</v>
      </c>
      <c r="O215" s="1119">
        <v>6</v>
      </c>
      <c r="P215" s="1120">
        <f t="shared" si="15"/>
        <v>15000</v>
      </c>
      <c r="Q215" s="886"/>
      <c r="R215" s="886"/>
      <c r="S215" s="886"/>
    </row>
    <row r="216" spans="1:19" ht="24" x14ac:dyDescent="0.2">
      <c r="A216" s="1152" t="s">
        <v>3091</v>
      </c>
      <c r="B216" s="415" t="s">
        <v>3380</v>
      </c>
      <c r="C216" s="1161" t="s">
        <v>398</v>
      </c>
      <c r="D216" s="1162" t="s">
        <v>3459</v>
      </c>
      <c r="E216" s="1139">
        <v>1700</v>
      </c>
      <c r="F216" s="1082" t="s">
        <v>3460</v>
      </c>
      <c r="G216" s="1103" t="str">
        <f t="shared" si="12"/>
        <v xml:space="preserve">  </v>
      </c>
      <c r="H216" s="1162"/>
      <c r="I216" s="415"/>
      <c r="J216" s="415"/>
      <c r="K216" s="948">
        <f t="shared" si="13"/>
        <v>5</v>
      </c>
      <c r="L216" s="1119">
        <v>12</v>
      </c>
      <c r="M216" s="1120">
        <f t="shared" si="14"/>
        <v>20400</v>
      </c>
      <c r="N216" s="1119">
        <v>2</v>
      </c>
      <c r="O216" s="1119">
        <v>6</v>
      </c>
      <c r="P216" s="1120">
        <f t="shared" si="15"/>
        <v>10200</v>
      </c>
      <c r="Q216" s="886"/>
      <c r="R216" s="886"/>
      <c r="S216" s="886"/>
    </row>
    <row r="217" spans="1:19" ht="24" x14ac:dyDescent="0.2">
      <c r="A217" s="1152" t="s">
        <v>3091</v>
      </c>
      <c r="B217" s="415" t="s">
        <v>3380</v>
      </c>
      <c r="C217" s="1161" t="s">
        <v>398</v>
      </c>
      <c r="D217" s="1162" t="s">
        <v>3387</v>
      </c>
      <c r="E217" s="1139">
        <v>3000</v>
      </c>
      <c r="F217" s="1082" t="s">
        <v>3461</v>
      </c>
      <c r="G217" s="1103" t="str">
        <f t="shared" si="12"/>
        <v xml:space="preserve">  </v>
      </c>
      <c r="H217" s="1162" t="s">
        <v>3383</v>
      </c>
      <c r="I217" s="415"/>
      <c r="J217" s="415"/>
      <c r="K217" s="948">
        <f t="shared" si="13"/>
        <v>5</v>
      </c>
      <c r="L217" s="1119">
        <v>12</v>
      </c>
      <c r="M217" s="1120">
        <f t="shared" si="14"/>
        <v>36000</v>
      </c>
      <c r="N217" s="1119">
        <v>2</v>
      </c>
      <c r="O217" s="1119">
        <v>6</v>
      </c>
      <c r="P217" s="1120">
        <f t="shared" si="15"/>
        <v>18000</v>
      </c>
      <c r="Q217" s="886"/>
      <c r="R217" s="886"/>
      <c r="S217" s="886"/>
    </row>
    <row r="218" spans="1:19" ht="24" x14ac:dyDescent="0.2">
      <c r="A218" s="1152" t="s">
        <v>3091</v>
      </c>
      <c r="B218" s="415" t="s">
        <v>3380</v>
      </c>
      <c r="C218" s="1161" t="s">
        <v>398</v>
      </c>
      <c r="D218" s="1162" t="s">
        <v>3160</v>
      </c>
      <c r="E218" s="1139">
        <v>4500</v>
      </c>
      <c r="F218" s="1082" t="s">
        <v>3462</v>
      </c>
      <c r="G218" s="1103" t="str">
        <f t="shared" si="12"/>
        <v xml:space="preserve">  </v>
      </c>
      <c r="H218" s="1162" t="s">
        <v>3109</v>
      </c>
      <c r="I218" s="415"/>
      <c r="J218" s="415"/>
      <c r="K218" s="948">
        <f t="shared" si="13"/>
        <v>5</v>
      </c>
      <c r="L218" s="1119">
        <v>12</v>
      </c>
      <c r="M218" s="1120">
        <f t="shared" si="14"/>
        <v>54000</v>
      </c>
      <c r="N218" s="1119">
        <v>2</v>
      </c>
      <c r="O218" s="1119">
        <v>6</v>
      </c>
      <c r="P218" s="1120">
        <f t="shared" si="15"/>
        <v>27000</v>
      </c>
      <c r="Q218" s="886"/>
      <c r="R218" s="886"/>
      <c r="S218" s="886"/>
    </row>
    <row r="219" spans="1:19" ht="24" x14ac:dyDescent="0.2">
      <c r="A219" s="1152" t="s">
        <v>3091</v>
      </c>
      <c r="B219" s="415" t="s">
        <v>3380</v>
      </c>
      <c r="C219" s="1161" t="s">
        <v>398</v>
      </c>
      <c r="D219" s="1162" t="s">
        <v>3463</v>
      </c>
      <c r="E219" s="1139">
        <v>2500</v>
      </c>
      <c r="F219" s="1082" t="s">
        <v>3464</v>
      </c>
      <c r="G219" s="1103" t="str">
        <f t="shared" si="12"/>
        <v xml:space="preserve">  </v>
      </c>
      <c r="H219" s="1162" t="s">
        <v>3383</v>
      </c>
      <c r="I219" s="415"/>
      <c r="J219" s="415"/>
      <c r="K219" s="948">
        <f t="shared" si="13"/>
        <v>5</v>
      </c>
      <c r="L219" s="1119">
        <v>12</v>
      </c>
      <c r="M219" s="1120">
        <f t="shared" si="14"/>
        <v>30000</v>
      </c>
      <c r="N219" s="1119">
        <v>2</v>
      </c>
      <c r="O219" s="1119">
        <v>6</v>
      </c>
      <c r="P219" s="1120">
        <f t="shared" si="15"/>
        <v>15000</v>
      </c>
      <c r="Q219" s="886"/>
      <c r="R219" s="886"/>
      <c r="S219" s="886"/>
    </row>
    <row r="220" spans="1:19" ht="36" x14ac:dyDescent="0.2">
      <c r="A220" s="1152" t="s">
        <v>3091</v>
      </c>
      <c r="B220" s="415" t="s">
        <v>3380</v>
      </c>
      <c r="C220" s="1161" t="s">
        <v>398</v>
      </c>
      <c r="D220" s="1162" t="s">
        <v>3465</v>
      </c>
      <c r="E220" s="1139">
        <v>930</v>
      </c>
      <c r="F220" s="1082" t="s">
        <v>3466</v>
      </c>
      <c r="G220" s="1103" t="str">
        <f t="shared" si="12"/>
        <v xml:space="preserve">  </v>
      </c>
      <c r="H220" s="1162"/>
      <c r="I220" s="415"/>
      <c r="J220" s="415"/>
      <c r="K220" s="948">
        <f t="shared" si="13"/>
        <v>5</v>
      </c>
      <c r="L220" s="1119">
        <v>12</v>
      </c>
      <c r="M220" s="1120">
        <f t="shared" si="14"/>
        <v>11160</v>
      </c>
      <c r="N220" s="1119">
        <v>2</v>
      </c>
      <c r="O220" s="1119">
        <v>6</v>
      </c>
      <c r="P220" s="1120">
        <f t="shared" si="15"/>
        <v>5580</v>
      </c>
      <c r="Q220" s="886"/>
      <c r="R220" s="886"/>
      <c r="S220" s="886"/>
    </row>
    <row r="221" spans="1:19" x14ac:dyDescent="0.2">
      <c r="A221" s="1152" t="s">
        <v>3091</v>
      </c>
      <c r="B221" s="415" t="s">
        <v>3380</v>
      </c>
      <c r="C221" s="1161" t="s">
        <v>398</v>
      </c>
      <c r="D221" s="1162" t="s">
        <v>3467</v>
      </c>
      <c r="E221" s="1139">
        <v>1200</v>
      </c>
      <c r="F221" s="1082" t="s">
        <v>3468</v>
      </c>
      <c r="G221" s="1103" t="str">
        <f t="shared" si="12"/>
        <v xml:space="preserve">  </v>
      </c>
      <c r="H221" s="1162"/>
      <c r="I221" s="415"/>
      <c r="J221" s="415"/>
      <c r="K221" s="948">
        <f t="shared" si="13"/>
        <v>5</v>
      </c>
      <c r="L221" s="1119">
        <v>12</v>
      </c>
      <c r="M221" s="1120">
        <f t="shared" si="14"/>
        <v>14400</v>
      </c>
      <c r="N221" s="1119">
        <v>2</v>
      </c>
      <c r="O221" s="1119">
        <v>6</v>
      </c>
      <c r="P221" s="1120">
        <f t="shared" si="15"/>
        <v>7200</v>
      </c>
      <c r="Q221" s="886"/>
      <c r="R221" s="886"/>
      <c r="S221" s="886"/>
    </row>
    <row r="222" spans="1:19" x14ac:dyDescent="0.2">
      <c r="A222" s="1152" t="s">
        <v>3091</v>
      </c>
      <c r="B222" s="415" t="s">
        <v>3380</v>
      </c>
      <c r="C222" s="1161" t="s">
        <v>398</v>
      </c>
      <c r="D222" s="1162" t="s">
        <v>3424</v>
      </c>
      <c r="E222" s="1139">
        <v>1700</v>
      </c>
      <c r="F222" s="1082" t="s">
        <v>3469</v>
      </c>
      <c r="G222" s="1103" t="str">
        <f t="shared" si="12"/>
        <v xml:space="preserve">  </v>
      </c>
      <c r="H222" s="1162" t="s">
        <v>3424</v>
      </c>
      <c r="I222" s="415"/>
      <c r="J222" s="415"/>
      <c r="K222" s="948">
        <f t="shared" si="13"/>
        <v>5</v>
      </c>
      <c r="L222" s="1119">
        <v>12</v>
      </c>
      <c r="M222" s="1120">
        <f t="shared" si="14"/>
        <v>20400</v>
      </c>
      <c r="N222" s="1119">
        <v>2</v>
      </c>
      <c r="O222" s="1119">
        <v>6</v>
      </c>
      <c r="P222" s="1120">
        <f t="shared" si="15"/>
        <v>10200</v>
      </c>
      <c r="Q222" s="886"/>
      <c r="R222" s="886"/>
      <c r="S222" s="886"/>
    </row>
    <row r="223" spans="1:19" ht="24" x14ac:dyDescent="0.2">
      <c r="A223" s="1152" t="s">
        <v>3091</v>
      </c>
      <c r="B223" s="415" t="s">
        <v>3380</v>
      </c>
      <c r="C223" s="1161" t="s">
        <v>398</v>
      </c>
      <c r="D223" s="1162" t="s">
        <v>3387</v>
      </c>
      <c r="E223" s="1139">
        <v>3000</v>
      </c>
      <c r="F223" s="1082" t="s">
        <v>3470</v>
      </c>
      <c r="G223" s="1103" t="str">
        <f t="shared" si="12"/>
        <v xml:space="preserve">  </v>
      </c>
      <c r="H223" s="1162" t="s">
        <v>3383</v>
      </c>
      <c r="I223" s="415"/>
      <c r="J223" s="415"/>
      <c r="K223" s="948">
        <f t="shared" si="13"/>
        <v>5</v>
      </c>
      <c r="L223" s="1119">
        <v>12</v>
      </c>
      <c r="M223" s="1120">
        <f t="shared" si="14"/>
        <v>36000</v>
      </c>
      <c r="N223" s="1119">
        <v>2</v>
      </c>
      <c r="O223" s="1119">
        <v>6</v>
      </c>
      <c r="P223" s="1120">
        <f t="shared" si="15"/>
        <v>18000</v>
      </c>
      <c r="Q223" s="886"/>
      <c r="R223" s="886"/>
      <c r="S223" s="886"/>
    </row>
    <row r="224" spans="1:19" x14ac:dyDescent="0.2">
      <c r="A224" s="1152" t="s">
        <v>3091</v>
      </c>
      <c r="B224" s="415" t="s">
        <v>3380</v>
      </c>
      <c r="C224" s="1161" t="s">
        <v>398</v>
      </c>
      <c r="D224" s="1162" t="s">
        <v>3424</v>
      </c>
      <c r="E224" s="1139">
        <v>1700</v>
      </c>
      <c r="F224" s="1082" t="s">
        <v>3471</v>
      </c>
      <c r="G224" s="1103" t="str">
        <f t="shared" si="12"/>
        <v xml:space="preserve">  </v>
      </c>
      <c r="H224" s="1162" t="s">
        <v>3424</v>
      </c>
      <c r="I224" s="415"/>
      <c r="J224" s="415"/>
      <c r="K224" s="948">
        <f t="shared" si="13"/>
        <v>5</v>
      </c>
      <c r="L224" s="1119">
        <v>12</v>
      </c>
      <c r="M224" s="1120">
        <f t="shared" si="14"/>
        <v>20400</v>
      </c>
      <c r="N224" s="1119">
        <v>2</v>
      </c>
      <c r="O224" s="1119">
        <v>6</v>
      </c>
      <c r="P224" s="1120">
        <f t="shared" si="15"/>
        <v>10200</v>
      </c>
      <c r="Q224" s="886"/>
      <c r="R224" s="886"/>
      <c r="S224" s="886"/>
    </row>
    <row r="225" spans="1:19" x14ac:dyDescent="0.2">
      <c r="A225" s="1152" t="s">
        <v>3091</v>
      </c>
      <c r="B225" s="415" t="s">
        <v>3380</v>
      </c>
      <c r="C225" s="1161" t="s">
        <v>398</v>
      </c>
      <c r="D225" s="1162"/>
      <c r="E225" s="1139">
        <v>1500</v>
      </c>
      <c r="F225" s="1082" t="s">
        <v>3472</v>
      </c>
      <c r="G225" s="1103" t="str">
        <f t="shared" si="12"/>
        <v xml:space="preserve">  </v>
      </c>
      <c r="H225" s="1162"/>
      <c r="I225" s="415"/>
      <c r="J225" s="415"/>
      <c r="K225" s="948">
        <f t="shared" si="13"/>
        <v>5</v>
      </c>
      <c r="L225" s="1119">
        <v>12</v>
      </c>
      <c r="M225" s="1120">
        <f t="shared" si="14"/>
        <v>18000</v>
      </c>
      <c r="N225" s="1119">
        <v>2</v>
      </c>
      <c r="O225" s="1119">
        <v>6</v>
      </c>
      <c r="P225" s="1120">
        <f t="shared" si="15"/>
        <v>9000</v>
      </c>
      <c r="Q225" s="886"/>
      <c r="R225" s="886"/>
      <c r="S225" s="886"/>
    </row>
    <row r="226" spans="1:19" x14ac:dyDescent="0.2">
      <c r="A226" s="1152" t="s">
        <v>3091</v>
      </c>
      <c r="B226" s="415" t="s">
        <v>3380</v>
      </c>
      <c r="C226" s="1161" t="s">
        <v>398</v>
      </c>
      <c r="D226" s="1162" t="s">
        <v>3473</v>
      </c>
      <c r="E226" s="1139">
        <v>1000</v>
      </c>
      <c r="F226" s="1082" t="s">
        <v>3474</v>
      </c>
      <c r="G226" s="1103" t="str">
        <f t="shared" si="12"/>
        <v xml:space="preserve">  </v>
      </c>
      <c r="H226" s="1162"/>
      <c r="I226" s="415"/>
      <c r="J226" s="415"/>
      <c r="K226" s="948">
        <f t="shared" si="13"/>
        <v>5</v>
      </c>
      <c r="L226" s="1119">
        <v>12</v>
      </c>
      <c r="M226" s="1120">
        <f t="shared" si="14"/>
        <v>12000</v>
      </c>
      <c r="N226" s="1119">
        <v>2</v>
      </c>
      <c r="O226" s="1119">
        <v>6</v>
      </c>
      <c r="P226" s="1120">
        <f t="shared" si="15"/>
        <v>6000</v>
      </c>
      <c r="Q226" s="886"/>
      <c r="R226" s="886"/>
      <c r="S226" s="886"/>
    </row>
    <row r="227" spans="1:19" ht="24" x14ac:dyDescent="0.2">
      <c r="A227" s="1152" t="s">
        <v>3091</v>
      </c>
      <c r="B227" s="415" t="s">
        <v>3380</v>
      </c>
      <c r="C227" s="1161" t="s">
        <v>398</v>
      </c>
      <c r="D227" s="1162" t="s">
        <v>3475</v>
      </c>
      <c r="E227" s="1139">
        <v>1700</v>
      </c>
      <c r="F227" s="1082" t="s">
        <v>3476</v>
      </c>
      <c r="G227" s="1103" t="str">
        <f t="shared" si="12"/>
        <v xml:space="preserve">  </v>
      </c>
      <c r="H227" s="1162" t="s">
        <v>3424</v>
      </c>
      <c r="I227" s="415"/>
      <c r="J227" s="415"/>
      <c r="K227" s="948">
        <f t="shared" si="13"/>
        <v>5</v>
      </c>
      <c r="L227" s="1119">
        <v>12</v>
      </c>
      <c r="M227" s="1120">
        <f t="shared" si="14"/>
        <v>20400</v>
      </c>
      <c r="N227" s="1119">
        <v>2</v>
      </c>
      <c r="O227" s="1119">
        <v>6</v>
      </c>
      <c r="P227" s="1120">
        <f t="shared" si="15"/>
        <v>10200</v>
      </c>
      <c r="Q227" s="886"/>
      <c r="R227" s="886"/>
      <c r="S227" s="886"/>
    </row>
    <row r="228" spans="1:19" x14ac:dyDescent="0.2">
      <c r="A228" s="1152" t="s">
        <v>3091</v>
      </c>
      <c r="B228" s="415" t="s">
        <v>3380</v>
      </c>
      <c r="C228" s="1161" t="s">
        <v>398</v>
      </c>
      <c r="D228" s="1162" t="s">
        <v>3115</v>
      </c>
      <c r="E228" s="1139">
        <v>1300</v>
      </c>
      <c r="F228" s="1082" t="s">
        <v>3477</v>
      </c>
      <c r="G228" s="1141" t="str">
        <f t="shared" si="12"/>
        <v xml:space="preserve">  </v>
      </c>
      <c r="H228" s="1162"/>
      <c r="I228" s="415"/>
      <c r="J228" s="415"/>
      <c r="K228" s="948">
        <f t="shared" si="13"/>
        <v>5</v>
      </c>
      <c r="L228" s="1119">
        <v>12</v>
      </c>
      <c r="M228" s="1120">
        <f t="shared" si="14"/>
        <v>15600</v>
      </c>
      <c r="N228" s="1119">
        <v>2</v>
      </c>
      <c r="O228" s="1119">
        <v>6</v>
      </c>
      <c r="P228" s="1120">
        <f t="shared" si="15"/>
        <v>7800</v>
      </c>
      <c r="Q228" s="886"/>
      <c r="R228" s="886"/>
      <c r="S228" s="886"/>
    </row>
    <row r="229" spans="1:19" ht="24" x14ac:dyDescent="0.2">
      <c r="A229" s="1152" t="s">
        <v>3091</v>
      </c>
      <c r="B229" s="415" t="s">
        <v>3380</v>
      </c>
      <c r="C229" s="1161" t="s">
        <v>398</v>
      </c>
      <c r="D229" s="1162" t="s">
        <v>3478</v>
      </c>
      <c r="E229" s="1139">
        <v>930</v>
      </c>
      <c r="F229" s="1082" t="s">
        <v>3479</v>
      </c>
      <c r="G229" s="1141" t="str">
        <f t="shared" si="12"/>
        <v xml:space="preserve">  </v>
      </c>
      <c r="H229" s="1162" t="s">
        <v>3171</v>
      </c>
      <c r="I229" s="415"/>
      <c r="J229" s="415"/>
      <c r="K229" s="948">
        <f t="shared" si="13"/>
        <v>5</v>
      </c>
      <c r="L229" s="1119">
        <v>12</v>
      </c>
      <c r="M229" s="1120">
        <f t="shared" si="14"/>
        <v>11160</v>
      </c>
      <c r="N229" s="1119">
        <v>2</v>
      </c>
      <c r="O229" s="1119">
        <v>6</v>
      </c>
      <c r="P229" s="1120">
        <f t="shared" si="15"/>
        <v>5580</v>
      </c>
      <c r="Q229" s="886"/>
      <c r="R229" s="886"/>
      <c r="S229" s="886"/>
    </row>
    <row r="230" spans="1:19" ht="36" x14ac:dyDescent="0.2">
      <c r="A230" s="1152" t="s">
        <v>3091</v>
      </c>
      <c r="B230" s="415" t="s">
        <v>3380</v>
      </c>
      <c r="C230" s="1161" t="s">
        <v>398</v>
      </c>
      <c r="D230" s="1162" t="s">
        <v>3480</v>
      </c>
      <c r="E230" s="1139">
        <v>4000</v>
      </c>
      <c r="F230" s="1082" t="s">
        <v>3481</v>
      </c>
      <c r="G230" s="1141" t="str">
        <f t="shared" si="12"/>
        <v xml:space="preserve">  </v>
      </c>
      <c r="H230" s="1162" t="s">
        <v>3482</v>
      </c>
      <c r="I230" s="415"/>
      <c r="J230" s="415"/>
      <c r="K230" s="948">
        <f t="shared" si="13"/>
        <v>5</v>
      </c>
      <c r="L230" s="1119">
        <v>12</v>
      </c>
      <c r="M230" s="1120">
        <f t="shared" si="14"/>
        <v>48000</v>
      </c>
      <c r="N230" s="1119">
        <v>2</v>
      </c>
      <c r="O230" s="1119">
        <v>6</v>
      </c>
      <c r="P230" s="1120">
        <f t="shared" si="15"/>
        <v>24000</v>
      </c>
      <c r="Q230" s="886"/>
      <c r="R230" s="886"/>
      <c r="S230" s="886"/>
    </row>
    <row r="231" spans="1:19" x14ac:dyDescent="0.2">
      <c r="A231" s="1152" t="s">
        <v>3091</v>
      </c>
      <c r="B231" s="415" t="s">
        <v>3380</v>
      </c>
      <c r="C231" s="1161" t="s">
        <v>398</v>
      </c>
      <c r="D231" s="1162" t="s">
        <v>3362</v>
      </c>
      <c r="E231" s="1139">
        <v>930</v>
      </c>
      <c r="F231" s="1082" t="s">
        <v>3483</v>
      </c>
      <c r="G231" s="1141" t="str">
        <f t="shared" si="12"/>
        <v xml:space="preserve">  </v>
      </c>
      <c r="H231" s="1162"/>
      <c r="I231" s="415"/>
      <c r="J231" s="415"/>
      <c r="K231" s="948">
        <f t="shared" si="13"/>
        <v>5</v>
      </c>
      <c r="L231" s="1119">
        <v>12</v>
      </c>
      <c r="M231" s="1120">
        <f t="shared" si="14"/>
        <v>11160</v>
      </c>
      <c r="N231" s="1119">
        <v>2</v>
      </c>
      <c r="O231" s="1119">
        <v>6</v>
      </c>
      <c r="P231" s="1120">
        <f t="shared" si="15"/>
        <v>5580</v>
      </c>
      <c r="Q231" s="886"/>
      <c r="R231" s="886"/>
      <c r="S231" s="886"/>
    </row>
    <row r="232" spans="1:19" x14ac:dyDescent="0.2">
      <c r="A232" s="1152" t="s">
        <v>3091</v>
      </c>
      <c r="B232" s="415" t="s">
        <v>3380</v>
      </c>
      <c r="C232" s="1161" t="s">
        <v>398</v>
      </c>
      <c r="D232" s="1162" t="s">
        <v>3362</v>
      </c>
      <c r="E232" s="1139">
        <v>930</v>
      </c>
      <c r="F232" s="1082" t="s">
        <v>3484</v>
      </c>
      <c r="G232" s="1141" t="str">
        <f t="shared" si="12"/>
        <v xml:space="preserve">  </v>
      </c>
      <c r="H232" s="1162"/>
      <c r="I232" s="415"/>
      <c r="J232" s="415"/>
      <c r="K232" s="948">
        <f t="shared" si="13"/>
        <v>5</v>
      </c>
      <c r="L232" s="1119">
        <v>12</v>
      </c>
      <c r="M232" s="1120">
        <f t="shared" si="14"/>
        <v>11160</v>
      </c>
      <c r="N232" s="1119">
        <v>2</v>
      </c>
      <c r="O232" s="1119">
        <v>6</v>
      </c>
      <c r="P232" s="1120">
        <f t="shared" si="15"/>
        <v>5580</v>
      </c>
      <c r="Q232" s="886"/>
      <c r="R232" s="886"/>
      <c r="S232" s="886"/>
    </row>
    <row r="233" spans="1:19" x14ac:dyDescent="0.2">
      <c r="A233" s="1530" t="s">
        <v>3485</v>
      </c>
      <c r="B233" s="1530"/>
      <c r="C233" s="1161"/>
      <c r="D233" s="1162"/>
      <c r="E233" s="1163">
        <f>SUM(E8:E232)</f>
        <v>455983.33</v>
      </c>
      <c r="F233" s="1164"/>
      <c r="G233" s="1165"/>
      <c r="H233" s="1165"/>
      <c r="I233" s="1166"/>
      <c r="J233" s="1166"/>
      <c r="K233" s="1355"/>
      <c r="L233" s="1166"/>
      <c r="M233" s="1163">
        <f>SUM(M8:M232)</f>
        <v>5471799.96</v>
      </c>
      <c r="N233" s="1166"/>
      <c r="O233" s="1166"/>
      <c r="P233" s="1163">
        <f>SUM(P8:P232)</f>
        <v>2735899.98</v>
      </c>
      <c r="Q233" s="886"/>
      <c r="R233" s="886"/>
      <c r="S233" s="886"/>
    </row>
    <row r="234" spans="1:19" ht="24" x14ac:dyDescent="0.2">
      <c r="A234" s="1152" t="s">
        <v>3091</v>
      </c>
      <c r="B234" s="415" t="s">
        <v>3092</v>
      </c>
      <c r="C234" s="1161" t="s">
        <v>3486</v>
      </c>
      <c r="D234" s="1162" t="s">
        <v>3487</v>
      </c>
      <c r="E234" s="1139">
        <v>1600</v>
      </c>
      <c r="F234" s="1082" t="s">
        <v>3488</v>
      </c>
      <c r="G234" s="1141" t="str">
        <f t="shared" si="12"/>
        <v xml:space="preserve">  </v>
      </c>
      <c r="H234" s="1162" t="s">
        <v>3489</v>
      </c>
      <c r="I234" s="415"/>
      <c r="J234" s="415"/>
      <c r="K234" s="948">
        <f>1+3</f>
        <v>4</v>
      </c>
      <c r="L234" s="1119">
        <v>12</v>
      </c>
      <c r="M234" s="1120">
        <f t="shared" si="14"/>
        <v>19200</v>
      </c>
      <c r="N234" s="1119">
        <v>2</v>
      </c>
      <c r="O234" s="1119">
        <v>6</v>
      </c>
      <c r="P234" s="1120">
        <f t="shared" si="15"/>
        <v>9600</v>
      </c>
      <c r="Q234" s="886"/>
      <c r="R234" s="886"/>
      <c r="S234" s="886"/>
    </row>
    <row r="235" spans="1:19" ht="24" x14ac:dyDescent="0.2">
      <c r="A235" s="1152" t="s">
        <v>3091</v>
      </c>
      <c r="B235" s="415" t="s">
        <v>3092</v>
      </c>
      <c r="C235" s="1161" t="s">
        <v>3486</v>
      </c>
      <c r="D235" s="1162" t="s">
        <v>3490</v>
      </c>
      <c r="E235" s="1139">
        <v>3000</v>
      </c>
      <c r="F235" s="1082" t="s">
        <v>3491</v>
      </c>
      <c r="G235" s="1141" t="str">
        <f t="shared" si="12"/>
        <v xml:space="preserve">  </v>
      </c>
      <c r="H235" s="1162" t="s">
        <v>3129</v>
      </c>
      <c r="I235" s="415"/>
      <c r="J235" s="415"/>
      <c r="K235" s="948">
        <f t="shared" ref="K235:K275" si="16">1+3</f>
        <v>4</v>
      </c>
      <c r="L235" s="1119">
        <v>12</v>
      </c>
      <c r="M235" s="1120">
        <f t="shared" si="14"/>
        <v>36000</v>
      </c>
      <c r="N235" s="1119">
        <v>2</v>
      </c>
      <c r="O235" s="1119">
        <v>6</v>
      </c>
      <c r="P235" s="1120">
        <f t="shared" si="15"/>
        <v>18000</v>
      </c>
      <c r="Q235" s="886"/>
      <c r="R235" s="886"/>
      <c r="S235" s="886"/>
    </row>
    <row r="236" spans="1:19" ht="24" x14ac:dyDescent="0.2">
      <c r="A236" s="1152" t="s">
        <v>3091</v>
      </c>
      <c r="B236" s="415" t="s">
        <v>3092</v>
      </c>
      <c r="C236" s="1161" t="s">
        <v>3486</v>
      </c>
      <c r="D236" s="1162" t="s">
        <v>3492</v>
      </c>
      <c r="E236" s="1139">
        <v>1800</v>
      </c>
      <c r="F236" s="1082" t="s">
        <v>3493</v>
      </c>
      <c r="G236" s="1141" t="str">
        <f t="shared" si="12"/>
        <v xml:space="preserve">  </v>
      </c>
      <c r="H236" s="1162" t="s">
        <v>3494</v>
      </c>
      <c r="I236" s="415"/>
      <c r="J236" s="415"/>
      <c r="K236" s="948">
        <f t="shared" si="16"/>
        <v>4</v>
      </c>
      <c r="L236" s="1119">
        <v>12</v>
      </c>
      <c r="M236" s="1120">
        <f t="shared" si="14"/>
        <v>21600</v>
      </c>
      <c r="N236" s="1119">
        <v>2</v>
      </c>
      <c r="O236" s="1119">
        <v>6</v>
      </c>
      <c r="P236" s="1120">
        <f t="shared" si="15"/>
        <v>10800</v>
      </c>
      <c r="Q236" s="886"/>
      <c r="R236" s="886"/>
      <c r="S236" s="886"/>
    </row>
    <row r="237" spans="1:19" ht="24" x14ac:dyDescent="0.2">
      <c r="A237" s="1152" t="s">
        <v>3091</v>
      </c>
      <c r="B237" s="415" t="s">
        <v>3092</v>
      </c>
      <c r="C237" s="1161" t="s">
        <v>3486</v>
      </c>
      <c r="D237" s="1162" t="s">
        <v>3100</v>
      </c>
      <c r="E237" s="1139">
        <v>2000</v>
      </c>
      <c r="F237" s="1082" t="s">
        <v>3495</v>
      </c>
      <c r="G237" s="1141" t="str">
        <f t="shared" si="12"/>
        <v xml:space="preserve">  </v>
      </c>
      <c r="H237" s="1162" t="s">
        <v>3129</v>
      </c>
      <c r="I237" s="415"/>
      <c r="J237" s="415"/>
      <c r="K237" s="948">
        <f t="shared" si="16"/>
        <v>4</v>
      </c>
      <c r="L237" s="1119">
        <v>12</v>
      </c>
      <c r="M237" s="1120">
        <f t="shared" si="14"/>
        <v>24000</v>
      </c>
      <c r="N237" s="1119">
        <v>2</v>
      </c>
      <c r="O237" s="1119">
        <v>6</v>
      </c>
      <c r="P237" s="1120">
        <f t="shared" si="15"/>
        <v>12000</v>
      </c>
      <c r="Q237" s="886"/>
      <c r="R237" s="886"/>
      <c r="S237" s="886"/>
    </row>
    <row r="238" spans="1:19" x14ac:dyDescent="0.2">
      <c r="A238" s="1152" t="s">
        <v>3091</v>
      </c>
      <c r="B238" s="415" t="s">
        <v>3092</v>
      </c>
      <c r="C238" s="1161" t="s">
        <v>3486</v>
      </c>
      <c r="D238" s="1162" t="s">
        <v>3492</v>
      </c>
      <c r="E238" s="1139">
        <v>2000</v>
      </c>
      <c r="F238" s="1082" t="s">
        <v>3496</v>
      </c>
      <c r="G238" s="1141" t="str">
        <f t="shared" si="12"/>
        <v xml:space="preserve">  </v>
      </c>
      <c r="H238" s="1162" t="s">
        <v>3497</v>
      </c>
      <c r="I238" s="415"/>
      <c r="J238" s="415"/>
      <c r="K238" s="948">
        <f t="shared" si="16"/>
        <v>4</v>
      </c>
      <c r="L238" s="1119">
        <v>12</v>
      </c>
      <c r="M238" s="1120">
        <f t="shared" si="14"/>
        <v>24000</v>
      </c>
      <c r="N238" s="1119">
        <v>2</v>
      </c>
      <c r="O238" s="1119">
        <v>6</v>
      </c>
      <c r="P238" s="1120">
        <f t="shared" si="15"/>
        <v>12000</v>
      </c>
      <c r="Q238" s="886"/>
      <c r="R238" s="886"/>
      <c r="S238" s="886"/>
    </row>
    <row r="239" spans="1:19" x14ac:dyDescent="0.2">
      <c r="A239" s="1152" t="s">
        <v>3091</v>
      </c>
      <c r="B239" s="415" t="s">
        <v>3092</v>
      </c>
      <c r="C239" s="1161" t="s">
        <v>3486</v>
      </c>
      <c r="D239" s="1162" t="s">
        <v>3498</v>
      </c>
      <c r="E239" s="1139">
        <v>3000</v>
      </c>
      <c r="F239" s="1082" t="s">
        <v>3499</v>
      </c>
      <c r="G239" s="1141" t="str">
        <f t="shared" si="12"/>
        <v xml:space="preserve">  </v>
      </c>
      <c r="H239" s="1162"/>
      <c r="I239" s="415"/>
      <c r="J239" s="415"/>
      <c r="K239" s="948">
        <f t="shared" si="16"/>
        <v>4</v>
      </c>
      <c r="L239" s="1119">
        <v>12</v>
      </c>
      <c r="M239" s="1120">
        <f t="shared" si="14"/>
        <v>36000</v>
      </c>
      <c r="N239" s="1119">
        <v>2</v>
      </c>
      <c r="O239" s="1119">
        <v>6</v>
      </c>
      <c r="P239" s="1120">
        <f t="shared" si="15"/>
        <v>18000</v>
      </c>
      <c r="Q239" s="886"/>
      <c r="R239" s="886"/>
      <c r="S239" s="886"/>
    </row>
    <row r="240" spans="1:19" x14ac:dyDescent="0.2">
      <c r="A240" s="1152" t="s">
        <v>3091</v>
      </c>
      <c r="B240" s="415" t="s">
        <v>3092</v>
      </c>
      <c r="C240" s="1161" t="s">
        <v>3486</v>
      </c>
      <c r="D240" s="1162" t="s">
        <v>3500</v>
      </c>
      <c r="E240" s="1139">
        <v>4000</v>
      </c>
      <c r="F240" s="1082" t="s">
        <v>3501</v>
      </c>
      <c r="G240" s="1141" t="str">
        <f t="shared" si="12"/>
        <v xml:space="preserve">  </v>
      </c>
      <c r="H240" s="1162" t="s">
        <v>3352</v>
      </c>
      <c r="I240" s="415"/>
      <c r="J240" s="415"/>
      <c r="K240" s="948">
        <f t="shared" si="16"/>
        <v>4</v>
      </c>
      <c r="L240" s="1119">
        <v>12</v>
      </c>
      <c r="M240" s="1120">
        <f t="shared" si="14"/>
        <v>48000</v>
      </c>
      <c r="N240" s="1119">
        <v>2</v>
      </c>
      <c r="O240" s="1119">
        <v>6</v>
      </c>
      <c r="P240" s="1120">
        <f t="shared" si="15"/>
        <v>24000</v>
      </c>
      <c r="Q240" s="886"/>
      <c r="R240" s="886"/>
      <c r="S240" s="886"/>
    </row>
    <row r="241" spans="1:19" x14ac:dyDescent="0.2">
      <c r="A241" s="1152" t="s">
        <v>3091</v>
      </c>
      <c r="B241" s="415" t="s">
        <v>3092</v>
      </c>
      <c r="C241" s="1161" t="s">
        <v>3486</v>
      </c>
      <c r="D241" s="1162" t="s">
        <v>3164</v>
      </c>
      <c r="E241" s="1139">
        <v>1500</v>
      </c>
      <c r="F241" s="1082" t="s">
        <v>3502</v>
      </c>
      <c r="G241" s="1141" t="str">
        <f t="shared" si="12"/>
        <v xml:space="preserve">  </v>
      </c>
      <c r="H241" s="1162"/>
      <c r="I241" s="415"/>
      <c r="J241" s="415"/>
      <c r="K241" s="948">
        <f t="shared" si="16"/>
        <v>4</v>
      </c>
      <c r="L241" s="1119">
        <v>12</v>
      </c>
      <c r="M241" s="1120">
        <f t="shared" si="14"/>
        <v>18000</v>
      </c>
      <c r="N241" s="1119">
        <v>2</v>
      </c>
      <c r="O241" s="1119">
        <v>6</v>
      </c>
      <c r="P241" s="1120">
        <f t="shared" si="15"/>
        <v>9000</v>
      </c>
      <c r="Q241" s="886"/>
      <c r="R241" s="886"/>
      <c r="S241" s="886"/>
    </row>
    <row r="242" spans="1:19" x14ac:dyDescent="0.2">
      <c r="A242" s="1152" t="s">
        <v>3091</v>
      </c>
      <c r="B242" s="415" t="s">
        <v>3092</v>
      </c>
      <c r="C242" s="1161" t="s">
        <v>3486</v>
      </c>
      <c r="D242" s="1162" t="s">
        <v>583</v>
      </c>
      <c r="E242" s="1139">
        <v>1200</v>
      </c>
      <c r="F242" s="1082" t="s">
        <v>3503</v>
      </c>
      <c r="G242" s="1141" t="str">
        <f t="shared" si="12"/>
        <v xml:space="preserve">  </v>
      </c>
      <c r="H242" s="1162"/>
      <c r="I242" s="415"/>
      <c r="J242" s="415"/>
      <c r="K242" s="948">
        <f t="shared" si="16"/>
        <v>4</v>
      </c>
      <c r="L242" s="1119">
        <v>12</v>
      </c>
      <c r="M242" s="1120">
        <f t="shared" si="14"/>
        <v>14400</v>
      </c>
      <c r="N242" s="1119">
        <v>2</v>
      </c>
      <c r="O242" s="1119">
        <v>6</v>
      </c>
      <c r="P242" s="1120">
        <f t="shared" si="15"/>
        <v>7200</v>
      </c>
      <c r="Q242" s="886"/>
      <c r="R242" s="886"/>
      <c r="S242" s="886"/>
    </row>
    <row r="243" spans="1:19" x14ac:dyDescent="0.2">
      <c r="A243" s="1152" t="s">
        <v>3091</v>
      </c>
      <c r="B243" s="415" t="s">
        <v>3092</v>
      </c>
      <c r="C243" s="1161" t="s">
        <v>3486</v>
      </c>
      <c r="D243" s="1162" t="s">
        <v>3115</v>
      </c>
      <c r="E243" s="1139">
        <v>3000</v>
      </c>
      <c r="F243" s="1082" t="s">
        <v>3504</v>
      </c>
      <c r="G243" s="1141" t="str">
        <f t="shared" si="12"/>
        <v xml:space="preserve">  </v>
      </c>
      <c r="H243" s="1162"/>
      <c r="I243" s="415"/>
      <c r="J243" s="415"/>
      <c r="K243" s="948">
        <f t="shared" si="16"/>
        <v>4</v>
      </c>
      <c r="L243" s="1119">
        <v>12</v>
      </c>
      <c r="M243" s="1120">
        <f t="shared" si="14"/>
        <v>36000</v>
      </c>
      <c r="N243" s="1119">
        <v>2</v>
      </c>
      <c r="O243" s="1119">
        <v>6</v>
      </c>
      <c r="P243" s="1120">
        <f t="shared" si="15"/>
        <v>18000</v>
      </c>
      <c r="Q243" s="886"/>
      <c r="R243" s="886"/>
      <c r="S243" s="886"/>
    </row>
    <row r="244" spans="1:19" ht="24" x14ac:dyDescent="0.2">
      <c r="A244" s="1152" t="s">
        <v>3091</v>
      </c>
      <c r="B244" s="415" t="s">
        <v>3092</v>
      </c>
      <c r="C244" s="1161" t="s">
        <v>3486</v>
      </c>
      <c r="D244" s="1162" t="s">
        <v>3505</v>
      </c>
      <c r="E244" s="1139">
        <v>2800</v>
      </c>
      <c r="F244" s="1082" t="s">
        <v>3506</v>
      </c>
      <c r="G244" s="1141" t="str">
        <f t="shared" si="12"/>
        <v xml:space="preserve">  </v>
      </c>
      <c r="H244" s="1162"/>
      <c r="I244" s="415"/>
      <c r="J244" s="415"/>
      <c r="K244" s="948">
        <f t="shared" si="16"/>
        <v>4</v>
      </c>
      <c r="L244" s="1119">
        <v>12</v>
      </c>
      <c r="M244" s="1120">
        <f t="shared" si="14"/>
        <v>33600</v>
      </c>
      <c r="N244" s="1119">
        <v>2</v>
      </c>
      <c r="O244" s="1119">
        <v>6</v>
      </c>
      <c r="P244" s="1120">
        <f t="shared" si="15"/>
        <v>16800</v>
      </c>
      <c r="Q244" s="886"/>
      <c r="R244" s="886"/>
      <c r="S244" s="886"/>
    </row>
    <row r="245" spans="1:19" x14ac:dyDescent="0.2">
      <c r="A245" s="1152" t="s">
        <v>3091</v>
      </c>
      <c r="B245" s="415" t="s">
        <v>3092</v>
      </c>
      <c r="C245" s="1161" t="s">
        <v>3486</v>
      </c>
      <c r="D245" s="1162" t="s">
        <v>3507</v>
      </c>
      <c r="E245" s="1139">
        <v>4000</v>
      </c>
      <c r="F245" s="1082" t="s">
        <v>3508</v>
      </c>
      <c r="G245" s="1141" t="str">
        <f t="shared" si="12"/>
        <v xml:space="preserve">  </v>
      </c>
      <c r="H245" s="1162" t="s">
        <v>3131</v>
      </c>
      <c r="I245" s="415"/>
      <c r="J245" s="415"/>
      <c r="K245" s="948">
        <f t="shared" si="16"/>
        <v>4</v>
      </c>
      <c r="L245" s="1119">
        <v>12</v>
      </c>
      <c r="M245" s="1120">
        <f t="shared" si="14"/>
        <v>48000</v>
      </c>
      <c r="N245" s="1119">
        <v>2</v>
      </c>
      <c r="O245" s="1119">
        <v>6</v>
      </c>
      <c r="P245" s="1120">
        <f t="shared" si="15"/>
        <v>24000</v>
      </c>
      <c r="Q245" s="886"/>
      <c r="R245" s="886"/>
      <c r="S245" s="886"/>
    </row>
    <row r="246" spans="1:19" ht="24" x14ac:dyDescent="0.2">
      <c r="A246" s="1152" t="s">
        <v>3091</v>
      </c>
      <c r="B246" s="415" t="s">
        <v>3092</v>
      </c>
      <c r="C246" s="1161" t="s">
        <v>3486</v>
      </c>
      <c r="D246" s="1162" t="s">
        <v>3509</v>
      </c>
      <c r="E246" s="1139">
        <v>1500</v>
      </c>
      <c r="F246" s="1082" t="s">
        <v>3510</v>
      </c>
      <c r="G246" s="1141" t="str">
        <f t="shared" si="12"/>
        <v xml:space="preserve">  </v>
      </c>
      <c r="H246" s="1162" t="s">
        <v>3124</v>
      </c>
      <c r="I246" s="415"/>
      <c r="J246" s="415"/>
      <c r="K246" s="948">
        <f t="shared" si="16"/>
        <v>4</v>
      </c>
      <c r="L246" s="1119">
        <v>12</v>
      </c>
      <c r="M246" s="1120">
        <f t="shared" si="14"/>
        <v>18000</v>
      </c>
      <c r="N246" s="1119">
        <v>2</v>
      </c>
      <c r="O246" s="1119">
        <v>6</v>
      </c>
      <c r="P246" s="1120">
        <f t="shared" si="15"/>
        <v>9000</v>
      </c>
      <c r="Q246" s="886"/>
      <c r="R246" s="886"/>
      <c r="S246" s="886"/>
    </row>
    <row r="247" spans="1:19" ht="24" x14ac:dyDescent="0.2">
      <c r="A247" s="1152" t="s">
        <v>3091</v>
      </c>
      <c r="B247" s="415" t="s">
        <v>3092</v>
      </c>
      <c r="C247" s="1161" t="s">
        <v>3486</v>
      </c>
      <c r="D247" s="1162" t="s">
        <v>3186</v>
      </c>
      <c r="E247" s="1139">
        <v>1500</v>
      </c>
      <c r="F247" s="1082" t="s">
        <v>3511</v>
      </c>
      <c r="G247" s="1141" t="str">
        <f t="shared" si="12"/>
        <v xml:space="preserve">  </v>
      </c>
      <c r="H247" s="1162" t="s">
        <v>3512</v>
      </c>
      <c r="I247" s="415"/>
      <c r="J247" s="415"/>
      <c r="K247" s="948">
        <f t="shared" si="16"/>
        <v>4</v>
      </c>
      <c r="L247" s="1119">
        <v>12</v>
      </c>
      <c r="M247" s="1120">
        <f t="shared" si="14"/>
        <v>18000</v>
      </c>
      <c r="N247" s="1119">
        <v>2</v>
      </c>
      <c r="O247" s="1119">
        <v>6</v>
      </c>
      <c r="P247" s="1120">
        <f t="shared" si="15"/>
        <v>9000</v>
      </c>
      <c r="Q247" s="886"/>
      <c r="R247" s="886"/>
      <c r="S247" s="886"/>
    </row>
    <row r="248" spans="1:19" ht="48" x14ac:dyDescent="0.2">
      <c r="A248" s="1152" t="s">
        <v>3091</v>
      </c>
      <c r="B248" s="415" t="s">
        <v>3092</v>
      </c>
      <c r="C248" s="1161" t="s">
        <v>3486</v>
      </c>
      <c r="D248" s="1162" t="s">
        <v>3513</v>
      </c>
      <c r="E248" s="1139">
        <v>2000</v>
      </c>
      <c r="F248" s="1082" t="s">
        <v>3514</v>
      </c>
      <c r="G248" s="1141" t="str">
        <f t="shared" si="12"/>
        <v xml:space="preserve">  </v>
      </c>
      <c r="H248" s="1162" t="s">
        <v>3515</v>
      </c>
      <c r="I248" s="415"/>
      <c r="J248" s="415"/>
      <c r="K248" s="948">
        <f t="shared" si="16"/>
        <v>4</v>
      </c>
      <c r="L248" s="1119">
        <v>12</v>
      </c>
      <c r="M248" s="1120">
        <f t="shared" si="14"/>
        <v>24000</v>
      </c>
      <c r="N248" s="1119">
        <v>2</v>
      </c>
      <c r="O248" s="1119">
        <v>6</v>
      </c>
      <c r="P248" s="1120">
        <f t="shared" si="15"/>
        <v>12000</v>
      </c>
      <c r="Q248" s="886"/>
      <c r="R248" s="886"/>
      <c r="S248" s="886"/>
    </row>
    <row r="249" spans="1:19" ht="48" x14ac:dyDescent="0.2">
      <c r="A249" s="1152" t="s">
        <v>3091</v>
      </c>
      <c r="B249" s="415" t="s">
        <v>3092</v>
      </c>
      <c r="C249" s="1161" t="s">
        <v>3486</v>
      </c>
      <c r="D249" s="1162" t="s">
        <v>3516</v>
      </c>
      <c r="E249" s="1139">
        <v>1800</v>
      </c>
      <c r="F249" s="1082" t="s">
        <v>3517</v>
      </c>
      <c r="G249" s="1141" t="str">
        <f t="shared" si="12"/>
        <v xml:space="preserve">  </v>
      </c>
      <c r="H249" s="1162" t="s">
        <v>3515</v>
      </c>
      <c r="I249" s="415"/>
      <c r="J249" s="415"/>
      <c r="K249" s="948">
        <f t="shared" si="16"/>
        <v>4</v>
      </c>
      <c r="L249" s="1119">
        <v>12</v>
      </c>
      <c r="M249" s="1120">
        <f t="shared" si="14"/>
        <v>21600</v>
      </c>
      <c r="N249" s="1119">
        <v>2</v>
      </c>
      <c r="O249" s="1119">
        <v>6</v>
      </c>
      <c r="P249" s="1120">
        <f t="shared" si="15"/>
        <v>10800</v>
      </c>
      <c r="Q249" s="886"/>
      <c r="R249" s="886"/>
      <c r="S249" s="886"/>
    </row>
    <row r="250" spans="1:19" ht="36" x14ac:dyDescent="0.2">
      <c r="A250" s="1152" t="s">
        <v>3091</v>
      </c>
      <c r="B250" s="415" t="s">
        <v>3092</v>
      </c>
      <c r="C250" s="1161" t="s">
        <v>3486</v>
      </c>
      <c r="D250" s="1162" t="s">
        <v>3518</v>
      </c>
      <c r="E250" s="1139">
        <v>1700</v>
      </c>
      <c r="F250" s="1082" t="s">
        <v>3519</v>
      </c>
      <c r="G250" s="1141" t="str">
        <f t="shared" si="12"/>
        <v xml:space="preserve">  </v>
      </c>
      <c r="H250" s="1162" t="s">
        <v>3520</v>
      </c>
      <c r="I250" s="415"/>
      <c r="J250" s="415"/>
      <c r="K250" s="948">
        <f t="shared" si="16"/>
        <v>4</v>
      </c>
      <c r="L250" s="1119">
        <v>12</v>
      </c>
      <c r="M250" s="1120">
        <f t="shared" si="14"/>
        <v>20400</v>
      </c>
      <c r="N250" s="1119">
        <v>2</v>
      </c>
      <c r="O250" s="1119">
        <v>6</v>
      </c>
      <c r="P250" s="1120">
        <f t="shared" si="15"/>
        <v>10200</v>
      </c>
      <c r="Q250" s="886"/>
      <c r="R250" s="886"/>
      <c r="S250" s="886"/>
    </row>
    <row r="251" spans="1:19" ht="24" x14ac:dyDescent="0.2">
      <c r="A251" s="1152" t="s">
        <v>3091</v>
      </c>
      <c r="B251" s="415" t="s">
        <v>3092</v>
      </c>
      <c r="C251" s="1161" t="s">
        <v>3486</v>
      </c>
      <c r="D251" s="1162" t="s">
        <v>3521</v>
      </c>
      <c r="E251" s="1139">
        <v>2400</v>
      </c>
      <c r="F251" s="1082" t="s">
        <v>3522</v>
      </c>
      <c r="G251" s="1141" t="str">
        <f t="shared" si="12"/>
        <v xml:space="preserve">  </v>
      </c>
      <c r="H251" s="1162" t="s">
        <v>3523</v>
      </c>
      <c r="I251" s="415"/>
      <c r="J251" s="415"/>
      <c r="K251" s="948">
        <f t="shared" si="16"/>
        <v>4</v>
      </c>
      <c r="L251" s="1119">
        <v>12</v>
      </c>
      <c r="M251" s="1120">
        <f t="shared" si="14"/>
        <v>28800</v>
      </c>
      <c r="N251" s="1119">
        <v>2</v>
      </c>
      <c r="O251" s="1119">
        <v>6</v>
      </c>
      <c r="P251" s="1120">
        <f t="shared" si="15"/>
        <v>14400</v>
      </c>
      <c r="Q251" s="886"/>
      <c r="R251" s="886"/>
      <c r="S251" s="886"/>
    </row>
    <row r="252" spans="1:19" ht="36" x14ac:dyDescent="0.2">
      <c r="A252" s="1152" t="s">
        <v>3091</v>
      </c>
      <c r="B252" s="415" t="s">
        <v>3092</v>
      </c>
      <c r="C252" s="1161" t="s">
        <v>3486</v>
      </c>
      <c r="D252" s="1162" t="s">
        <v>3524</v>
      </c>
      <c r="E252" s="1139">
        <v>3500</v>
      </c>
      <c r="F252" s="1082" t="s">
        <v>3525</v>
      </c>
      <c r="G252" s="1141" t="str">
        <f t="shared" si="12"/>
        <v xml:space="preserve">  </v>
      </c>
      <c r="H252" s="1162" t="s">
        <v>3526</v>
      </c>
      <c r="I252" s="415"/>
      <c r="J252" s="415"/>
      <c r="K252" s="948">
        <f t="shared" si="16"/>
        <v>4</v>
      </c>
      <c r="L252" s="1119">
        <v>12</v>
      </c>
      <c r="M252" s="1120">
        <f t="shared" si="14"/>
        <v>42000</v>
      </c>
      <c r="N252" s="1119">
        <v>2</v>
      </c>
      <c r="O252" s="1119">
        <v>6</v>
      </c>
      <c r="P252" s="1120">
        <f t="shared" si="15"/>
        <v>21000</v>
      </c>
      <c r="Q252" s="886"/>
      <c r="R252" s="886"/>
      <c r="S252" s="886"/>
    </row>
    <row r="253" spans="1:19" x14ac:dyDescent="0.2">
      <c r="A253" s="1152" t="s">
        <v>3091</v>
      </c>
      <c r="B253" s="415" t="s">
        <v>3092</v>
      </c>
      <c r="C253" s="1161" t="s">
        <v>3486</v>
      </c>
      <c r="D253" s="1162" t="s">
        <v>3100</v>
      </c>
      <c r="E253" s="1139">
        <v>1200</v>
      </c>
      <c r="F253" s="1082" t="s">
        <v>3527</v>
      </c>
      <c r="G253" s="1141" t="str">
        <f t="shared" si="12"/>
        <v xml:space="preserve">  </v>
      </c>
      <c r="H253" s="1162"/>
      <c r="I253" s="415"/>
      <c r="J253" s="415"/>
      <c r="K253" s="948">
        <f t="shared" si="16"/>
        <v>4</v>
      </c>
      <c r="L253" s="1119">
        <v>12</v>
      </c>
      <c r="M253" s="1120">
        <f t="shared" si="14"/>
        <v>14400</v>
      </c>
      <c r="N253" s="1119">
        <v>2</v>
      </c>
      <c r="O253" s="1119">
        <v>6</v>
      </c>
      <c r="P253" s="1120">
        <f t="shared" si="15"/>
        <v>7200</v>
      </c>
      <c r="Q253" s="886"/>
      <c r="R253" s="886"/>
      <c r="S253" s="886"/>
    </row>
    <row r="254" spans="1:19" x14ac:dyDescent="0.2">
      <c r="A254" s="1152" t="s">
        <v>3091</v>
      </c>
      <c r="B254" s="415" t="s">
        <v>3092</v>
      </c>
      <c r="C254" s="1161" t="s">
        <v>3486</v>
      </c>
      <c r="D254" s="1162" t="s">
        <v>3099</v>
      </c>
      <c r="E254" s="1139">
        <v>3000</v>
      </c>
      <c r="F254" s="1082" t="s">
        <v>3528</v>
      </c>
      <c r="G254" s="1141" t="str">
        <f t="shared" si="12"/>
        <v xml:space="preserve">  </v>
      </c>
      <c r="H254" s="1162" t="s">
        <v>3099</v>
      </c>
      <c r="I254" s="415"/>
      <c r="J254" s="415"/>
      <c r="K254" s="948">
        <f t="shared" si="16"/>
        <v>4</v>
      </c>
      <c r="L254" s="1119">
        <v>12</v>
      </c>
      <c r="M254" s="1120">
        <f t="shared" si="14"/>
        <v>36000</v>
      </c>
      <c r="N254" s="1119">
        <v>2</v>
      </c>
      <c r="O254" s="1119">
        <v>6</v>
      </c>
      <c r="P254" s="1120">
        <f t="shared" si="15"/>
        <v>18000</v>
      </c>
      <c r="Q254" s="886"/>
      <c r="R254" s="886"/>
      <c r="S254" s="886"/>
    </row>
    <row r="255" spans="1:19" x14ac:dyDescent="0.2">
      <c r="A255" s="1152" t="s">
        <v>3091</v>
      </c>
      <c r="B255" s="415" t="s">
        <v>3092</v>
      </c>
      <c r="C255" s="1161" t="s">
        <v>3486</v>
      </c>
      <c r="D255" s="1162" t="s">
        <v>3115</v>
      </c>
      <c r="E255" s="1139">
        <v>1200</v>
      </c>
      <c r="F255" s="1082" t="s">
        <v>3529</v>
      </c>
      <c r="G255" s="1141" t="str">
        <f t="shared" si="12"/>
        <v xml:space="preserve">  </v>
      </c>
      <c r="H255" s="1162"/>
      <c r="I255" s="415"/>
      <c r="J255" s="415"/>
      <c r="K255" s="948">
        <f t="shared" si="16"/>
        <v>4</v>
      </c>
      <c r="L255" s="1119">
        <v>12</v>
      </c>
      <c r="M255" s="1120">
        <f t="shared" si="14"/>
        <v>14400</v>
      </c>
      <c r="N255" s="1119">
        <v>2</v>
      </c>
      <c r="O255" s="1119">
        <v>6</v>
      </c>
      <c r="P255" s="1120">
        <f t="shared" si="15"/>
        <v>7200</v>
      </c>
      <c r="Q255" s="886"/>
      <c r="R255" s="886"/>
      <c r="S255" s="886"/>
    </row>
    <row r="256" spans="1:19" ht="24" x14ac:dyDescent="0.2">
      <c r="A256" s="1152" t="s">
        <v>3091</v>
      </c>
      <c r="B256" s="415" t="s">
        <v>3092</v>
      </c>
      <c r="C256" s="1161" t="s">
        <v>3486</v>
      </c>
      <c r="D256" s="1162" t="s">
        <v>3530</v>
      </c>
      <c r="E256" s="1139">
        <v>5000</v>
      </c>
      <c r="F256" s="1082" t="s">
        <v>3531</v>
      </c>
      <c r="G256" s="1141" t="str">
        <f t="shared" si="12"/>
        <v xml:space="preserve">  </v>
      </c>
      <c r="H256" s="1162" t="s">
        <v>3131</v>
      </c>
      <c r="I256" s="415"/>
      <c r="J256" s="415"/>
      <c r="K256" s="948">
        <f t="shared" si="16"/>
        <v>4</v>
      </c>
      <c r="L256" s="1119">
        <v>12</v>
      </c>
      <c r="M256" s="1120">
        <f t="shared" si="14"/>
        <v>60000</v>
      </c>
      <c r="N256" s="1119">
        <v>2</v>
      </c>
      <c r="O256" s="1119">
        <v>6</v>
      </c>
      <c r="P256" s="1120">
        <f t="shared" si="15"/>
        <v>30000</v>
      </c>
      <c r="Q256" s="886"/>
      <c r="R256" s="886"/>
      <c r="S256" s="886"/>
    </row>
    <row r="257" spans="1:19" x14ac:dyDescent="0.2">
      <c r="A257" s="1152" t="s">
        <v>3091</v>
      </c>
      <c r="B257" s="415" t="s">
        <v>3092</v>
      </c>
      <c r="C257" s="1161" t="s">
        <v>3486</v>
      </c>
      <c r="D257" s="1162" t="s">
        <v>3532</v>
      </c>
      <c r="E257" s="1139">
        <v>2000</v>
      </c>
      <c r="F257" s="1082" t="s">
        <v>3533</v>
      </c>
      <c r="G257" s="1141" t="str">
        <f t="shared" si="12"/>
        <v xml:space="preserve">  </v>
      </c>
      <c r="H257" s="1162" t="s">
        <v>3131</v>
      </c>
      <c r="I257" s="415"/>
      <c r="J257" s="415"/>
      <c r="K257" s="948">
        <f t="shared" si="16"/>
        <v>4</v>
      </c>
      <c r="L257" s="1119">
        <v>12</v>
      </c>
      <c r="M257" s="1120">
        <f t="shared" si="14"/>
        <v>24000</v>
      </c>
      <c r="N257" s="1119">
        <v>2</v>
      </c>
      <c r="O257" s="1119">
        <v>6</v>
      </c>
      <c r="P257" s="1120">
        <f t="shared" si="15"/>
        <v>12000</v>
      </c>
      <c r="Q257" s="886"/>
      <c r="R257" s="886"/>
      <c r="S257" s="886"/>
    </row>
    <row r="258" spans="1:19" ht="24" x14ac:dyDescent="0.2">
      <c r="A258" s="1152" t="s">
        <v>3091</v>
      </c>
      <c r="B258" s="415" t="s">
        <v>3092</v>
      </c>
      <c r="C258" s="1161" t="s">
        <v>3486</v>
      </c>
      <c r="D258" s="1162" t="s">
        <v>3534</v>
      </c>
      <c r="E258" s="1139">
        <v>4000</v>
      </c>
      <c r="F258" s="1082" t="s">
        <v>3535</v>
      </c>
      <c r="G258" s="1141" t="str">
        <f t="shared" si="12"/>
        <v xml:space="preserve">  </v>
      </c>
      <c r="H258" s="1162" t="s">
        <v>3131</v>
      </c>
      <c r="I258" s="415"/>
      <c r="J258" s="415"/>
      <c r="K258" s="948">
        <f t="shared" si="16"/>
        <v>4</v>
      </c>
      <c r="L258" s="1119">
        <v>12</v>
      </c>
      <c r="M258" s="1120">
        <f t="shared" si="14"/>
        <v>48000</v>
      </c>
      <c r="N258" s="1119">
        <v>2</v>
      </c>
      <c r="O258" s="1119">
        <v>6</v>
      </c>
      <c r="P258" s="1120">
        <f t="shared" si="15"/>
        <v>24000</v>
      </c>
      <c r="Q258" s="886"/>
      <c r="R258" s="886"/>
      <c r="S258" s="886"/>
    </row>
    <row r="259" spans="1:19" x14ac:dyDescent="0.2">
      <c r="A259" s="1152" t="s">
        <v>3091</v>
      </c>
      <c r="B259" s="415" t="s">
        <v>3092</v>
      </c>
      <c r="C259" s="1161" t="s">
        <v>3486</v>
      </c>
      <c r="D259" s="1162" t="s">
        <v>3099</v>
      </c>
      <c r="E259" s="1139">
        <v>3500</v>
      </c>
      <c r="F259" s="1082" t="s">
        <v>3536</v>
      </c>
      <c r="G259" s="1141" t="str">
        <f t="shared" si="12"/>
        <v xml:space="preserve">  </v>
      </c>
      <c r="H259" s="1162" t="s">
        <v>3099</v>
      </c>
      <c r="I259" s="415"/>
      <c r="J259" s="415"/>
      <c r="K259" s="948">
        <f t="shared" si="16"/>
        <v>4</v>
      </c>
      <c r="L259" s="1119">
        <v>12</v>
      </c>
      <c r="M259" s="1120">
        <f t="shared" si="14"/>
        <v>42000</v>
      </c>
      <c r="N259" s="1119">
        <v>2</v>
      </c>
      <c r="O259" s="1119">
        <v>6</v>
      </c>
      <c r="P259" s="1120">
        <f t="shared" si="15"/>
        <v>21000</v>
      </c>
      <c r="Q259" s="886"/>
      <c r="R259" s="886"/>
      <c r="S259" s="886"/>
    </row>
    <row r="260" spans="1:19" x14ac:dyDescent="0.2">
      <c r="A260" s="1152" t="s">
        <v>3091</v>
      </c>
      <c r="B260" s="415" t="s">
        <v>3092</v>
      </c>
      <c r="C260" s="1161" t="s">
        <v>3486</v>
      </c>
      <c r="D260" s="1162" t="s">
        <v>3537</v>
      </c>
      <c r="E260" s="1139">
        <v>5000</v>
      </c>
      <c r="F260" s="1082" t="s">
        <v>3538</v>
      </c>
      <c r="G260" s="1141" t="str">
        <f t="shared" si="12"/>
        <v xml:space="preserve">  </v>
      </c>
      <c r="H260" s="1162" t="s">
        <v>3131</v>
      </c>
      <c r="I260" s="415"/>
      <c r="J260" s="415"/>
      <c r="K260" s="948">
        <f t="shared" si="16"/>
        <v>4</v>
      </c>
      <c r="L260" s="1119">
        <v>12</v>
      </c>
      <c r="M260" s="1120">
        <f t="shared" si="14"/>
        <v>60000</v>
      </c>
      <c r="N260" s="1119">
        <v>2</v>
      </c>
      <c r="O260" s="1119">
        <v>6</v>
      </c>
      <c r="P260" s="1120">
        <f t="shared" si="15"/>
        <v>30000</v>
      </c>
      <c r="Q260" s="886"/>
      <c r="R260" s="886"/>
      <c r="S260" s="886"/>
    </row>
    <row r="261" spans="1:19" ht="36" x14ac:dyDescent="0.2">
      <c r="A261" s="1152" t="s">
        <v>3091</v>
      </c>
      <c r="B261" s="415" t="s">
        <v>3092</v>
      </c>
      <c r="C261" s="1161" t="s">
        <v>3486</v>
      </c>
      <c r="D261" s="1162" t="s">
        <v>3516</v>
      </c>
      <c r="E261" s="1139">
        <v>1800</v>
      </c>
      <c r="F261" s="1082" t="s">
        <v>3539</v>
      </c>
      <c r="G261" s="1141" t="str">
        <f t="shared" si="12"/>
        <v xml:space="preserve">  </v>
      </c>
      <c r="H261" s="1162" t="s">
        <v>3540</v>
      </c>
      <c r="I261" s="415"/>
      <c r="J261" s="415"/>
      <c r="K261" s="948">
        <f t="shared" si="16"/>
        <v>4</v>
      </c>
      <c r="L261" s="1119">
        <v>12</v>
      </c>
      <c r="M261" s="1120">
        <f t="shared" si="14"/>
        <v>21600</v>
      </c>
      <c r="N261" s="1119">
        <v>2</v>
      </c>
      <c r="O261" s="1119">
        <v>6</v>
      </c>
      <c r="P261" s="1120">
        <f t="shared" si="15"/>
        <v>10800</v>
      </c>
      <c r="Q261" s="886"/>
      <c r="R261" s="886"/>
      <c r="S261" s="886"/>
    </row>
    <row r="262" spans="1:19" x14ac:dyDescent="0.2">
      <c r="A262" s="1152" t="s">
        <v>3091</v>
      </c>
      <c r="B262" s="415" t="s">
        <v>3092</v>
      </c>
      <c r="C262" s="1161" t="s">
        <v>3486</v>
      </c>
      <c r="D262" s="1162" t="s">
        <v>3541</v>
      </c>
      <c r="E262" s="1139">
        <v>1200</v>
      </c>
      <c r="F262" s="1082" t="s">
        <v>3542</v>
      </c>
      <c r="G262" s="1141" t="str">
        <f t="shared" si="12"/>
        <v xml:space="preserve">  </v>
      </c>
      <c r="H262" s="1162" t="s">
        <v>3543</v>
      </c>
      <c r="I262" s="415"/>
      <c r="J262" s="415"/>
      <c r="K262" s="948">
        <f t="shared" si="16"/>
        <v>4</v>
      </c>
      <c r="L262" s="1119">
        <v>12</v>
      </c>
      <c r="M262" s="1120">
        <f t="shared" si="14"/>
        <v>14400</v>
      </c>
      <c r="N262" s="1119">
        <v>2</v>
      </c>
      <c r="O262" s="1119">
        <v>6</v>
      </c>
      <c r="P262" s="1120">
        <f t="shared" si="15"/>
        <v>7200</v>
      </c>
      <c r="Q262" s="886"/>
      <c r="R262" s="886"/>
      <c r="S262" s="886"/>
    </row>
    <row r="263" spans="1:19" x14ac:dyDescent="0.2">
      <c r="A263" s="1152" t="s">
        <v>3091</v>
      </c>
      <c r="B263" s="415" t="s">
        <v>3092</v>
      </c>
      <c r="C263" s="1161" t="s">
        <v>3486</v>
      </c>
      <c r="D263" s="1162" t="s">
        <v>3134</v>
      </c>
      <c r="E263" s="1139">
        <v>1800</v>
      </c>
      <c r="F263" s="1082" t="s">
        <v>3544</v>
      </c>
      <c r="G263" s="1141" t="str">
        <f t="shared" si="12"/>
        <v xml:space="preserve">  </v>
      </c>
      <c r="H263" s="1162"/>
      <c r="I263" s="415"/>
      <c r="J263" s="415"/>
      <c r="K263" s="948">
        <f t="shared" si="16"/>
        <v>4</v>
      </c>
      <c r="L263" s="1119">
        <v>12</v>
      </c>
      <c r="M263" s="1120">
        <f t="shared" si="14"/>
        <v>21600</v>
      </c>
      <c r="N263" s="1119">
        <v>2</v>
      </c>
      <c r="O263" s="1119">
        <v>6</v>
      </c>
      <c r="P263" s="1120">
        <f t="shared" si="15"/>
        <v>10800</v>
      </c>
      <c r="Q263" s="886"/>
      <c r="R263" s="886"/>
      <c r="S263" s="886"/>
    </row>
    <row r="264" spans="1:19" ht="24" x14ac:dyDescent="0.2">
      <c r="A264" s="1152" t="s">
        <v>3091</v>
      </c>
      <c r="B264" s="415" t="s">
        <v>3092</v>
      </c>
      <c r="C264" s="1161" t="s">
        <v>3486</v>
      </c>
      <c r="D264" s="1162" t="s">
        <v>3100</v>
      </c>
      <c r="E264" s="1139">
        <v>1800</v>
      </c>
      <c r="F264" s="1082" t="s">
        <v>3545</v>
      </c>
      <c r="G264" s="1141" t="str">
        <f t="shared" si="12"/>
        <v xml:space="preserve">  </v>
      </c>
      <c r="H264" s="1162" t="s">
        <v>3124</v>
      </c>
      <c r="I264" s="415"/>
      <c r="J264" s="415"/>
      <c r="K264" s="948">
        <f t="shared" si="16"/>
        <v>4</v>
      </c>
      <c r="L264" s="1119">
        <v>12</v>
      </c>
      <c r="M264" s="1120">
        <f t="shared" si="14"/>
        <v>21600</v>
      </c>
      <c r="N264" s="1119">
        <v>2</v>
      </c>
      <c r="O264" s="1119">
        <v>6</v>
      </c>
      <c r="P264" s="1120">
        <f t="shared" si="15"/>
        <v>10800</v>
      </c>
      <c r="Q264" s="886"/>
      <c r="R264" s="886"/>
      <c r="S264" s="886"/>
    </row>
    <row r="265" spans="1:19" ht="24" x14ac:dyDescent="0.2">
      <c r="A265" s="1152" t="s">
        <v>3091</v>
      </c>
      <c r="B265" s="415" t="s">
        <v>3092</v>
      </c>
      <c r="C265" s="1161" t="s">
        <v>3486</v>
      </c>
      <c r="D265" s="1162" t="s">
        <v>3546</v>
      </c>
      <c r="E265" s="1139">
        <v>1200</v>
      </c>
      <c r="F265" s="1082" t="s">
        <v>3547</v>
      </c>
      <c r="G265" s="1141" t="str">
        <f t="shared" ref="G265:G275" si="17">CONCATENATE(W265," ",X265," ",Y265)</f>
        <v xml:space="preserve">  </v>
      </c>
      <c r="H265" s="1162" t="s">
        <v>3124</v>
      </c>
      <c r="I265" s="415"/>
      <c r="J265" s="415"/>
      <c r="K265" s="948">
        <f t="shared" si="16"/>
        <v>4</v>
      </c>
      <c r="L265" s="1119">
        <v>12</v>
      </c>
      <c r="M265" s="1120">
        <f t="shared" si="14"/>
        <v>14400</v>
      </c>
      <c r="N265" s="1119">
        <v>2</v>
      </c>
      <c r="O265" s="1119">
        <v>6</v>
      </c>
      <c r="P265" s="1120">
        <f t="shared" si="15"/>
        <v>7200</v>
      </c>
      <c r="Q265" s="886"/>
      <c r="R265" s="886"/>
      <c r="S265" s="886"/>
    </row>
    <row r="266" spans="1:19" x14ac:dyDescent="0.2">
      <c r="A266" s="1152" t="s">
        <v>3091</v>
      </c>
      <c r="B266" s="415" t="s">
        <v>3092</v>
      </c>
      <c r="C266" s="1161" t="s">
        <v>3486</v>
      </c>
      <c r="D266" s="1162" t="s">
        <v>3115</v>
      </c>
      <c r="E266" s="1139">
        <v>1500</v>
      </c>
      <c r="F266" s="1082" t="s">
        <v>3548</v>
      </c>
      <c r="G266" s="1141" t="str">
        <f t="shared" si="17"/>
        <v xml:space="preserve">  </v>
      </c>
      <c r="H266" s="1162"/>
      <c r="I266" s="415"/>
      <c r="J266" s="415"/>
      <c r="K266" s="948">
        <f t="shared" si="16"/>
        <v>4</v>
      </c>
      <c r="L266" s="1119">
        <v>12</v>
      </c>
      <c r="M266" s="1120">
        <f t="shared" ref="M266:M275" si="18">E266*L266</f>
        <v>18000</v>
      </c>
      <c r="N266" s="1119">
        <v>2</v>
      </c>
      <c r="O266" s="1119">
        <v>6</v>
      </c>
      <c r="P266" s="1120">
        <f t="shared" ref="P266:P275" si="19">E266*O266</f>
        <v>9000</v>
      </c>
      <c r="Q266" s="886"/>
      <c r="R266" s="886"/>
      <c r="S266" s="886"/>
    </row>
    <row r="267" spans="1:19" x14ac:dyDescent="0.2">
      <c r="A267" s="1152" t="s">
        <v>3091</v>
      </c>
      <c r="B267" s="415" t="s">
        <v>3092</v>
      </c>
      <c r="C267" s="1161" t="s">
        <v>3486</v>
      </c>
      <c r="D267" s="1162" t="s">
        <v>3112</v>
      </c>
      <c r="E267" s="1139">
        <v>1200</v>
      </c>
      <c r="F267" s="1082" t="s">
        <v>3549</v>
      </c>
      <c r="G267" s="1141" t="str">
        <f t="shared" si="17"/>
        <v xml:space="preserve">  </v>
      </c>
      <c r="H267" s="1162"/>
      <c r="I267" s="415"/>
      <c r="J267" s="415"/>
      <c r="K267" s="948">
        <f t="shared" si="16"/>
        <v>4</v>
      </c>
      <c r="L267" s="1119">
        <v>12</v>
      </c>
      <c r="M267" s="1120">
        <f t="shared" si="18"/>
        <v>14400</v>
      </c>
      <c r="N267" s="1119">
        <v>2</v>
      </c>
      <c r="O267" s="1119">
        <v>6</v>
      </c>
      <c r="P267" s="1120">
        <f t="shared" si="19"/>
        <v>7200</v>
      </c>
      <c r="Q267" s="886"/>
      <c r="R267" s="886"/>
      <c r="S267" s="886"/>
    </row>
    <row r="268" spans="1:19" ht="24" x14ac:dyDescent="0.2">
      <c r="A268" s="1152" t="s">
        <v>3091</v>
      </c>
      <c r="B268" s="415" t="s">
        <v>3092</v>
      </c>
      <c r="C268" s="1161" t="s">
        <v>3486</v>
      </c>
      <c r="D268" s="1162" t="s">
        <v>3115</v>
      </c>
      <c r="E268" s="1139">
        <v>1800</v>
      </c>
      <c r="F268" s="1082" t="s">
        <v>3550</v>
      </c>
      <c r="G268" s="1141" t="str">
        <f t="shared" si="17"/>
        <v xml:space="preserve">  </v>
      </c>
      <c r="H268" s="1162" t="s">
        <v>3551</v>
      </c>
      <c r="I268" s="415"/>
      <c r="J268" s="415"/>
      <c r="K268" s="948">
        <f t="shared" si="16"/>
        <v>4</v>
      </c>
      <c r="L268" s="1119">
        <v>12</v>
      </c>
      <c r="M268" s="1120">
        <f t="shared" si="18"/>
        <v>21600</v>
      </c>
      <c r="N268" s="1119">
        <v>2</v>
      </c>
      <c r="O268" s="1119">
        <v>6</v>
      </c>
      <c r="P268" s="1120">
        <f t="shared" si="19"/>
        <v>10800</v>
      </c>
      <c r="Q268" s="886"/>
      <c r="R268" s="886"/>
      <c r="S268" s="886"/>
    </row>
    <row r="269" spans="1:19" ht="24" x14ac:dyDescent="0.2">
      <c r="A269" s="1152" t="s">
        <v>3091</v>
      </c>
      <c r="B269" s="415" t="s">
        <v>3092</v>
      </c>
      <c r="C269" s="1161" t="s">
        <v>3486</v>
      </c>
      <c r="D269" s="1162" t="s">
        <v>3552</v>
      </c>
      <c r="E269" s="1139">
        <v>3000</v>
      </c>
      <c r="F269" s="1082" t="s">
        <v>3553</v>
      </c>
      <c r="G269" s="1141" t="str">
        <f t="shared" si="17"/>
        <v xml:space="preserve">  </v>
      </c>
      <c r="H269" s="1162" t="s">
        <v>3129</v>
      </c>
      <c r="I269" s="415"/>
      <c r="J269" s="415"/>
      <c r="K269" s="948">
        <f t="shared" si="16"/>
        <v>4</v>
      </c>
      <c r="L269" s="1119">
        <v>12</v>
      </c>
      <c r="M269" s="1120">
        <f t="shared" si="18"/>
        <v>36000</v>
      </c>
      <c r="N269" s="1119">
        <v>2</v>
      </c>
      <c r="O269" s="1119">
        <v>6</v>
      </c>
      <c r="P269" s="1120">
        <f t="shared" si="19"/>
        <v>18000</v>
      </c>
      <c r="Q269" s="886"/>
      <c r="R269" s="886"/>
      <c r="S269" s="886"/>
    </row>
    <row r="270" spans="1:19" x14ac:dyDescent="0.2">
      <c r="A270" s="1152" t="s">
        <v>3091</v>
      </c>
      <c r="B270" s="415" t="s">
        <v>3092</v>
      </c>
      <c r="C270" s="1161" t="s">
        <v>3486</v>
      </c>
      <c r="D270" s="1162" t="s">
        <v>583</v>
      </c>
      <c r="E270" s="1139">
        <v>1700</v>
      </c>
      <c r="F270" s="1082" t="s">
        <v>3554</v>
      </c>
      <c r="G270" s="1141" t="str">
        <f t="shared" si="17"/>
        <v xml:space="preserve">  </v>
      </c>
      <c r="H270" s="1162"/>
      <c r="I270" s="415"/>
      <c r="J270" s="415"/>
      <c r="K270" s="948">
        <f t="shared" si="16"/>
        <v>4</v>
      </c>
      <c r="L270" s="1119">
        <v>12</v>
      </c>
      <c r="M270" s="1120">
        <f t="shared" si="18"/>
        <v>20400</v>
      </c>
      <c r="N270" s="1119">
        <v>2</v>
      </c>
      <c r="O270" s="1119">
        <v>6</v>
      </c>
      <c r="P270" s="1120">
        <f t="shared" si="19"/>
        <v>10200</v>
      </c>
      <c r="Q270" s="886"/>
      <c r="R270" s="886"/>
      <c r="S270" s="886"/>
    </row>
    <row r="271" spans="1:19" x14ac:dyDescent="0.2">
      <c r="A271" s="1152" t="s">
        <v>3091</v>
      </c>
      <c r="B271" s="415" t="s">
        <v>3092</v>
      </c>
      <c r="C271" s="1161" t="s">
        <v>3486</v>
      </c>
      <c r="D271" s="1162" t="s">
        <v>3115</v>
      </c>
      <c r="E271" s="1139">
        <v>2000</v>
      </c>
      <c r="F271" s="1082" t="s">
        <v>3555</v>
      </c>
      <c r="G271" s="1141" t="str">
        <f t="shared" si="17"/>
        <v xml:space="preserve">  </v>
      </c>
      <c r="H271" s="1162" t="s">
        <v>3131</v>
      </c>
      <c r="I271" s="415"/>
      <c r="J271" s="415"/>
      <c r="K271" s="948">
        <f t="shared" si="16"/>
        <v>4</v>
      </c>
      <c r="L271" s="1119">
        <v>12</v>
      </c>
      <c r="M271" s="1120">
        <f t="shared" si="18"/>
        <v>24000</v>
      </c>
      <c r="N271" s="1119">
        <v>2</v>
      </c>
      <c r="O271" s="1119">
        <v>6</v>
      </c>
      <c r="P271" s="1120">
        <f t="shared" si="19"/>
        <v>12000</v>
      </c>
      <c r="Q271" s="886"/>
      <c r="R271" s="886"/>
      <c r="S271" s="886"/>
    </row>
    <row r="272" spans="1:19" ht="24" x14ac:dyDescent="0.2">
      <c r="A272" s="1152" t="s">
        <v>3091</v>
      </c>
      <c r="B272" s="415" t="s">
        <v>3092</v>
      </c>
      <c r="C272" s="1161" t="s">
        <v>3486</v>
      </c>
      <c r="D272" s="1162" t="s">
        <v>3556</v>
      </c>
      <c r="E272" s="1139">
        <v>3500</v>
      </c>
      <c r="F272" s="1082" t="s">
        <v>3557</v>
      </c>
      <c r="G272" s="1141" t="str">
        <f t="shared" si="17"/>
        <v xml:space="preserve">  </v>
      </c>
      <c r="H272" s="1162" t="s">
        <v>3129</v>
      </c>
      <c r="I272" s="415"/>
      <c r="J272" s="415"/>
      <c r="K272" s="948">
        <f t="shared" si="16"/>
        <v>4</v>
      </c>
      <c r="L272" s="1119">
        <v>12</v>
      </c>
      <c r="M272" s="1120">
        <f t="shared" si="18"/>
        <v>42000</v>
      </c>
      <c r="N272" s="1119">
        <v>2</v>
      </c>
      <c r="O272" s="1119">
        <v>6</v>
      </c>
      <c r="P272" s="1120">
        <f t="shared" si="19"/>
        <v>21000</v>
      </c>
      <c r="Q272" s="886"/>
      <c r="R272" s="886"/>
      <c r="S272" s="886"/>
    </row>
    <row r="273" spans="1:19" x14ac:dyDescent="0.2">
      <c r="A273" s="1152" t="s">
        <v>3091</v>
      </c>
      <c r="B273" s="415" t="s">
        <v>3092</v>
      </c>
      <c r="C273" s="1161" t="s">
        <v>3486</v>
      </c>
      <c r="D273" s="1162" t="s">
        <v>3558</v>
      </c>
      <c r="E273" s="1139">
        <v>4000</v>
      </c>
      <c r="F273" s="1082" t="s">
        <v>3559</v>
      </c>
      <c r="G273" s="1141" t="str">
        <f t="shared" si="17"/>
        <v xml:space="preserve">  </v>
      </c>
      <c r="H273" s="1162"/>
      <c r="I273" s="415"/>
      <c r="J273" s="415"/>
      <c r="K273" s="948">
        <f t="shared" si="16"/>
        <v>4</v>
      </c>
      <c r="L273" s="1119">
        <v>12</v>
      </c>
      <c r="M273" s="1120">
        <f t="shared" si="18"/>
        <v>48000</v>
      </c>
      <c r="N273" s="1119">
        <v>2</v>
      </c>
      <c r="O273" s="1119">
        <v>6</v>
      </c>
      <c r="P273" s="1120">
        <f t="shared" si="19"/>
        <v>24000</v>
      </c>
      <c r="Q273" s="886"/>
      <c r="R273" s="886"/>
      <c r="S273" s="886"/>
    </row>
    <row r="274" spans="1:19" ht="48" x14ac:dyDescent="0.2">
      <c r="A274" s="1152" t="s">
        <v>3091</v>
      </c>
      <c r="B274" s="415" t="s">
        <v>3092</v>
      </c>
      <c r="C274" s="1161" t="s">
        <v>3486</v>
      </c>
      <c r="D274" s="1162" t="s">
        <v>3518</v>
      </c>
      <c r="E274" s="1139">
        <v>1700</v>
      </c>
      <c r="F274" s="1082" t="s">
        <v>3560</v>
      </c>
      <c r="G274" s="1141" t="str">
        <f t="shared" si="17"/>
        <v xml:space="preserve">  </v>
      </c>
      <c r="H274" s="1162" t="s">
        <v>3515</v>
      </c>
      <c r="I274" s="415"/>
      <c r="J274" s="415"/>
      <c r="K274" s="948">
        <f t="shared" si="16"/>
        <v>4</v>
      </c>
      <c r="L274" s="1119">
        <v>12</v>
      </c>
      <c r="M274" s="1120">
        <f t="shared" si="18"/>
        <v>20400</v>
      </c>
      <c r="N274" s="1119">
        <v>2</v>
      </c>
      <c r="O274" s="1119">
        <v>6</v>
      </c>
      <c r="P274" s="1120">
        <f t="shared" si="19"/>
        <v>10200</v>
      </c>
      <c r="Q274" s="886"/>
      <c r="R274" s="886"/>
      <c r="S274" s="886"/>
    </row>
    <row r="275" spans="1:19" ht="24" x14ac:dyDescent="0.2">
      <c r="A275" s="1152" t="s">
        <v>3091</v>
      </c>
      <c r="B275" s="415" t="s">
        <v>3092</v>
      </c>
      <c r="C275" s="1161" t="s">
        <v>3486</v>
      </c>
      <c r="D275" s="1162" t="s">
        <v>3134</v>
      </c>
      <c r="E275" s="1139">
        <v>1500</v>
      </c>
      <c r="F275" s="1082" t="s">
        <v>3561</v>
      </c>
      <c r="G275" s="1141" t="str">
        <f t="shared" si="17"/>
        <v xml:space="preserve">  </v>
      </c>
      <c r="H275" s="1162" t="s">
        <v>3124</v>
      </c>
      <c r="I275" s="415"/>
      <c r="J275" s="415"/>
      <c r="K275" s="948">
        <f t="shared" si="16"/>
        <v>4</v>
      </c>
      <c r="L275" s="1119">
        <v>12</v>
      </c>
      <c r="M275" s="1120">
        <f t="shared" si="18"/>
        <v>18000</v>
      </c>
      <c r="N275" s="1119">
        <v>2</v>
      </c>
      <c r="O275" s="1119">
        <v>6</v>
      </c>
      <c r="P275" s="1120">
        <f t="shared" si="19"/>
        <v>9000</v>
      </c>
      <c r="Q275" s="886"/>
      <c r="R275" s="886"/>
      <c r="S275" s="886"/>
    </row>
    <row r="276" spans="1:19" x14ac:dyDescent="0.2">
      <c r="A276" s="1152"/>
      <c r="B276" s="415"/>
      <c r="C276" s="60"/>
      <c r="D276" s="416"/>
      <c r="E276" s="564"/>
      <c r="F276" s="415"/>
      <c r="G276" s="416"/>
      <c r="H276" s="416"/>
      <c r="I276" s="415"/>
      <c r="J276" s="415"/>
      <c r="K276" s="945"/>
      <c r="L276" s="1119"/>
      <c r="M276" s="1120"/>
      <c r="N276" s="1143"/>
      <c r="O276" s="1119"/>
      <c r="P276" s="1120"/>
      <c r="Q276" s="886"/>
      <c r="R276" s="886"/>
      <c r="S276" s="886"/>
    </row>
    <row r="277" spans="1:19" x14ac:dyDescent="0.2">
      <c r="A277" s="1536" t="s">
        <v>3485</v>
      </c>
      <c r="B277" s="1536"/>
      <c r="C277" s="1536"/>
      <c r="D277" s="1167"/>
      <c r="E277" s="1168">
        <f>SUM(E234:E276)</f>
        <v>98900</v>
      </c>
      <c r="F277" s="1169"/>
      <c r="G277" s="1167"/>
      <c r="H277" s="1167"/>
      <c r="I277" s="1170"/>
      <c r="J277" s="1170"/>
      <c r="K277" s="1356"/>
      <c r="L277" s="1172"/>
      <c r="M277" s="1173">
        <f>SUM(M234:M276)</f>
        <v>1186800</v>
      </c>
      <c r="N277" s="1171"/>
      <c r="O277" s="1172"/>
      <c r="P277" s="1173">
        <f>SUM(P234:P276)</f>
        <v>593400</v>
      </c>
      <c r="Q277" s="886"/>
      <c r="R277" s="886"/>
      <c r="S277" s="886"/>
    </row>
    <row r="278" spans="1:19" ht="13.5" customHeight="1" x14ac:dyDescent="0.2">
      <c r="A278" s="1511" t="s">
        <v>169</v>
      </c>
      <c r="B278" s="1511"/>
      <c r="C278" s="1511"/>
      <c r="D278" s="1511"/>
      <c r="E278" s="1174">
        <f>E233+E277</f>
        <v>554883.33000000007</v>
      </c>
      <c r="F278" s="907"/>
      <c r="G278" s="907"/>
      <c r="H278" s="907"/>
      <c r="I278" s="725"/>
      <c r="J278" s="725"/>
      <c r="K278" s="1357"/>
      <c r="L278" s="907"/>
      <c r="M278" s="1175">
        <f>M233+M277</f>
        <v>6658599.96</v>
      </c>
      <c r="N278" s="907"/>
      <c r="O278" s="907"/>
      <c r="P278" s="1175">
        <f>P233+P277</f>
        <v>3329299.98</v>
      </c>
      <c r="Q278" s="886"/>
      <c r="R278" s="886"/>
      <c r="S278" s="886"/>
    </row>
    <row r="279" spans="1:19" x14ac:dyDescent="0.2">
      <c r="A279" s="886"/>
      <c r="B279" s="886"/>
      <c r="C279" s="886"/>
      <c r="D279" s="886"/>
      <c r="E279" s="886"/>
      <c r="F279" s="886"/>
      <c r="G279" s="886"/>
      <c r="H279" s="886"/>
      <c r="I279" s="886"/>
      <c r="J279" s="886"/>
      <c r="K279" s="921"/>
      <c r="L279" s="886"/>
      <c r="M279" s="886"/>
      <c r="N279" s="886"/>
      <c r="O279" s="886"/>
      <c r="P279" s="886"/>
      <c r="Q279" s="886"/>
      <c r="R279" s="886"/>
      <c r="S279" s="886"/>
    </row>
    <row r="280" spans="1:19" x14ac:dyDescent="0.2">
      <c r="A280" s="886"/>
      <c r="B280" s="886"/>
      <c r="C280" s="886"/>
      <c r="D280" s="886"/>
      <c r="E280" s="886"/>
      <c r="F280" s="886"/>
      <c r="G280" s="886"/>
      <c r="H280" s="886"/>
      <c r="I280" s="886"/>
      <c r="J280" s="886"/>
      <c r="K280" s="921"/>
      <c r="L280" s="886"/>
      <c r="M280" s="886"/>
      <c r="N280" s="886"/>
      <c r="O280" s="886"/>
      <c r="P280" s="886"/>
      <c r="Q280" s="886"/>
      <c r="R280" s="886"/>
      <c r="S280" s="886"/>
    </row>
    <row r="281" spans="1:19" x14ac:dyDescent="0.2">
      <c r="A281" s="1153" t="s">
        <v>3562</v>
      </c>
      <c r="B281" s="1176"/>
      <c r="C281" s="851"/>
      <c r="D281" s="1176"/>
      <c r="E281" s="1177"/>
      <c r="F281" s="1176"/>
      <c r="G281" s="1176"/>
      <c r="H281" s="1176"/>
      <c r="I281" s="1178"/>
      <c r="J281" s="1178"/>
      <c r="K281" s="1358"/>
      <c r="L281" s="1179"/>
      <c r="M281" s="1180"/>
      <c r="N281" s="1176"/>
      <c r="O281" s="1176"/>
      <c r="P281" s="1180"/>
    </row>
    <row r="282" spans="1:19" x14ac:dyDescent="0.2">
      <c r="A282" s="1529" t="s">
        <v>3075</v>
      </c>
      <c r="B282" s="1529"/>
      <c r="C282" s="1529"/>
      <c r="D282" s="1529"/>
      <c r="E282" s="1529"/>
      <c r="F282" s="1529" t="s">
        <v>3076</v>
      </c>
      <c r="G282" s="1529"/>
      <c r="H282" s="1529"/>
      <c r="I282" s="1529"/>
      <c r="J282" s="1529"/>
      <c r="K282" s="1528" t="s">
        <v>3077</v>
      </c>
      <c r="L282" s="1528"/>
      <c r="M282" s="1528"/>
      <c r="N282" s="1528" t="s">
        <v>3078</v>
      </c>
      <c r="O282" s="1528"/>
      <c r="P282" s="1528"/>
      <c r="Q282" s="511"/>
      <c r="R282" s="511"/>
      <c r="S282" s="511"/>
    </row>
    <row r="283" spans="1:19" ht="90" customHeight="1" x14ac:dyDescent="0.2">
      <c r="A283" s="869" t="s">
        <v>2829</v>
      </c>
      <c r="B283" s="433" t="s">
        <v>3079</v>
      </c>
      <c r="C283" s="869" t="s">
        <v>3080</v>
      </c>
      <c r="D283" s="433" t="s">
        <v>3081</v>
      </c>
      <c r="E283" s="699" t="s">
        <v>3082</v>
      </c>
      <c r="F283" s="433" t="s">
        <v>3083</v>
      </c>
      <c r="G283" s="1154" t="s">
        <v>3084</v>
      </c>
      <c r="H283" s="433" t="s">
        <v>3085</v>
      </c>
      <c r="I283" s="433" t="s">
        <v>3086</v>
      </c>
      <c r="J283" s="433" t="s">
        <v>3087</v>
      </c>
      <c r="K283" s="1354" t="s">
        <v>3088</v>
      </c>
      <c r="L283" s="1157" t="s">
        <v>3089</v>
      </c>
      <c r="M283" s="698" t="s">
        <v>3090</v>
      </c>
      <c r="N283" s="1157" t="s">
        <v>3088</v>
      </c>
      <c r="O283" s="1157" t="s">
        <v>3089</v>
      </c>
      <c r="P283" s="698" t="s">
        <v>3090</v>
      </c>
      <c r="Q283" s="1058"/>
      <c r="R283" s="1058"/>
      <c r="S283" s="1058"/>
    </row>
    <row r="284" spans="1:19" ht="24" x14ac:dyDescent="0.2">
      <c r="A284" s="60"/>
      <c r="B284" s="416"/>
      <c r="C284" s="60" t="s">
        <v>398</v>
      </c>
      <c r="D284" s="416" t="s">
        <v>3134</v>
      </c>
      <c r="E284" s="1181">
        <v>1400</v>
      </c>
      <c r="F284" s="415">
        <v>46413048</v>
      </c>
      <c r="G284" s="416" t="s">
        <v>3563</v>
      </c>
      <c r="H284" s="60" t="s">
        <v>3497</v>
      </c>
      <c r="I284" s="415" t="s">
        <v>3564</v>
      </c>
      <c r="J284" s="415" t="s">
        <v>3565</v>
      </c>
      <c r="K284" s="1359">
        <v>5</v>
      </c>
      <c r="L284" s="1182">
        <v>12</v>
      </c>
      <c r="M284" s="1181">
        <v>18912</v>
      </c>
      <c r="N284" s="1182">
        <v>2</v>
      </c>
      <c r="O284" s="1182">
        <v>6</v>
      </c>
      <c r="P284" s="1181">
        <v>9456</v>
      </c>
    </row>
    <row r="285" spans="1:19" x14ac:dyDescent="0.2">
      <c r="A285" s="60"/>
      <c r="B285" s="416"/>
      <c r="C285" s="60"/>
      <c r="D285" s="416" t="s">
        <v>3566</v>
      </c>
      <c r="E285" s="1181">
        <v>2200</v>
      </c>
      <c r="F285" s="415">
        <v>45270067</v>
      </c>
      <c r="G285" s="416" t="s">
        <v>3567</v>
      </c>
      <c r="H285" s="60" t="s">
        <v>3552</v>
      </c>
      <c r="I285" s="415" t="s">
        <v>3564</v>
      </c>
      <c r="J285" s="415" t="s">
        <v>3568</v>
      </c>
      <c r="K285" s="1359">
        <v>5</v>
      </c>
      <c r="L285" s="1182">
        <v>12</v>
      </c>
      <c r="M285" s="1181">
        <v>29376</v>
      </c>
      <c r="N285" s="1182">
        <v>2</v>
      </c>
      <c r="O285" s="1182">
        <v>6</v>
      </c>
      <c r="P285" s="1181">
        <v>14688</v>
      </c>
    </row>
    <row r="286" spans="1:19" ht="36" x14ac:dyDescent="0.2">
      <c r="A286" s="60"/>
      <c r="B286" s="416"/>
      <c r="C286" s="60"/>
      <c r="D286" s="416" t="s">
        <v>3164</v>
      </c>
      <c r="E286" s="1181">
        <v>1400</v>
      </c>
      <c r="F286" s="415">
        <v>41825089</v>
      </c>
      <c r="G286" s="416" t="s">
        <v>3569</v>
      </c>
      <c r="H286" s="60" t="s">
        <v>3570</v>
      </c>
      <c r="I286" s="415" t="s">
        <v>3564</v>
      </c>
      <c r="J286" s="415" t="s">
        <v>3571</v>
      </c>
      <c r="K286" s="1359">
        <v>5</v>
      </c>
      <c r="L286" s="1182">
        <v>12</v>
      </c>
      <c r="M286" s="1181">
        <v>18912</v>
      </c>
      <c r="N286" s="1182">
        <v>2</v>
      </c>
      <c r="O286" s="1182">
        <v>6</v>
      </c>
      <c r="P286" s="1181">
        <v>9456</v>
      </c>
    </row>
    <row r="287" spans="1:19" x14ac:dyDescent="0.2">
      <c r="A287" s="1531" t="s">
        <v>3485</v>
      </c>
      <c r="B287" s="1531"/>
      <c r="C287" s="1531"/>
      <c r="D287" s="416"/>
      <c r="E287" s="1181">
        <f>SUM(E284:E286)</f>
        <v>5000</v>
      </c>
      <c r="F287" s="415"/>
      <c r="G287" s="416"/>
      <c r="H287" s="60"/>
      <c r="I287" s="415"/>
      <c r="J287" s="415"/>
      <c r="K287" s="1359">
        <f>SUM(K284:K286)</f>
        <v>15</v>
      </c>
      <c r="L287" s="1182">
        <f>SUM(L284:L286)</f>
        <v>36</v>
      </c>
      <c r="M287" s="1181">
        <f>SUM(M284:M286)</f>
        <v>67200</v>
      </c>
      <c r="N287" s="1182"/>
      <c r="O287" s="1182"/>
      <c r="P287" s="1181">
        <f>SUM(P284:P286)</f>
        <v>33600</v>
      </c>
    </row>
    <row r="288" spans="1:19" ht="24" x14ac:dyDescent="0.2">
      <c r="A288" s="60"/>
      <c r="B288" s="416"/>
      <c r="C288" s="60" t="s">
        <v>3572</v>
      </c>
      <c r="D288" s="416" t="s">
        <v>3573</v>
      </c>
      <c r="E288" s="1532">
        <v>1500</v>
      </c>
      <c r="F288" s="1533">
        <v>44434017</v>
      </c>
      <c r="G288" s="1534" t="s">
        <v>3574</v>
      </c>
      <c r="H288" s="1535" t="s">
        <v>2736</v>
      </c>
      <c r="I288" s="1533" t="s">
        <v>3564</v>
      </c>
      <c r="J288" s="1533" t="s">
        <v>3575</v>
      </c>
      <c r="K288" s="1538">
        <v>1</v>
      </c>
      <c r="L288" s="1537">
        <v>3</v>
      </c>
      <c r="M288" s="1532">
        <f>E288*L288</f>
        <v>4500</v>
      </c>
      <c r="N288" s="1537">
        <v>1</v>
      </c>
      <c r="O288" s="1537">
        <v>4</v>
      </c>
      <c r="P288" s="1532">
        <f>O288*E289</f>
        <v>0</v>
      </c>
    </row>
    <row r="289" spans="1:16" ht="24" x14ac:dyDescent="0.2">
      <c r="A289" s="60"/>
      <c r="B289" s="416"/>
      <c r="C289" s="60"/>
      <c r="D289" s="416" t="s">
        <v>3576</v>
      </c>
      <c r="E289" s="1532"/>
      <c r="F289" s="1533"/>
      <c r="G289" s="1534"/>
      <c r="H289" s="1535"/>
      <c r="I289" s="1533"/>
      <c r="J289" s="1533"/>
      <c r="K289" s="1538"/>
      <c r="L289" s="1537"/>
      <c r="M289" s="1532"/>
      <c r="N289" s="1537"/>
      <c r="O289" s="1537"/>
      <c r="P289" s="1532"/>
    </row>
    <row r="290" spans="1:16" ht="24" x14ac:dyDescent="0.2">
      <c r="A290" s="60"/>
      <c r="B290" s="416"/>
      <c r="C290" s="60"/>
      <c r="D290" s="416" t="s">
        <v>3577</v>
      </c>
      <c r="E290" s="1181">
        <v>3000</v>
      </c>
      <c r="F290" s="415">
        <v>45971158</v>
      </c>
      <c r="G290" s="416" t="s">
        <v>3578</v>
      </c>
      <c r="H290" s="60" t="s">
        <v>3579</v>
      </c>
      <c r="I290" s="415" t="s">
        <v>3564</v>
      </c>
      <c r="J290" s="415" t="s">
        <v>3580</v>
      </c>
      <c r="K290" s="1359">
        <v>3</v>
      </c>
      <c r="L290" s="1182">
        <v>10</v>
      </c>
      <c r="M290" s="1181">
        <f>E290*L290</f>
        <v>30000</v>
      </c>
      <c r="N290" s="1182">
        <v>1</v>
      </c>
      <c r="O290" s="1182">
        <v>5</v>
      </c>
      <c r="P290" s="1181">
        <f>E290*O290</f>
        <v>15000</v>
      </c>
    </row>
    <row r="291" spans="1:16" x14ac:dyDescent="0.2">
      <c r="A291" s="60"/>
      <c r="B291" s="416"/>
      <c r="C291" s="60"/>
      <c r="D291" s="416" t="s">
        <v>3581</v>
      </c>
      <c r="E291" s="1181">
        <v>1800</v>
      </c>
      <c r="F291" s="1533">
        <v>40845422</v>
      </c>
      <c r="G291" s="1534" t="s">
        <v>3582</v>
      </c>
      <c r="H291" s="1535" t="s">
        <v>3583</v>
      </c>
      <c r="I291" s="1533" t="s">
        <v>3564</v>
      </c>
      <c r="J291" s="1533" t="s">
        <v>3575</v>
      </c>
      <c r="K291" s="1359">
        <v>3</v>
      </c>
      <c r="L291" s="1182">
        <v>10</v>
      </c>
      <c r="M291" s="1181">
        <f>E291*L291</f>
        <v>18000</v>
      </c>
      <c r="N291" s="1182"/>
      <c r="O291" s="1182"/>
      <c r="P291" s="1181"/>
    </row>
    <row r="292" spans="1:16" x14ac:dyDescent="0.2">
      <c r="A292" s="60"/>
      <c r="B292" s="416"/>
      <c r="C292" s="60"/>
      <c r="D292" s="416" t="s">
        <v>3584</v>
      </c>
      <c r="E292" s="1181">
        <v>2500</v>
      </c>
      <c r="F292" s="1533"/>
      <c r="G292" s="1534"/>
      <c r="H292" s="1535"/>
      <c r="I292" s="1533"/>
      <c r="J292" s="1533"/>
      <c r="K292" s="1359"/>
      <c r="L292" s="1182"/>
      <c r="M292" s="1181"/>
      <c r="N292" s="1182">
        <v>1</v>
      </c>
      <c r="O292" s="1182">
        <v>5</v>
      </c>
      <c r="P292" s="1181">
        <f>E292*O292</f>
        <v>12500</v>
      </c>
    </row>
    <row r="293" spans="1:16" ht="24" x14ac:dyDescent="0.2">
      <c r="A293" s="60"/>
      <c r="B293" s="416"/>
      <c r="C293" s="60"/>
      <c r="D293" s="416" t="s">
        <v>3585</v>
      </c>
      <c r="E293" s="1181">
        <v>3000</v>
      </c>
      <c r="F293" s="415" t="s">
        <v>3586</v>
      </c>
      <c r="G293" s="416" t="s">
        <v>3587</v>
      </c>
      <c r="H293" s="60" t="s">
        <v>2736</v>
      </c>
      <c r="I293" s="415" t="s">
        <v>3564</v>
      </c>
      <c r="J293" s="415" t="s">
        <v>3565</v>
      </c>
      <c r="K293" s="1359">
        <v>3</v>
      </c>
      <c r="L293" s="1182">
        <v>10</v>
      </c>
      <c r="M293" s="1181">
        <f>E293*L293</f>
        <v>30000</v>
      </c>
      <c r="N293" s="1182">
        <v>1</v>
      </c>
      <c r="O293" s="1182">
        <v>5</v>
      </c>
      <c r="P293" s="1181">
        <f>E293*O293</f>
        <v>15000</v>
      </c>
    </row>
    <row r="294" spans="1:16" x14ac:dyDescent="0.2">
      <c r="A294" s="60"/>
      <c r="B294" s="416"/>
      <c r="C294" s="60"/>
      <c r="D294" s="416" t="s">
        <v>3588</v>
      </c>
      <c r="E294" s="1181">
        <v>2000</v>
      </c>
      <c r="F294" s="415">
        <v>44442297</v>
      </c>
      <c r="G294" s="416" t="s">
        <v>3589</v>
      </c>
      <c r="H294" s="60" t="s">
        <v>3153</v>
      </c>
      <c r="I294" s="415" t="s">
        <v>3564</v>
      </c>
      <c r="J294" s="415" t="s">
        <v>3565</v>
      </c>
      <c r="K294" s="1359"/>
      <c r="L294" s="1182"/>
      <c r="M294" s="1181"/>
      <c r="N294" s="1182">
        <v>1</v>
      </c>
      <c r="O294" s="1182">
        <v>5</v>
      </c>
      <c r="P294" s="1181">
        <f>O294*E294</f>
        <v>10000</v>
      </c>
    </row>
    <row r="295" spans="1:16" x14ac:dyDescent="0.2">
      <c r="A295" s="60"/>
      <c r="B295" s="416"/>
      <c r="C295" s="60"/>
      <c r="D295" s="416" t="s">
        <v>3581</v>
      </c>
      <c r="E295" s="1181">
        <v>1800</v>
      </c>
      <c r="F295" s="415">
        <v>47064809</v>
      </c>
      <c r="G295" s="416" t="s">
        <v>3590</v>
      </c>
      <c r="H295" s="60" t="s">
        <v>3579</v>
      </c>
      <c r="I295" s="415" t="s">
        <v>3564</v>
      </c>
      <c r="J295" s="415" t="s">
        <v>3591</v>
      </c>
      <c r="K295" s="1359"/>
      <c r="L295" s="1182"/>
      <c r="M295" s="1181"/>
      <c r="N295" s="1182">
        <v>1</v>
      </c>
      <c r="O295" s="1182">
        <v>4</v>
      </c>
      <c r="P295" s="1181">
        <f>E295*O295</f>
        <v>7200</v>
      </c>
    </row>
    <row r="296" spans="1:16" ht="24" x14ac:dyDescent="0.2">
      <c r="A296" s="60"/>
      <c r="B296" s="416"/>
      <c r="C296" s="60"/>
      <c r="D296" s="416" t="s">
        <v>3581</v>
      </c>
      <c r="E296" s="1181">
        <v>1800</v>
      </c>
      <c r="F296" s="415">
        <v>22464007</v>
      </c>
      <c r="G296" s="416" t="s">
        <v>3592</v>
      </c>
      <c r="H296" s="60" t="s">
        <v>3593</v>
      </c>
      <c r="I296" s="415" t="s">
        <v>3564</v>
      </c>
      <c r="J296" s="415" t="s">
        <v>3565</v>
      </c>
      <c r="K296" s="1359"/>
      <c r="L296" s="1182"/>
      <c r="M296" s="1181"/>
      <c r="N296" s="1182">
        <v>1</v>
      </c>
      <c r="O296" s="1182">
        <v>4</v>
      </c>
      <c r="P296" s="1181">
        <f>E296*O296</f>
        <v>7200</v>
      </c>
    </row>
    <row r="297" spans="1:16" x14ac:dyDescent="0.2">
      <c r="A297" s="60"/>
      <c r="B297" s="416"/>
      <c r="C297" s="60"/>
      <c r="D297" s="416" t="s">
        <v>3581</v>
      </c>
      <c r="E297" s="1181">
        <v>1800</v>
      </c>
      <c r="F297" s="415">
        <v>74705141</v>
      </c>
      <c r="G297" s="416" t="s">
        <v>3594</v>
      </c>
      <c r="H297" s="60" t="s">
        <v>3579</v>
      </c>
      <c r="I297" s="415" t="s">
        <v>3564</v>
      </c>
      <c r="J297" s="415" t="s">
        <v>3595</v>
      </c>
      <c r="K297" s="1359"/>
      <c r="L297" s="1182"/>
      <c r="M297" s="1181"/>
      <c r="N297" s="1182">
        <v>1</v>
      </c>
      <c r="O297" s="1182">
        <v>4</v>
      </c>
      <c r="P297" s="1181">
        <f>E297*O297</f>
        <v>7200</v>
      </c>
    </row>
    <row r="298" spans="1:16" x14ac:dyDescent="0.2">
      <c r="A298" s="1531" t="s">
        <v>3485</v>
      </c>
      <c r="B298" s="1531"/>
      <c r="C298" s="1531"/>
      <c r="D298" s="416"/>
      <c r="E298" s="1183">
        <f>SUM(E288:E297)</f>
        <v>19200</v>
      </c>
      <c r="F298" s="835"/>
      <c r="G298" s="416"/>
      <c r="H298" s="416"/>
      <c r="I298" s="415"/>
      <c r="J298" s="415"/>
      <c r="K298" s="948">
        <f>SUM(K288:K297)</f>
        <v>10</v>
      </c>
      <c r="L298" s="1184">
        <f>SUM(L288:L297)</f>
        <v>33</v>
      </c>
      <c r="M298" s="1120">
        <f>SUM(M288:M297)</f>
        <v>82500</v>
      </c>
      <c r="N298" s="1182"/>
      <c r="O298" s="1182"/>
      <c r="P298" s="1183">
        <f>SUM(P288:P297)</f>
        <v>74100</v>
      </c>
    </row>
    <row r="299" spans="1:16" s="914" customFormat="1" x14ac:dyDescent="0.2">
      <c r="A299" s="1485" t="s">
        <v>169</v>
      </c>
      <c r="B299" s="1485"/>
      <c r="C299" s="1485"/>
      <c r="D299" s="1154"/>
      <c r="E299" s="565">
        <f>E287+E298</f>
        <v>24200</v>
      </c>
      <c r="F299" s="1154"/>
      <c r="G299" s="1154"/>
      <c r="H299" s="1154"/>
      <c r="I299" s="433"/>
      <c r="J299" s="433"/>
      <c r="K299" s="1353">
        <f>K287+K298</f>
        <v>25</v>
      </c>
      <c r="L299" s="1185">
        <f t="shared" ref="L299:M299" si="20">L287+L298</f>
        <v>69</v>
      </c>
      <c r="M299" s="565">
        <f t="shared" si="20"/>
        <v>149700</v>
      </c>
      <c r="N299" s="1154"/>
      <c r="O299" s="1154"/>
      <c r="P299" s="565">
        <f t="shared" ref="P299" si="21">P287+P298</f>
        <v>107700</v>
      </c>
    </row>
    <row r="300" spans="1:16" x14ac:dyDescent="0.2">
      <c r="A300" s="63"/>
      <c r="C300" s="63"/>
      <c r="E300" s="63"/>
      <c r="I300" s="63"/>
      <c r="J300" s="63"/>
      <c r="L300" s="63"/>
      <c r="M300" s="63"/>
      <c r="P300" s="63"/>
    </row>
    <row r="301" spans="1:16" x14ac:dyDescent="0.2">
      <c r="A301" s="63"/>
      <c r="C301" s="63"/>
      <c r="E301" s="63"/>
      <c r="I301" s="63"/>
      <c r="J301" s="63"/>
      <c r="L301" s="63"/>
      <c r="M301" s="63"/>
      <c r="P301" s="63"/>
    </row>
    <row r="302" spans="1:16" x14ac:dyDescent="0.2">
      <c r="A302" s="1153" t="s">
        <v>3596</v>
      </c>
      <c r="B302" s="1154"/>
      <c r="C302" s="851"/>
      <c r="D302" s="1176"/>
      <c r="E302" s="1177"/>
      <c r="F302" s="1176"/>
      <c r="G302" s="1176"/>
      <c r="H302" s="1176"/>
      <c r="I302" s="1178"/>
      <c r="J302" s="1178"/>
      <c r="K302" s="1358"/>
      <c r="L302" s="1179"/>
      <c r="M302" s="1180"/>
      <c r="N302" s="1176"/>
      <c r="O302" s="1176"/>
      <c r="P302" s="1180"/>
    </row>
    <row r="303" spans="1:16" ht="90" customHeight="1" x14ac:dyDescent="0.2">
      <c r="A303" s="869" t="s">
        <v>2829</v>
      </c>
      <c r="B303" s="433" t="s">
        <v>3079</v>
      </c>
      <c r="C303" s="869" t="s">
        <v>3080</v>
      </c>
      <c r="D303" s="433" t="s">
        <v>3081</v>
      </c>
      <c r="E303" s="699" t="s">
        <v>3082</v>
      </c>
      <c r="F303" s="433" t="s">
        <v>3083</v>
      </c>
      <c r="G303" s="433" t="s">
        <v>3084</v>
      </c>
      <c r="H303" s="433" t="s">
        <v>3085</v>
      </c>
      <c r="I303" s="433" t="s">
        <v>3086</v>
      </c>
      <c r="J303" s="433" t="s">
        <v>3087</v>
      </c>
      <c r="K303" s="1354" t="s">
        <v>3088</v>
      </c>
      <c r="L303" s="1157" t="s">
        <v>3089</v>
      </c>
      <c r="M303" s="698" t="s">
        <v>3090</v>
      </c>
      <c r="N303" s="1157" t="s">
        <v>3088</v>
      </c>
      <c r="O303" s="1157" t="s">
        <v>3089</v>
      </c>
      <c r="P303" s="698" t="s">
        <v>3090</v>
      </c>
    </row>
    <row r="304" spans="1:16" ht="24" x14ac:dyDescent="0.2">
      <c r="A304" s="60">
        <v>942</v>
      </c>
      <c r="B304" s="415" t="s">
        <v>3092</v>
      </c>
      <c r="C304" s="60" t="s">
        <v>3597</v>
      </c>
      <c r="D304" s="415" t="s">
        <v>3598</v>
      </c>
      <c r="E304" s="1186">
        <v>1600</v>
      </c>
      <c r="F304" s="1160">
        <v>43051351</v>
      </c>
      <c r="G304" s="154" t="s">
        <v>3599</v>
      </c>
      <c r="H304" s="416" t="s">
        <v>3600</v>
      </c>
      <c r="I304" s="415" t="s">
        <v>3292</v>
      </c>
      <c r="J304" s="415" t="s">
        <v>3292</v>
      </c>
      <c r="K304" s="948" t="s">
        <v>3601</v>
      </c>
      <c r="L304" s="1160">
        <v>12</v>
      </c>
      <c r="M304" s="1120">
        <f>E304*12</f>
        <v>19200</v>
      </c>
      <c r="N304" s="1160">
        <v>1</v>
      </c>
      <c r="O304" s="1160">
        <v>8</v>
      </c>
      <c r="P304" s="1120">
        <f>E304*8</f>
        <v>12800</v>
      </c>
    </row>
    <row r="305" spans="1:16" ht="24" x14ac:dyDescent="0.2">
      <c r="A305" s="60">
        <v>942</v>
      </c>
      <c r="B305" s="415" t="s">
        <v>3092</v>
      </c>
      <c r="C305" s="60" t="s">
        <v>3597</v>
      </c>
      <c r="D305" s="415" t="s">
        <v>578</v>
      </c>
      <c r="E305" s="1187">
        <v>1300</v>
      </c>
      <c r="F305" s="1160">
        <v>75601314</v>
      </c>
      <c r="G305" s="898" t="s">
        <v>3602</v>
      </c>
      <c r="H305" s="416" t="s">
        <v>3603</v>
      </c>
      <c r="I305" s="415" t="s">
        <v>3564</v>
      </c>
      <c r="J305" s="415" t="s">
        <v>3564</v>
      </c>
      <c r="K305" s="948" t="s">
        <v>3601</v>
      </c>
      <c r="L305" s="1160" t="s">
        <v>3604</v>
      </c>
      <c r="M305" s="1120">
        <f t="shared" ref="M305:M327" si="22">E305*12</f>
        <v>15600</v>
      </c>
      <c r="N305" s="1160" t="s">
        <v>429</v>
      </c>
      <c r="O305" s="1160" t="s">
        <v>638</v>
      </c>
      <c r="P305" s="1120">
        <f t="shared" ref="P305:P327" si="23">E305*8</f>
        <v>10400</v>
      </c>
    </row>
    <row r="306" spans="1:16" x14ac:dyDescent="0.2">
      <c r="A306" s="60">
        <v>942</v>
      </c>
      <c r="B306" s="415" t="s">
        <v>3092</v>
      </c>
      <c r="C306" s="60" t="s">
        <v>3597</v>
      </c>
      <c r="D306" s="415" t="s">
        <v>578</v>
      </c>
      <c r="E306" s="1188">
        <v>5950</v>
      </c>
      <c r="F306" s="1160">
        <v>42023993</v>
      </c>
      <c r="G306" s="898" t="s">
        <v>3605</v>
      </c>
      <c r="H306" s="416" t="s">
        <v>3099</v>
      </c>
      <c r="I306" s="415" t="s">
        <v>3564</v>
      </c>
      <c r="J306" s="415" t="s">
        <v>3564</v>
      </c>
      <c r="K306" s="948" t="s">
        <v>429</v>
      </c>
      <c r="L306" s="1160" t="s">
        <v>3604</v>
      </c>
      <c r="M306" s="1120">
        <f t="shared" si="22"/>
        <v>71400</v>
      </c>
      <c r="N306" s="1160" t="s">
        <v>429</v>
      </c>
      <c r="O306" s="1160" t="s">
        <v>638</v>
      </c>
      <c r="P306" s="1120">
        <f t="shared" si="23"/>
        <v>47600</v>
      </c>
    </row>
    <row r="307" spans="1:16" ht="13.5" x14ac:dyDescent="0.2">
      <c r="A307" s="60">
        <v>942</v>
      </c>
      <c r="B307" s="415" t="s">
        <v>3092</v>
      </c>
      <c r="C307" s="60" t="s">
        <v>3597</v>
      </c>
      <c r="D307" s="415" t="s">
        <v>578</v>
      </c>
      <c r="E307" s="1187">
        <v>1500</v>
      </c>
      <c r="F307" s="1160" t="s">
        <v>3606</v>
      </c>
      <c r="G307" s="154" t="s">
        <v>3607</v>
      </c>
      <c r="H307" s="416" t="s">
        <v>3608</v>
      </c>
      <c r="I307" s="415" t="s">
        <v>3564</v>
      </c>
      <c r="J307" s="415" t="s">
        <v>3564</v>
      </c>
      <c r="K307" s="948" t="s">
        <v>3601</v>
      </c>
      <c r="L307" s="1160" t="s">
        <v>3604</v>
      </c>
      <c r="M307" s="1120">
        <f t="shared" si="22"/>
        <v>18000</v>
      </c>
      <c r="N307" s="1160" t="s">
        <v>429</v>
      </c>
      <c r="O307" s="1160" t="s">
        <v>638</v>
      </c>
      <c r="P307" s="1120">
        <f t="shared" si="23"/>
        <v>12000</v>
      </c>
    </row>
    <row r="308" spans="1:16" ht="24" x14ac:dyDescent="0.2">
      <c r="A308" s="60">
        <v>942</v>
      </c>
      <c r="B308" s="415" t="s">
        <v>3092</v>
      </c>
      <c r="C308" s="60" t="s">
        <v>3597</v>
      </c>
      <c r="D308" s="415" t="s">
        <v>578</v>
      </c>
      <c r="E308" s="1187">
        <v>1700</v>
      </c>
      <c r="F308" s="1160">
        <v>72541968</v>
      </c>
      <c r="G308" s="154" t="s">
        <v>3609</v>
      </c>
      <c r="H308" s="416" t="s">
        <v>3610</v>
      </c>
      <c r="I308" s="415" t="s">
        <v>3564</v>
      </c>
      <c r="J308" s="415" t="s">
        <v>3564</v>
      </c>
      <c r="K308" s="948" t="s">
        <v>3601</v>
      </c>
      <c r="L308" s="1160" t="s">
        <v>3604</v>
      </c>
      <c r="M308" s="1120">
        <f t="shared" si="22"/>
        <v>20400</v>
      </c>
      <c r="N308" s="1160" t="s">
        <v>429</v>
      </c>
      <c r="O308" s="1160" t="s">
        <v>638</v>
      </c>
      <c r="P308" s="1120">
        <f t="shared" si="23"/>
        <v>13600</v>
      </c>
    </row>
    <row r="309" spans="1:16" ht="24" x14ac:dyDescent="0.2">
      <c r="A309" s="60">
        <v>942</v>
      </c>
      <c r="B309" s="415" t="s">
        <v>3092</v>
      </c>
      <c r="C309" s="60" t="s">
        <v>3597</v>
      </c>
      <c r="D309" s="415" t="s">
        <v>578</v>
      </c>
      <c r="E309" s="1187">
        <v>1000</v>
      </c>
      <c r="F309" s="1160" t="s">
        <v>3611</v>
      </c>
      <c r="G309" s="154" t="s">
        <v>3612</v>
      </c>
      <c r="H309" s="416" t="s">
        <v>3600</v>
      </c>
      <c r="I309" s="415" t="s">
        <v>3564</v>
      </c>
      <c r="J309" s="415" t="s">
        <v>3564</v>
      </c>
      <c r="K309" s="948" t="s">
        <v>3601</v>
      </c>
      <c r="L309" s="1160" t="s">
        <v>3604</v>
      </c>
      <c r="M309" s="1120">
        <f t="shared" si="22"/>
        <v>12000</v>
      </c>
      <c r="N309" s="1160" t="s">
        <v>429</v>
      </c>
      <c r="O309" s="1160" t="s">
        <v>638</v>
      </c>
      <c r="P309" s="1120">
        <f t="shared" si="23"/>
        <v>8000</v>
      </c>
    </row>
    <row r="310" spans="1:16" ht="13.5" x14ac:dyDescent="0.2">
      <c r="A310" s="60">
        <v>942</v>
      </c>
      <c r="B310" s="415" t="s">
        <v>3092</v>
      </c>
      <c r="C310" s="60" t="s">
        <v>3597</v>
      </c>
      <c r="D310" s="415" t="s">
        <v>578</v>
      </c>
      <c r="E310" s="1189">
        <v>1100</v>
      </c>
      <c r="F310" s="1160" t="s">
        <v>3613</v>
      </c>
      <c r="G310" s="416" t="s">
        <v>3614</v>
      </c>
      <c r="H310" s="416" t="s">
        <v>3615</v>
      </c>
      <c r="I310" s="415" t="s">
        <v>3616</v>
      </c>
      <c r="J310" s="415" t="s">
        <v>3616</v>
      </c>
      <c r="K310" s="948" t="s">
        <v>3601</v>
      </c>
      <c r="L310" s="1160" t="s">
        <v>3604</v>
      </c>
      <c r="M310" s="1120">
        <f t="shared" si="22"/>
        <v>13200</v>
      </c>
      <c r="N310" s="1160" t="s">
        <v>429</v>
      </c>
      <c r="O310" s="1160" t="s">
        <v>638</v>
      </c>
      <c r="P310" s="1120">
        <f t="shared" si="23"/>
        <v>8800</v>
      </c>
    </row>
    <row r="311" spans="1:16" ht="24" x14ac:dyDescent="0.2">
      <c r="A311" s="60">
        <v>942</v>
      </c>
      <c r="B311" s="415" t="s">
        <v>3092</v>
      </c>
      <c r="C311" s="60" t="s">
        <v>3597</v>
      </c>
      <c r="D311" s="415" t="s">
        <v>578</v>
      </c>
      <c r="E311" s="1187">
        <v>2000</v>
      </c>
      <c r="F311" s="1160" t="s">
        <v>3617</v>
      </c>
      <c r="G311" s="416" t="s">
        <v>3618</v>
      </c>
      <c r="H311" s="416" t="s">
        <v>3552</v>
      </c>
      <c r="I311" s="415" t="s">
        <v>3564</v>
      </c>
      <c r="J311" s="415" t="s">
        <v>3564</v>
      </c>
      <c r="K311" s="948" t="s">
        <v>3601</v>
      </c>
      <c r="L311" s="1160" t="s">
        <v>3604</v>
      </c>
      <c r="M311" s="1120">
        <f t="shared" si="22"/>
        <v>24000</v>
      </c>
      <c r="N311" s="1160" t="s">
        <v>429</v>
      </c>
      <c r="O311" s="1160" t="s">
        <v>638</v>
      </c>
      <c r="P311" s="1120">
        <f t="shared" si="23"/>
        <v>16000</v>
      </c>
    </row>
    <row r="312" spans="1:16" x14ac:dyDescent="0.2">
      <c r="A312" s="60">
        <v>942</v>
      </c>
      <c r="B312" s="415" t="s">
        <v>3092</v>
      </c>
      <c r="C312" s="60" t="s">
        <v>3597</v>
      </c>
      <c r="D312" s="415" t="s">
        <v>578</v>
      </c>
      <c r="E312" s="1188">
        <v>1500</v>
      </c>
      <c r="F312" s="1160" t="s">
        <v>3619</v>
      </c>
      <c r="G312" s="416" t="s">
        <v>3620</v>
      </c>
      <c r="H312" s="416" t="s">
        <v>3621</v>
      </c>
      <c r="I312" s="415" t="s">
        <v>3564</v>
      </c>
      <c r="J312" s="415" t="s">
        <v>3564</v>
      </c>
      <c r="K312" s="948" t="s">
        <v>3601</v>
      </c>
      <c r="L312" s="1160" t="s">
        <v>3604</v>
      </c>
      <c r="M312" s="1120">
        <f t="shared" si="22"/>
        <v>18000</v>
      </c>
      <c r="N312" s="1160" t="s">
        <v>429</v>
      </c>
      <c r="O312" s="1160" t="s">
        <v>638</v>
      </c>
      <c r="P312" s="1120">
        <f t="shared" si="23"/>
        <v>12000</v>
      </c>
    </row>
    <row r="313" spans="1:16" ht="13.5" x14ac:dyDescent="0.2">
      <c r="A313" s="60">
        <v>942</v>
      </c>
      <c r="B313" s="415" t="s">
        <v>3092</v>
      </c>
      <c r="C313" s="60" t="s">
        <v>3597</v>
      </c>
      <c r="D313" s="415" t="s">
        <v>578</v>
      </c>
      <c r="E313" s="1187">
        <v>1200</v>
      </c>
      <c r="F313" s="1160" t="s">
        <v>3622</v>
      </c>
      <c r="G313" s="416" t="s">
        <v>3623</v>
      </c>
      <c r="H313" s="416" t="s">
        <v>3134</v>
      </c>
      <c r="I313" s="415" t="s">
        <v>3292</v>
      </c>
      <c r="J313" s="415" t="s">
        <v>3292</v>
      </c>
      <c r="K313" s="948" t="s">
        <v>3601</v>
      </c>
      <c r="L313" s="1160" t="s">
        <v>3604</v>
      </c>
      <c r="M313" s="1120">
        <f t="shared" si="22"/>
        <v>14400</v>
      </c>
      <c r="N313" s="1160" t="s">
        <v>429</v>
      </c>
      <c r="O313" s="1160" t="s">
        <v>638</v>
      </c>
      <c r="P313" s="1120">
        <f t="shared" si="23"/>
        <v>9600</v>
      </c>
    </row>
    <row r="314" spans="1:16" ht="24" x14ac:dyDescent="0.2">
      <c r="A314" s="60">
        <v>942</v>
      </c>
      <c r="B314" s="415" t="s">
        <v>3092</v>
      </c>
      <c r="C314" s="60" t="s">
        <v>3597</v>
      </c>
      <c r="D314" s="415" t="s">
        <v>578</v>
      </c>
      <c r="E314" s="1187">
        <v>1200</v>
      </c>
      <c r="F314" s="1160" t="s">
        <v>3624</v>
      </c>
      <c r="G314" s="416" t="s">
        <v>3625</v>
      </c>
      <c r="H314" s="416" t="s">
        <v>3600</v>
      </c>
      <c r="I314" s="415" t="s">
        <v>3292</v>
      </c>
      <c r="J314" s="415" t="s">
        <v>3292</v>
      </c>
      <c r="K314" s="948" t="s">
        <v>3626</v>
      </c>
      <c r="L314" s="1160" t="s">
        <v>3604</v>
      </c>
      <c r="M314" s="1120">
        <f t="shared" si="22"/>
        <v>14400</v>
      </c>
      <c r="N314" s="1160" t="s">
        <v>429</v>
      </c>
      <c r="O314" s="1160" t="s">
        <v>638</v>
      </c>
      <c r="P314" s="1120">
        <f t="shared" si="23"/>
        <v>9600</v>
      </c>
    </row>
    <row r="315" spans="1:16" x14ac:dyDescent="0.2">
      <c r="A315" s="60">
        <v>942</v>
      </c>
      <c r="B315" s="415" t="s">
        <v>3092</v>
      </c>
      <c r="C315" s="60" t="s">
        <v>3597</v>
      </c>
      <c r="D315" s="415" t="s">
        <v>578</v>
      </c>
      <c r="E315" s="1188">
        <v>1400</v>
      </c>
      <c r="F315" s="1160" t="s">
        <v>3627</v>
      </c>
      <c r="G315" s="416" t="s">
        <v>3628</v>
      </c>
      <c r="H315" s="416" t="s">
        <v>3629</v>
      </c>
      <c r="I315" s="415" t="s">
        <v>3292</v>
      </c>
      <c r="J315" s="415" t="s">
        <v>3292</v>
      </c>
      <c r="K315" s="948" t="s">
        <v>3601</v>
      </c>
      <c r="L315" s="1160" t="s">
        <v>3604</v>
      </c>
      <c r="M315" s="1120">
        <f t="shared" si="22"/>
        <v>16800</v>
      </c>
      <c r="N315" s="1160" t="s">
        <v>429</v>
      </c>
      <c r="O315" s="1160" t="s">
        <v>638</v>
      </c>
      <c r="P315" s="1120">
        <f t="shared" si="23"/>
        <v>11200</v>
      </c>
    </row>
    <row r="316" spans="1:16" x14ac:dyDescent="0.2">
      <c r="A316" s="60">
        <v>942</v>
      </c>
      <c r="B316" s="415" t="s">
        <v>3380</v>
      </c>
      <c r="C316" s="60" t="s">
        <v>3597</v>
      </c>
      <c r="D316" s="415" t="s">
        <v>578</v>
      </c>
      <c r="E316" s="1188">
        <v>1300</v>
      </c>
      <c r="F316" s="1160" t="s">
        <v>3630</v>
      </c>
      <c r="G316" s="898" t="s">
        <v>3631</v>
      </c>
      <c r="H316" s="898" t="s">
        <v>3632</v>
      </c>
      <c r="I316" s="943" t="s">
        <v>3564</v>
      </c>
      <c r="J316" s="943" t="s">
        <v>3564</v>
      </c>
      <c r="K316" s="948" t="s">
        <v>3626</v>
      </c>
      <c r="L316" s="1160" t="s">
        <v>3604</v>
      </c>
      <c r="M316" s="1120">
        <f t="shared" si="22"/>
        <v>15600</v>
      </c>
      <c r="N316" s="1160" t="s">
        <v>429</v>
      </c>
      <c r="O316" s="1160" t="s">
        <v>638</v>
      </c>
      <c r="P316" s="1120">
        <f t="shared" si="23"/>
        <v>10400</v>
      </c>
    </row>
    <row r="317" spans="1:16" x14ac:dyDescent="0.2">
      <c r="A317" s="60">
        <v>942</v>
      </c>
      <c r="B317" s="415" t="s">
        <v>3380</v>
      </c>
      <c r="C317" s="60" t="s">
        <v>3597</v>
      </c>
      <c r="D317" s="415" t="s">
        <v>578</v>
      </c>
      <c r="E317" s="1188">
        <v>1500</v>
      </c>
      <c r="F317" s="1160" t="s">
        <v>3633</v>
      </c>
      <c r="G317" s="898" t="s">
        <v>3634</v>
      </c>
      <c r="H317" s="898" t="s">
        <v>3153</v>
      </c>
      <c r="I317" s="943" t="s">
        <v>3564</v>
      </c>
      <c r="J317" s="943" t="s">
        <v>3564</v>
      </c>
      <c r="K317" s="948" t="s">
        <v>3626</v>
      </c>
      <c r="L317" s="1160" t="s">
        <v>3604</v>
      </c>
      <c r="M317" s="1120">
        <f t="shared" si="22"/>
        <v>18000</v>
      </c>
      <c r="N317" s="1160" t="s">
        <v>429</v>
      </c>
      <c r="O317" s="1160" t="s">
        <v>638</v>
      </c>
      <c r="P317" s="1120">
        <f t="shared" si="23"/>
        <v>12000</v>
      </c>
    </row>
    <row r="318" spans="1:16" ht="24" x14ac:dyDescent="0.2">
      <c r="A318" s="60">
        <v>942</v>
      </c>
      <c r="B318" s="415" t="s">
        <v>3380</v>
      </c>
      <c r="C318" s="60" t="s">
        <v>3597</v>
      </c>
      <c r="D318" s="415" t="s">
        <v>578</v>
      </c>
      <c r="E318" s="1188">
        <v>1500</v>
      </c>
      <c r="F318" s="1160" t="s">
        <v>3635</v>
      </c>
      <c r="G318" s="898" t="s">
        <v>3636</v>
      </c>
      <c r="H318" s="898" t="s">
        <v>3153</v>
      </c>
      <c r="I318" s="943" t="s">
        <v>3564</v>
      </c>
      <c r="J318" s="943" t="s">
        <v>3564</v>
      </c>
      <c r="K318" s="948" t="s">
        <v>429</v>
      </c>
      <c r="L318" s="1160" t="s">
        <v>3604</v>
      </c>
      <c r="M318" s="1120">
        <f t="shared" si="22"/>
        <v>18000</v>
      </c>
      <c r="N318" s="1160" t="s">
        <v>429</v>
      </c>
      <c r="O318" s="1160" t="s">
        <v>638</v>
      </c>
      <c r="P318" s="1120">
        <f t="shared" si="23"/>
        <v>12000</v>
      </c>
    </row>
    <row r="319" spans="1:16" ht="13.5" x14ac:dyDescent="0.2">
      <c r="A319" s="60">
        <v>942</v>
      </c>
      <c r="B319" s="415" t="s">
        <v>3380</v>
      </c>
      <c r="C319" s="60" t="s">
        <v>3597</v>
      </c>
      <c r="D319" s="415" t="s">
        <v>578</v>
      </c>
      <c r="E319" s="1189">
        <v>1200</v>
      </c>
      <c r="F319" s="1160" t="s">
        <v>3637</v>
      </c>
      <c r="G319" s="154" t="s">
        <v>3638</v>
      </c>
      <c r="H319" s="154" t="s">
        <v>3610</v>
      </c>
      <c r="I319" s="1069" t="s">
        <v>3564</v>
      </c>
      <c r="J319" s="1069" t="s">
        <v>3564</v>
      </c>
      <c r="K319" s="948" t="s">
        <v>3626</v>
      </c>
      <c r="L319" s="1160" t="s">
        <v>3604</v>
      </c>
      <c r="M319" s="1120">
        <f t="shared" si="22"/>
        <v>14400</v>
      </c>
      <c r="N319" s="1160" t="s">
        <v>429</v>
      </c>
      <c r="O319" s="1160" t="s">
        <v>638</v>
      </c>
      <c r="P319" s="1120">
        <f t="shared" si="23"/>
        <v>9600</v>
      </c>
    </row>
    <row r="320" spans="1:16" ht="27" x14ac:dyDescent="0.2">
      <c r="A320" s="60">
        <v>942</v>
      </c>
      <c r="B320" s="415" t="s">
        <v>3380</v>
      </c>
      <c r="C320" s="60" t="s">
        <v>3597</v>
      </c>
      <c r="D320" s="415" t="s">
        <v>578</v>
      </c>
      <c r="E320" s="1189">
        <v>1200</v>
      </c>
      <c r="F320" s="1160" t="s">
        <v>3639</v>
      </c>
      <c r="G320" s="154" t="s">
        <v>3640</v>
      </c>
      <c r="H320" s="154" t="s">
        <v>3600</v>
      </c>
      <c r="I320" s="1069" t="s">
        <v>3292</v>
      </c>
      <c r="J320" s="1069" t="s">
        <v>3292</v>
      </c>
      <c r="K320" s="948" t="s">
        <v>3601</v>
      </c>
      <c r="L320" s="1160" t="s">
        <v>3604</v>
      </c>
      <c r="M320" s="1120">
        <f t="shared" si="22"/>
        <v>14400</v>
      </c>
      <c r="N320" s="1160" t="s">
        <v>429</v>
      </c>
      <c r="O320" s="1160" t="s">
        <v>638</v>
      </c>
      <c r="P320" s="1120">
        <f t="shared" si="23"/>
        <v>9600</v>
      </c>
    </row>
    <row r="321" spans="1:16" ht="13.5" x14ac:dyDescent="0.2">
      <c r="A321" s="60">
        <v>942</v>
      </c>
      <c r="B321" s="415" t="s">
        <v>3380</v>
      </c>
      <c r="C321" s="60" t="s">
        <v>3597</v>
      </c>
      <c r="D321" s="415" t="s">
        <v>578</v>
      </c>
      <c r="E321" s="1187">
        <v>1300</v>
      </c>
      <c r="F321" s="1160" t="s">
        <v>3641</v>
      </c>
      <c r="G321" s="154" t="s">
        <v>3642</v>
      </c>
      <c r="H321" s="154" t="s">
        <v>3134</v>
      </c>
      <c r="I321" s="1069" t="s">
        <v>3292</v>
      </c>
      <c r="J321" s="1069" t="s">
        <v>3292</v>
      </c>
      <c r="K321" s="948" t="s">
        <v>3601</v>
      </c>
      <c r="L321" s="1160" t="s">
        <v>3604</v>
      </c>
      <c r="M321" s="1120">
        <f t="shared" si="22"/>
        <v>15600</v>
      </c>
      <c r="N321" s="1160" t="s">
        <v>429</v>
      </c>
      <c r="O321" s="1160" t="s">
        <v>638</v>
      </c>
      <c r="P321" s="1120">
        <f t="shared" si="23"/>
        <v>10400</v>
      </c>
    </row>
    <row r="322" spans="1:16" ht="24" x14ac:dyDescent="0.2">
      <c r="A322" s="60">
        <v>942</v>
      </c>
      <c r="B322" s="415" t="s">
        <v>3380</v>
      </c>
      <c r="C322" s="60" t="s">
        <v>3597</v>
      </c>
      <c r="D322" s="415" t="s">
        <v>578</v>
      </c>
      <c r="E322" s="1190">
        <v>2300</v>
      </c>
      <c r="F322" s="1160" t="s">
        <v>3643</v>
      </c>
      <c r="G322" s="898" t="s">
        <v>3644</v>
      </c>
      <c r="H322" s="898" t="s">
        <v>3153</v>
      </c>
      <c r="I322" s="943" t="s">
        <v>3564</v>
      </c>
      <c r="J322" s="943" t="s">
        <v>3564</v>
      </c>
      <c r="K322" s="948" t="s">
        <v>429</v>
      </c>
      <c r="L322" s="1160" t="s">
        <v>3626</v>
      </c>
      <c r="M322" s="1120">
        <f t="shared" si="22"/>
        <v>27600</v>
      </c>
      <c r="N322" s="1160" t="s">
        <v>429</v>
      </c>
      <c r="O322" s="1160" t="s">
        <v>638</v>
      </c>
      <c r="P322" s="1120">
        <f t="shared" si="23"/>
        <v>18400</v>
      </c>
    </row>
    <row r="323" spans="1:16" x14ac:dyDescent="0.2">
      <c r="A323" s="60">
        <v>942</v>
      </c>
      <c r="B323" s="415" t="s">
        <v>3380</v>
      </c>
      <c r="C323" s="60" t="s">
        <v>3597</v>
      </c>
      <c r="D323" s="415" t="s">
        <v>578</v>
      </c>
      <c r="E323" s="1188">
        <v>1500</v>
      </c>
      <c r="F323" s="1160" t="s">
        <v>3645</v>
      </c>
      <c r="G323" s="898" t="s">
        <v>3646</v>
      </c>
      <c r="H323" s="898" t="s">
        <v>3647</v>
      </c>
      <c r="I323" s="943" t="s">
        <v>3564</v>
      </c>
      <c r="J323" s="943" t="s">
        <v>3564</v>
      </c>
      <c r="K323" s="948" t="s">
        <v>3626</v>
      </c>
      <c r="L323" s="1160" t="s">
        <v>3604</v>
      </c>
      <c r="M323" s="1120">
        <f t="shared" si="22"/>
        <v>18000</v>
      </c>
      <c r="N323" s="1160" t="s">
        <v>429</v>
      </c>
      <c r="O323" s="1160" t="s">
        <v>638</v>
      </c>
      <c r="P323" s="1120">
        <f t="shared" si="23"/>
        <v>12000</v>
      </c>
    </row>
    <row r="324" spans="1:16" x14ac:dyDescent="0.2">
      <c r="A324" s="60">
        <v>942</v>
      </c>
      <c r="B324" s="415" t="s">
        <v>3380</v>
      </c>
      <c r="C324" s="60" t="s">
        <v>3597</v>
      </c>
      <c r="D324" s="415" t="s">
        <v>578</v>
      </c>
      <c r="E324" s="1188">
        <v>1300</v>
      </c>
      <c r="F324" s="1160" t="s">
        <v>3648</v>
      </c>
      <c r="G324" s="898" t="s">
        <v>3649</v>
      </c>
      <c r="H324" s="898" t="s">
        <v>3650</v>
      </c>
      <c r="I324" s="943" t="s">
        <v>3292</v>
      </c>
      <c r="J324" s="943" t="s">
        <v>3292</v>
      </c>
      <c r="K324" s="948" t="s">
        <v>3601</v>
      </c>
      <c r="L324" s="1160" t="s">
        <v>3604</v>
      </c>
      <c r="M324" s="1120">
        <f t="shared" si="22"/>
        <v>15600</v>
      </c>
      <c r="N324" s="1160" t="s">
        <v>429</v>
      </c>
      <c r="O324" s="1160" t="s">
        <v>638</v>
      </c>
      <c r="P324" s="1120">
        <f t="shared" si="23"/>
        <v>10400</v>
      </c>
    </row>
    <row r="325" spans="1:16" x14ac:dyDescent="0.2">
      <c r="A325" s="60">
        <v>942</v>
      </c>
      <c r="B325" s="415" t="s">
        <v>3380</v>
      </c>
      <c r="C325" s="60" t="s">
        <v>3597</v>
      </c>
      <c r="D325" s="415" t="s">
        <v>578</v>
      </c>
      <c r="E325" s="1188">
        <v>2300</v>
      </c>
      <c r="F325" s="1160" t="s">
        <v>3651</v>
      </c>
      <c r="G325" s="898" t="s">
        <v>3652</v>
      </c>
      <c r="H325" s="898" t="s">
        <v>3352</v>
      </c>
      <c r="I325" s="943" t="s">
        <v>3564</v>
      </c>
      <c r="J325" s="943" t="s">
        <v>3564</v>
      </c>
      <c r="K325" s="948" t="s">
        <v>429</v>
      </c>
      <c r="L325" s="1160"/>
      <c r="M325" s="1120">
        <f t="shared" si="22"/>
        <v>27600</v>
      </c>
      <c r="N325" s="1160" t="s">
        <v>429</v>
      </c>
      <c r="O325" s="1160" t="s">
        <v>638</v>
      </c>
      <c r="P325" s="1120">
        <f t="shared" si="23"/>
        <v>18400</v>
      </c>
    </row>
    <row r="326" spans="1:16" x14ac:dyDescent="0.2">
      <c r="A326" s="60">
        <v>942</v>
      </c>
      <c r="B326" s="415" t="s">
        <v>3380</v>
      </c>
      <c r="C326" s="60" t="s">
        <v>3597</v>
      </c>
      <c r="D326" s="415" t="s">
        <v>578</v>
      </c>
      <c r="E326" s="1190">
        <v>2000</v>
      </c>
      <c r="F326" s="1160" t="s">
        <v>3653</v>
      </c>
      <c r="G326" s="898" t="s">
        <v>3654</v>
      </c>
      <c r="H326" s="898" t="s">
        <v>3134</v>
      </c>
      <c r="I326" s="943" t="s">
        <v>3292</v>
      </c>
      <c r="J326" s="943" t="s">
        <v>3292</v>
      </c>
      <c r="K326" s="948" t="s">
        <v>429</v>
      </c>
      <c r="L326" s="1160" t="s">
        <v>3604</v>
      </c>
      <c r="M326" s="1120">
        <f t="shared" si="22"/>
        <v>24000</v>
      </c>
      <c r="N326" s="1160" t="s">
        <v>429</v>
      </c>
      <c r="O326" s="1160" t="s">
        <v>638</v>
      </c>
      <c r="P326" s="1120">
        <f t="shared" si="23"/>
        <v>16000</v>
      </c>
    </row>
    <row r="327" spans="1:16" ht="24" x14ac:dyDescent="0.2">
      <c r="A327" s="60">
        <v>942</v>
      </c>
      <c r="B327" s="415" t="s">
        <v>3380</v>
      </c>
      <c r="C327" s="60" t="s">
        <v>3597</v>
      </c>
      <c r="D327" s="415" t="s">
        <v>578</v>
      </c>
      <c r="E327" s="1189">
        <v>1200</v>
      </c>
      <c r="F327" s="1160" t="s">
        <v>3655</v>
      </c>
      <c r="G327" s="416" t="s">
        <v>3656</v>
      </c>
      <c r="H327" s="416" t="s">
        <v>3632</v>
      </c>
      <c r="I327" s="415" t="s">
        <v>3292</v>
      </c>
      <c r="J327" s="415" t="s">
        <v>3292</v>
      </c>
      <c r="K327" s="948" t="s">
        <v>3601</v>
      </c>
      <c r="L327" s="1160" t="s">
        <v>3604</v>
      </c>
      <c r="M327" s="1120">
        <f t="shared" si="22"/>
        <v>14400</v>
      </c>
      <c r="N327" s="1160" t="s">
        <v>429</v>
      </c>
      <c r="O327" s="1160" t="s">
        <v>638</v>
      </c>
      <c r="P327" s="1120">
        <f t="shared" si="23"/>
        <v>9600</v>
      </c>
    </row>
    <row r="328" spans="1:16" ht="13.5" x14ac:dyDescent="0.2">
      <c r="A328" s="1531" t="s">
        <v>3485</v>
      </c>
      <c r="B328" s="1531"/>
      <c r="C328" s="1531"/>
      <c r="D328" s="1531"/>
      <c r="E328" s="1189">
        <f>SUM(E304:E327)</f>
        <v>40050</v>
      </c>
      <c r="F328" s="1160"/>
      <c r="G328" s="416"/>
      <c r="H328" s="416"/>
      <c r="I328" s="415"/>
      <c r="J328" s="415"/>
      <c r="K328" s="1360" t="s">
        <v>3657</v>
      </c>
      <c r="L328" s="1191"/>
      <c r="M328" s="1192">
        <f>SUM(M304:M327)</f>
        <v>480600</v>
      </c>
      <c r="N328" s="1160"/>
      <c r="O328" s="1160"/>
      <c r="P328" s="1120">
        <f>SUM(P304:P327)</f>
        <v>320400</v>
      </c>
    </row>
    <row r="329" spans="1:16" ht="13.5" x14ac:dyDescent="0.2">
      <c r="A329" s="60">
        <v>942</v>
      </c>
      <c r="B329" s="415" t="s">
        <v>3658</v>
      </c>
      <c r="C329" s="60" t="s">
        <v>3658</v>
      </c>
      <c r="D329" s="415" t="s">
        <v>3659</v>
      </c>
      <c r="E329" s="1189">
        <v>1800</v>
      </c>
      <c r="F329" s="1160" t="s">
        <v>3660</v>
      </c>
      <c r="G329" s="910" t="s">
        <v>3661</v>
      </c>
      <c r="H329" s="1105" t="s">
        <v>3292</v>
      </c>
      <c r="I329" s="1193" t="s">
        <v>3292</v>
      </c>
      <c r="J329" s="1193" t="s">
        <v>3292</v>
      </c>
      <c r="K329" s="948" t="s">
        <v>429</v>
      </c>
      <c r="L329" s="1160" t="s">
        <v>3604</v>
      </c>
      <c r="M329" s="1120">
        <f>E329*12</f>
        <v>21600</v>
      </c>
      <c r="N329" s="1160" t="s">
        <v>3662</v>
      </c>
      <c r="O329" s="1160" t="s">
        <v>638</v>
      </c>
      <c r="P329" s="1120">
        <f>E329*8</f>
        <v>14400</v>
      </c>
    </row>
    <row r="330" spans="1:16" ht="13.5" x14ac:dyDescent="0.2">
      <c r="A330" s="60">
        <v>942</v>
      </c>
      <c r="B330" s="415" t="s">
        <v>3658</v>
      </c>
      <c r="C330" s="60" t="s">
        <v>3658</v>
      </c>
      <c r="D330" s="415" t="s">
        <v>3659</v>
      </c>
      <c r="E330" s="1189">
        <v>1800</v>
      </c>
      <c r="F330" s="1160" t="s">
        <v>3663</v>
      </c>
      <c r="G330" s="910" t="s">
        <v>3664</v>
      </c>
      <c r="H330" s="1105" t="s">
        <v>3615</v>
      </c>
      <c r="I330" s="1193" t="s">
        <v>3615</v>
      </c>
      <c r="J330" s="1193" t="s">
        <v>3615</v>
      </c>
      <c r="K330" s="948" t="s">
        <v>429</v>
      </c>
      <c r="L330" s="1160" t="s">
        <v>3604</v>
      </c>
      <c r="M330" s="1120">
        <f t="shared" ref="M330:M331" si="24">E330*12</f>
        <v>21600</v>
      </c>
      <c r="N330" s="1160" t="s">
        <v>3662</v>
      </c>
      <c r="O330" s="1160" t="s">
        <v>638</v>
      </c>
      <c r="P330" s="1120">
        <f>E330*8</f>
        <v>14400</v>
      </c>
    </row>
    <row r="331" spans="1:16" ht="13.5" x14ac:dyDescent="0.2">
      <c r="A331" s="60">
        <v>942</v>
      </c>
      <c r="B331" s="415" t="s">
        <v>3658</v>
      </c>
      <c r="C331" s="60" t="s">
        <v>3658</v>
      </c>
      <c r="D331" s="415" t="s">
        <v>3659</v>
      </c>
      <c r="E331" s="1189">
        <v>1800</v>
      </c>
      <c r="F331" s="1160" t="s">
        <v>3665</v>
      </c>
      <c r="G331" s="902" t="s">
        <v>3666</v>
      </c>
      <c r="H331" s="1105" t="s">
        <v>3615</v>
      </c>
      <c r="I331" s="1194" t="s">
        <v>3615</v>
      </c>
      <c r="J331" s="1194" t="s">
        <v>3615</v>
      </c>
      <c r="K331" s="948" t="s">
        <v>429</v>
      </c>
      <c r="L331" s="1160" t="s">
        <v>3604</v>
      </c>
      <c r="M331" s="1120">
        <f t="shared" si="24"/>
        <v>21600</v>
      </c>
      <c r="N331" s="1160" t="s">
        <v>3662</v>
      </c>
      <c r="O331" s="1160" t="s">
        <v>638</v>
      </c>
      <c r="P331" s="1120">
        <f>E331*8</f>
        <v>14400</v>
      </c>
    </row>
    <row r="332" spans="1:16" ht="13.5" x14ac:dyDescent="0.2">
      <c r="A332" s="60">
        <v>942</v>
      </c>
      <c r="B332" s="415" t="s">
        <v>3658</v>
      </c>
      <c r="C332" s="60" t="s">
        <v>3658</v>
      </c>
      <c r="D332" s="415" t="s">
        <v>3659</v>
      </c>
      <c r="E332" s="1189">
        <v>800</v>
      </c>
      <c r="F332" s="1160" t="s">
        <v>3667</v>
      </c>
      <c r="G332" s="902" t="s">
        <v>3668</v>
      </c>
      <c r="H332" s="1105" t="s">
        <v>3669</v>
      </c>
      <c r="I332" s="1194" t="s">
        <v>3564</v>
      </c>
      <c r="J332" s="1194" t="s">
        <v>3564</v>
      </c>
      <c r="K332" s="948" t="s">
        <v>429</v>
      </c>
      <c r="L332" s="1160" t="s">
        <v>3604</v>
      </c>
      <c r="M332" s="1120">
        <f>E332*12</f>
        <v>9600</v>
      </c>
      <c r="N332" s="1160" t="s">
        <v>3626</v>
      </c>
      <c r="O332" s="1160" t="s">
        <v>638</v>
      </c>
      <c r="P332" s="1120">
        <f>E332*8</f>
        <v>6400</v>
      </c>
    </row>
    <row r="333" spans="1:16" ht="13.5" x14ac:dyDescent="0.2">
      <c r="A333" s="60">
        <v>942</v>
      </c>
      <c r="B333" s="415" t="s">
        <v>3658</v>
      </c>
      <c r="C333" s="60" t="s">
        <v>3658</v>
      </c>
      <c r="D333" s="415" t="s">
        <v>578</v>
      </c>
      <c r="E333" s="1189">
        <v>800</v>
      </c>
      <c r="F333" s="1160" t="s">
        <v>3670</v>
      </c>
      <c r="G333" s="902" t="s">
        <v>3671</v>
      </c>
      <c r="H333" s="1103" t="s">
        <v>3650</v>
      </c>
      <c r="I333" s="415" t="s">
        <v>3292</v>
      </c>
      <c r="J333" s="415" t="s">
        <v>3292</v>
      </c>
      <c r="K333" s="948" t="s">
        <v>429</v>
      </c>
      <c r="L333" s="1160"/>
      <c r="M333" s="1120"/>
      <c r="N333" s="1160"/>
      <c r="O333" s="1160" t="s">
        <v>3672</v>
      </c>
      <c r="P333" s="1120">
        <f>E333*5</f>
        <v>4000</v>
      </c>
    </row>
    <row r="334" spans="1:16" ht="13.5" x14ac:dyDescent="0.2">
      <c r="A334" s="60">
        <v>942</v>
      </c>
      <c r="B334" s="415" t="s">
        <v>3658</v>
      </c>
      <c r="C334" s="60" t="s">
        <v>3658</v>
      </c>
      <c r="D334" s="415" t="s">
        <v>578</v>
      </c>
      <c r="E334" s="1189">
        <v>1500</v>
      </c>
      <c r="F334" s="1160" t="s">
        <v>3673</v>
      </c>
      <c r="G334" s="910" t="s">
        <v>3674</v>
      </c>
      <c r="H334" s="1105" t="s">
        <v>3632</v>
      </c>
      <c r="I334" s="1194" t="s">
        <v>3564</v>
      </c>
      <c r="J334" s="1194" t="s">
        <v>3564</v>
      </c>
      <c r="K334" s="948" t="s">
        <v>429</v>
      </c>
      <c r="L334" s="1160" t="s">
        <v>3604</v>
      </c>
      <c r="M334" s="1120">
        <f>E334*12</f>
        <v>18000</v>
      </c>
      <c r="N334" s="1160" t="s">
        <v>3662</v>
      </c>
      <c r="O334" s="1160" t="s">
        <v>639</v>
      </c>
      <c r="P334" s="1120">
        <f>E334*9</f>
        <v>13500</v>
      </c>
    </row>
    <row r="335" spans="1:16" ht="13.5" x14ac:dyDescent="0.2">
      <c r="A335" s="60">
        <v>942</v>
      </c>
      <c r="B335" s="415" t="s">
        <v>3658</v>
      </c>
      <c r="C335" s="60" t="s">
        <v>3658</v>
      </c>
      <c r="D335" s="415" t="s">
        <v>578</v>
      </c>
      <c r="E335" s="1189">
        <v>1200</v>
      </c>
      <c r="F335" s="1160" t="s">
        <v>3675</v>
      </c>
      <c r="G335" s="962" t="s">
        <v>3676</v>
      </c>
      <c r="H335" s="1195" t="s">
        <v>3632</v>
      </c>
      <c r="I335" s="1196" t="s">
        <v>3564</v>
      </c>
      <c r="J335" s="1196" t="s">
        <v>3564</v>
      </c>
      <c r="K335" s="948" t="s">
        <v>429</v>
      </c>
      <c r="L335" s="1160" t="s">
        <v>3604</v>
      </c>
      <c r="M335" s="1120">
        <f>E335*12</f>
        <v>14400</v>
      </c>
      <c r="N335" s="1160" t="s">
        <v>3662</v>
      </c>
      <c r="O335" s="1160" t="s">
        <v>639</v>
      </c>
      <c r="P335" s="1120">
        <f>E335*9</f>
        <v>10800</v>
      </c>
    </row>
    <row r="336" spans="1:16" ht="24" x14ac:dyDescent="0.2">
      <c r="A336" s="60">
        <v>942</v>
      </c>
      <c r="B336" s="415" t="s">
        <v>3658</v>
      </c>
      <c r="C336" s="60" t="s">
        <v>3658</v>
      </c>
      <c r="D336" s="415" t="s">
        <v>578</v>
      </c>
      <c r="E336" s="1189">
        <v>1500</v>
      </c>
      <c r="F336" s="1160" t="s">
        <v>3677</v>
      </c>
      <c r="G336" s="962" t="s">
        <v>3678</v>
      </c>
      <c r="H336" s="1195" t="s">
        <v>3679</v>
      </c>
      <c r="I336" s="1196" t="s">
        <v>3564</v>
      </c>
      <c r="J336" s="1196" t="s">
        <v>3564</v>
      </c>
      <c r="K336" s="948" t="s">
        <v>429</v>
      </c>
      <c r="L336" s="1160" t="s">
        <v>3604</v>
      </c>
      <c r="M336" s="1120">
        <f>E336*12</f>
        <v>18000</v>
      </c>
      <c r="N336" s="1160" t="s">
        <v>3662</v>
      </c>
      <c r="O336" s="1160" t="s">
        <v>639</v>
      </c>
      <c r="P336" s="1120">
        <f>E336*9</f>
        <v>13500</v>
      </c>
    </row>
    <row r="337" spans="1:16" ht="13.5" x14ac:dyDescent="0.2">
      <c r="A337" s="60">
        <v>942</v>
      </c>
      <c r="B337" s="415" t="s">
        <v>3658</v>
      </c>
      <c r="C337" s="60" t="s">
        <v>3658</v>
      </c>
      <c r="D337" s="415" t="s">
        <v>3680</v>
      </c>
      <c r="E337" s="1189">
        <v>1200</v>
      </c>
      <c r="F337" s="1160" t="s">
        <v>3681</v>
      </c>
      <c r="G337" s="962" t="s">
        <v>3682</v>
      </c>
      <c r="H337" s="1195" t="s">
        <v>3583</v>
      </c>
      <c r="I337" s="1196" t="s">
        <v>3564</v>
      </c>
      <c r="J337" s="1196" t="s">
        <v>3564</v>
      </c>
      <c r="K337" s="948" t="s">
        <v>429</v>
      </c>
      <c r="L337" s="1160" t="s">
        <v>3604</v>
      </c>
      <c r="M337" s="1120">
        <f>E337*12</f>
        <v>14400</v>
      </c>
      <c r="N337" s="1160" t="s">
        <v>3662</v>
      </c>
      <c r="O337" s="1160" t="s">
        <v>3683</v>
      </c>
      <c r="P337" s="1120">
        <f>E337*7</f>
        <v>8400</v>
      </c>
    </row>
    <row r="338" spans="1:16" ht="24" x14ac:dyDescent="0.2">
      <c r="A338" s="60">
        <v>942</v>
      </c>
      <c r="B338" s="415" t="s">
        <v>3658</v>
      </c>
      <c r="C338" s="60" t="s">
        <v>3658</v>
      </c>
      <c r="D338" s="415" t="s">
        <v>578</v>
      </c>
      <c r="E338" s="1189">
        <v>1000</v>
      </c>
      <c r="F338" s="1160" t="s">
        <v>3684</v>
      </c>
      <c r="G338" s="962" t="s">
        <v>3685</v>
      </c>
      <c r="H338" s="1195" t="s">
        <v>3686</v>
      </c>
      <c r="I338" s="1196" t="s">
        <v>3564</v>
      </c>
      <c r="J338" s="1196" t="s">
        <v>3564</v>
      </c>
      <c r="K338" s="948" t="s">
        <v>429</v>
      </c>
      <c r="L338" s="1160"/>
      <c r="M338" s="1120"/>
      <c r="N338" s="1160"/>
      <c r="O338" s="1160" t="s">
        <v>3601</v>
      </c>
      <c r="P338" s="1120">
        <f>E338*2</f>
        <v>2000</v>
      </c>
    </row>
    <row r="339" spans="1:16" ht="13.5" x14ac:dyDescent="0.2">
      <c r="A339" s="60">
        <v>942</v>
      </c>
      <c r="B339" s="415" t="s">
        <v>3658</v>
      </c>
      <c r="C339" s="60" t="s">
        <v>3658</v>
      </c>
      <c r="D339" s="415" t="s">
        <v>578</v>
      </c>
      <c r="E339" s="1189">
        <v>1200</v>
      </c>
      <c r="F339" s="1160" t="s">
        <v>3687</v>
      </c>
      <c r="G339" s="902" t="s">
        <v>3688</v>
      </c>
      <c r="H339" s="1105" t="s">
        <v>3632</v>
      </c>
      <c r="I339" s="1194" t="s">
        <v>3564</v>
      </c>
      <c r="J339" s="1194" t="s">
        <v>3564</v>
      </c>
      <c r="K339" s="948" t="s">
        <v>429</v>
      </c>
      <c r="L339" s="1160"/>
      <c r="M339" s="1120"/>
      <c r="N339" s="1160"/>
      <c r="O339" s="1160" t="s">
        <v>639</v>
      </c>
      <c r="P339" s="1120">
        <f>E339*9</f>
        <v>10800</v>
      </c>
    </row>
    <row r="340" spans="1:16" ht="24" x14ac:dyDescent="0.2">
      <c r="A340" s="60">
        <v>942</v>
      </c>
      <c r="B340" s="415" t="s">
        <v>3658</v>
      </c>
      <c r="C340" s="60" t="s">
        <v>3658</v>
      </c>
      <c r="D340" s="415" t="s">
        <v>578</v>
      </c>
      <c r="E340" s="564">
        <v>2000</v>
      </c>
      <c r="F340" s="415">
        <v>44971895</v>
      </c>
      <c r="G340" s="902" t="s">
        <v>3689</v>
      </c>
      <c r="H340" s="1105" t="s">
        <v>3153</v>
      </c>
      <c r="I340" s="1194" t="s">
        <v>3564</v>
      </c>
      <c r="J340" s="1194" t="s">
        <v>3564</v>
      </c>
      <c r="K340" s="948" t="s">
        <v>429</v>
      </c>
      <c r="L340" s="1160"/>
      <c r="M340" s="1120">
        <f>E340*12</f>
        <v>24000</v>
      </c>
      <c r="N340" s="1160"/>
      <c r="O340" s="1160" t="s">
        <v>639</v>
      </c>
      <c r="P340" s="1120">
        <f>E340*9</f>
        <v>18000</v>
      </c>
    </row>
    <row r="341" spans="1:16" x14ac:dyDescent="0.2">
      <c r="A341" s="60">
        <v>942</v>
      </c>
      <c r="B341" s="415" t="s">
        <v>3658</v>
      </c>
      <c r="C341" s="60" t="s">
        <v>3658</v>
      </c>
      <c r="D341" s="415" t="s">
        <v>578</v>
      </c>
      <c r="E341" s="564">
        <v>1000</v>
      </c>
      <c r="F341" s="415">
        <v>48570209</v>
      </c>
      <c r="G341" s="902" t="s">
        <v>3690</v>
      </c>
      <c r="H341" s="1105" t="s">
        <v>3691</v>
      </c>
      <c r="I341" s="1194" t="s">
        <v>3564</v>
      </c>
      <c r="J341" s="1194" t="s">
        <v>3564</v>
      </c>
      <c r="K341" s="948" t="s">
        <v>429</v>
      </c>
      <c r="L341" s="1160" t="s">
        <v>3604</v>
      </c>
      <c r="M341" s="1120">
        <f>E341*12</f>
        <v>12000</v>
      </c>
      <c r="N341" s="1160"/>
      <c r="O341" s="1160" t="s">
        <v>3683</v>
      </c>
      <c r="P341" s="1120">
        <f>E341*7</f>
        <v>7000</v>
      </c>
    </row>
    <row r="342" spans="1:16" x14ac:dyDescent="0.2">
      <c r="A342" s="60">
        <v>942</v>
      </c>
      <c r="B342" s="415" t="s">
        <v>3658</v>
      </c>
      <c r="C342" s="60" t="s">
        <v>3658</v>
      </c>
      <c r="D342" s="415" t="s">
        <v>578</v>
      </c>
      <c r="E342" s="564">
        <v>1300</v>
      </c>
      <c r="F342" s="415">
        <v>45567748</v>
      </c>
      <c r="G342" s="902" t="s">
        <v>3692</v>
      </c>
      <c r="H342" s="1105" t="s">
        <v>3632</v>
      </c>
      <c r="I342" s="1194" t="s">
        <v>3564</v>
      </c>
      <c r="J342" s="1194" t="s">
        <v>3564</v>
      </c>
      <c r="K342" s="948" t="s">
        <v>429</v>
      </c>
      <c r="L342" s="1160"/>
      <c r="M342" s="1120"/>
      <c r="N342" s="1160"/>
      <c r="O342" s="1160" t="s">
        <v>3683</v>
      </c>
      <c r="P342" s="1120">
        <f>E342*7</f>
        <v>9100</v>
      </c>
    </row>
    <row r="343" spans="1:16" x14ac:dyDescent="0.2">
      <c r="A343" s="60">
        <v>942</v>
      </c>
      <c r="B343" s="415" t="s">
        <v>3658</v>
      </c>
      <c r="C343" s="60" t="s">
        <v>3658</v>
      </c>
      <c r="D343" s="415" t="s">
        <v>578</v>
      </c>
      <c r="E343" s="564">
        <v>1200</v>
      </c>
      <c r="F343" s="415">
        <v>70970668</v>
      </c>
      <c r="G343" s="902" t="s">
        <v>3693</v>
      </c>
      <c r="H343" s="1105" t="s">
        <v>3632</v>
      </c>
      <c r="I343" s="1194" t="s">
        <v>3564</v>
      </c>
      <c r="J343" s="1194" t="s">
        <v>3564</v>
      </c>
      <c r="K343" s="948" t="s">
        <v>429</v>
      </c>
      <c r="L343" s="1160"/>
      <c r="M343" s="1120"/>
      <c r="N343" s="1160"/>
      <c r="O343" s="1160" t="s">
        <v>3683</v>
      </c>
      <c r="P343" s="1120">
        <f>E343*7</f>
        <v>8400</v>
      </c>
    </row>
    <row r="344" spans="1:16" x14ac:dyDescent="0.2">
      <c r="A344" s="60">
        <v>942</v>
      </c>
      <c r="B344" s="415" t="s">
        <v>3658</v>
      </c>
      <c r="C344" s="60" t="s">
        <v>3658</v>
      </c>
      <c r="D344" s="415" t="s">
        <v>578</v>
      </c>
      <c r="E344" s="564">
        <v>1200</v>
      </c>
      <c r="F344" s="415">
        <v>70271656</v>
      </c>
      <c r="G344" s="902" t="s">
        <v>3694</v>
      </c>
      <c r="H344" s="1105" t="s">
        <v>3695</v>
      </c>
      <c r="I344" s="1194" t="s">
        <v>3564</v>
      </c>
      <c r="J344" s="1194" t="s">
        <v>3564</v>
      </c>
      <c r="K344" s="948" t="s">
        <v>429</v>
      </c>
      <c r="L344" s="1160" t="s">
        <v>3604</v>
      </c>
      <c r="M344" s="1120">
        <f>E344*12</f>
        <v>14400</v>
      </c>
      <c r="N344" s="1160" t="s">
        <v>3662</v>
      </c>
      <c r="O344" s="1160" t="s">
        <v>3672</v>
      </c>
      <c r="P344" s="1120">
        <f>E344*5</f>
        <v>6000</v>
      </c>
    </row>
    <row r="345" spans="1:16" x14ac:dyDescent="0.2">
      <c r="A345" s="60">
        <v>942</v>
      </c>
      <c r="B345" s="415" t="s">
        <v>3658</v>
      </c>
      <c r="C345" s="60" t="s">
        <v>3658</v>
      </c>
      <c r="D345" s="415" t="s">
        <v>578</v>
      </c>
      <c r="E345" s="564">
        <v>1200</v>
      </c>
      <c r="F345" s="415">
        <v>74202805</v>
      </c>
      <c r="G345" s="902" t="s">
        <v>3696</v>
      </c>
      <c r="H345" s="1105" t="s">
        <v>3591</v>
      </c>
      <c r="I345" s="1194" t="s">
        <v>3564</v>
      </c>
      <c r="J345" s="1194" t="s">
        <v>3564</v>
      </c>
      <c r="K345" s="948" t="s">
        <v>429</v>
      </c>
      <c r="L345" s="1143"/>
      <c r="M345" s="1120"/>
      <c r="N345" s="1143"/>
      <c r="O345" s="1160" t="s">
        <v>3626</v>
      </c>
      <c r="P345" s="1120">
        <f>E345*3</f>
        <v>3600</v>
      </c>
    </row>
    <row r="346" spans="1:16" x14ac:dyDescent="0.2">
      <c r="A346" s="60">
        <v>942</v>
      </c>
      <c r="B346" s="415" t="s">
        <v>3658</v>
      </c>
      <c r="C346" s="60" t="s">
        <v>3658</v>
      </c>
      <c r="D346" s="415" t="s">
        <v>578</v>
      </c>
      <c r="E346" s="564">
        <v>1800</v>
      </c>
      <c r="F346" s="415">
        <v>75318264</v>
      </c>
      <c r="G346" s="902" t="s">
        <v>3697</v>
      </c>
      <c r="H346" s="1193" t="s">
        <v>3292</v>
      </c>
      <c r="I346" s="1194" t="s">
        <v>3292</v>
      </c>
      <c r="J346" s="1194" t="s">
        <v>3292</v>
      </c>
      <c r="K346" s="948" t="s">
        <v>429</v>
      </c>
      <c r="L346" s="1143"/>
      <c r="M346" s="1120"/>
      <c r="N346" s="1143"/>
      <c r="O346" s="1160" t="s">
        <v>3601</v>
      </c>
      <c r="P346" s="1120">
        <f>E346*2</f>
        <v>3600</v>
      </c>
    </row>
    <row r="347" spans="1:16" x14ac:dyDescent="0.2">
      <c r="A347" s="1531" t="s">
        <v>3485</v>
      </c>
      <c r="B347" s="1531"/>
      <c r="C347" s="1531"/>
      <c r="D347" s="1531"/>
      <c r="E347" s="564">
        <f>SUM(E329:E346)</f>
        <v>24300</v>
      </c>
      <c r="F347" s="835"/>
      <c r="G347" s="416"/>
      <c r="H347" s="416"/>
      <c r="I347" s="415"/>
      <c r="J347" s="415"/>
      <c r="K347" s="945">
        <v>18</v>
      </c>
      <c r="L347" s="1143"/>
      <c r="M347" s="1120">
        <f>SUM(M329:M346)</f>
        <v>189600</v>
      </c>
      <c r="N347" s="1143"/>
      <c r="O347" s="1143"/>
      <c r="P347" s="1120">
        <f>SUM(P329:P346)</f>
        <v>168300</v>
      </c>
    </row>
    <row r="348" spans="1:16" x14ac:dyDescent="0.2">
      <c r="A348" s="1485" t="s">
        <v>584</v>
      </c>
      <c r="B348" s="1485"/>
      <c r="C348" s="1485"/>
      <c r="D348" s="1485"/>
      <c r="E348" s="1177">
        <f>+E328+E347</f>
        <v>64350</v>
      </c>
      <c r="F348" s="1176"/>
      <c r="G348" s="1176"/>
      <c r="H348" s="1176"/>
      <c r="I348" s="1178"/>
      <c r="J348" s="1178"/>
      <c r="K348" s="1358"/>
      <c r="L348" s="1179"/>
      <c r="M348" s="1180">
        <f>+M328+M347</f>
        <v>670200</v>
      </c>
      <c r="N348" s="1176"/>
      <c r="O348" s="1176"/>
      <c r="P348" s="1180">
        <f>+P328+P347</f>
        <v>488700</v>
      </c>
    </row>
    <row r="349" spans="1:16" x14ac:dyDescent="0.2">
      <c r="A349" s="63"/>
      <c r="C349" s="63"/>
      <c r="E349" s="63"/>
      <c r="I349" s="63"/>
      <c r="J349" s="63"/>
      <c r="L349" s="63"/>
      <c r="M349" s="63"/>
      <c r="P349" s="63"/>
    </row>
    <row r="350" spans="1:16" x14ac:dyDescent="0.2">
      <c r="A350" s="63"/>
      <c r="C350" s="63"/>
      <c r="E350" s="63"/>
      <c r="I350" s="63"/>
      <c r="J350" s="63"/>
      <c r="L350" s="63"/>
      <c r="M350" s="63"/>
      <c r="P350" s="63"/>
    </row>
    <row r="351" spans="1:16" x14ac:dyDescent="0.2">
      <c r="A351" s="1153" t="s">
        <v>3698</v>
      </c>
      <c r="B351" s="1176"/>
      <c r="C351" s="851"/>
      <c r="D351" s="1176"/>
      <c r="E351" s="1177"/>
      <c r="F351" s="1176"/>
      <c r="G351" s="1176"/>
      <c r="H351" s="1176"/>
      <c r="I351" s="1178"/>
      <c r="J351" s="1178"/>
      <c r="K351" s="1358"/>
      <c r="L351" s="1179"/>
      <c r="M351" s="1180"/>
      <c r="N351" s="1176"/>
      <c r="O351" s="1176"/>
      <c r="P351" s="1180"/>
    </row>
    <row r="352" spans="1:16" x14ac:dyDescent="0.2">
      <c r="A352" s="1529" t="s">
        <v>3075</v>
      </c>
      <c r="B352" s="1529"/>
      <c r="C352" s="1529"/>
      <c r="D352" s="1529"/>
      <c r="E352" s="1529"/>
      <c r="F352" s="1529" t="s">
        <v>3076</v>
      </c>
      <c r="G352" s="1529"/>
      <c r="H352" s="1529"/>
      <c r="I352" s="1529"/>
      <c r="J352" s="1529"/>
      <c r="K352" s="1528" t="s">
        <v>3077</v>
      </c>
      <c r="L352" s="1528"/>
      <c r="M352" s="1528"/>
      <c r="N352" s="1528" t="s">
        <v>3078</v>
      </c>
      <c r="O352" s="1528"/>
      <c r="P352" s="1528"/>
    </row>
    <row r="353" spans="1:16" ht="90" customHeight="1" x14ac:dyDescent="0.2">
      <c r="A353" s="869" t="s">
        <v>2829</v>
      </c>
      <c r="B353" s="433" t="s">
        <v>3079</v>
      </c>
      <c r="C353" s="869" t="s">
        <v>3080</v>
      </c>
      <c r="D353" s="433" t="s">
        <v>3081</v>
      </c>
      <c r="E353" s="699" t="s">
        <v>3082</v>
      </c>
      <c r="F353" s="433" t="s">
        <v>3083</v>
      </c>
      <c r="G353" s="433" t="s">
        <v>3084</v>
      </c>
      <c r="H353" s="433" t="s">
        <v>3085</v>
      </c>
      <c r="I353" s="433" t="s">
        <v>3086</v>
      </c>
      <c r="J353" s="433" t="s">
        <v>3087</v>
      </c>
      <c r="K353" s="1354" t="s">
        <v>3088</v>
      </c>
      <c r="L353" s="1157" t="s">
        <v>3089</v>
      </c>
      <c r="M353" s="698" t="s">
        <v>3090</v>
      </c>
      <c r="N353" s="1157" t="s">
        <v>3088</v>
      </c>
      <c r="O353" s="1157" t="s">
        <v>3089</v>
      </c>
      <c r="P353" s="698" t="s">
        <v>3090</v>
      </c>
    </row>
    <row r="354" spans="1:16" x14ac:dyDescent="0.2">
      <c r="A354" s="60"/>
      <c r="B354" s="416"/>
      <c r="C354" s="60"/>
      <c r="D354" s="416"/>
      <c r="E354" s="564"/>
      <c r="F354" s="416"/>
      <c r="G354" s="862"/>
      <c r="H354" s="862"/>
      <c r="I354" s="713"/>
      <c r="J354" s="415"/>
      <c r="K354" s="945"/>
      <c r="L354" s="1143"/>
      <c r="M354" s="1120"/>
      <c r="N354" s="1143"/>
      <c r="O354" s="1143"/>
      <c r="P354" s="1120"/>
    </row>
    <row r="355" spans="1:16" ht="180" x14ac:dyDescent="0.2">
      <c r="A355" s="60"/>
      <c r="B355" s="415" t="s">
        <v>3092</v>
      </c>
      <c r="C355" s="60" t="s">
        <v>398</v>
      </c>
      <c r="D355" s="416" t="s">
        <v>3699</v>
      </c>
      <c r="E355" s="564">
        <f>5950+174.5</f>
        <v>6124.5</v>
      </c>
      <c r="F355" s="1118" t="s">
        <v>3700</v>
      </c>
      <c r="G355" s="416" t="s">
        <v>3701</v>
      </c>
      <c r="H355" s="416" t="s">
        <v>3702</v>
      </c>
      <c r="I355" s="415" t="s">
        <v>3703</v>
      </c>
      <c r="J355" s="415" t="s">
        <v>3702</v>
      </c>
      <c r="K355" s="948">
        <v>1</v>
      </c>
      <c r="L355" s="1119">
        <v>12</v>
      </c>
      <c r="M355" s="1120">
        <f>+E355*L355</f>
        <v>73494</v>
      </c>
      <c r="N355" s="1119"/>
      <c r="O355" s="1119"/>
      <c r="P355" s="1120"/>
    </row>
    <row r="356" spans="1:16" ht="48" x14ac:dyDescent="0.2">
      <c r="A356" s="60"/>
      <c r="B356" s="415" t="s">
        <v>3092</v>
      </c>
      <c r="C356" s="60" t="s">
        <v>398</v>
      </c>
      <c r="D356" s="416" t="s">
        <v>3704</v>
      </c>
      <c r="E356" s="564">
        <f>1050+94.5</f>
        <v>1144.5</v>
      </c>
      <c r="F356" s="1118" t="s">
        <v>3705</v>
      </c>
      <c r="G356" s="416" t="s">
        <v>3706</v>
      </c>
      <c r="H356" s="416"/>
      <c r="I356" s="415"/>
      <c r="J356" s="415" t="s">
        <v>3707</v>
      </c>
      <c r="K356" s="948">
        <v>1</v>
      </c>
      <c r="L356" s="1119">
        <v>12</v>
      </c>
      <c r="M356" s="1120">
        <f>+E356*L356</f>
        <v>13734</v>
      </c>
      <c r="N356" s="1119"/>
      <c r="O356" s="1119"/>
      <c r="P356" s="1120"/>
    </row>
    <row r="357" spans="1:16" ht="180" x14ac:dyDescent="0.2">
      <c r="A357" s="60"/>
      <c r="B357" s="415" t="s">
        <v>3092</v>
      </c>
      <c r="C357" s="60" t="s">
        <v>398</v>
      </c>
      <c r="D357" s="416" t="s">
        <v>3699</v>
      </c>
      <c r="E357" s="564">
        <f>5950+217</f>
        <v>6167</v>
      </c>
      <c r="F357" s="1118" t="s">
        <v>3700</v>
      </c>
      <c r="G357" s="416" t="s">
        <v>3701</v>
      </c>
      <c r="H357" s="416" t="s">
        <v>3702</v>
      </c>
      <c r="I357" s="415" t="s">
        <v>3703</v>
      </c>
      <c r="J357" s="415" t="s">
        <v>3702</v>
      </c>
      <c r="K357" s="948"/>
      <c r="L357" s="1119"/>
      <c r="M357" s="1120"/>
      <c r="N357" s="1119">
        <v>1</v>
      </c>
      <c r="O357" s="1119">
        <v>12</v>
      </c>
      <c r="P357" s="1120">
        <f>+E357*O357</f>
        <v>74004</v>
      </c>
    </row>
    <row r="358" spans="1:16" ht="48" x14ac:dyDescent="0.2">
      <c r="A358" s="60"/>
      <c r="B358" s="415" t="s">
        <v>3092</v>
      </c>
      <c r="C358" s="60" t="s">
        <v>398</v>
      </c>
      <c r="D358" s="416" t="s">
        <v>3704</v>
      </c>
      <c r="E358" s="564">
        <f>1050+95</f>
        <v>1145</v>
      </c>
      <c r="F358" s="1118" t="s">
        <v>3705</v>
      </c>
      <c r="G358" s="416" t="s">
        <v>3706</v>
      </c>
      <c r="H358" s="416"/>
      <c r="I358" s="415"/>
      <c r="J358" s="415" t="s">
        <v>3707</v>
      </c>
      <c r="K358" s="948"/>
      <c r="L358" s="1119"/>
      <c r="M358" s="1120"/>
      <c r="N358" s="1119">
        <v>1</v>
      </c>
      <c r="O358" s="1119">
        <v>12</v>
      </c>
      <c r="P358" s="1120">
        <f>+E358*O358</f>
        <v>13740</v>
      </c>
    </row>
    <row r="359" spans="1:16" x14ac:dyDescent="0.2">
      <c r="A359" s="60"/>
      <c r="B359" s="1531" t="s">
        <v>3708</v>
      </c>
      <c r="C359" s="1531"/>
      <c r="D359" s="1531"/>
      <c r="E359" s="1197">
        <f>SUM(E355:E358)</f>
        <v>14581</v>
      </c>
      <c r="F359" s="1118"/>
      <c r="G359" s="416"/>
      <c r="H359" s="416"/>
      <c r="I359" s="415"/>
      <c r="J359" s="415"/>
      <c r="K359" s="948"/>
      <c r="L359" s="1119"/>
      <c r="M359" s="1198">
        <f>SUM(M355:M358)</f>
        <v>87228</v>
      </c>
      <c r="N359" s="1199"/>
      <c r="O359" s="1199"/>
      <c r="P359" s="1198">
        <f>SUM(P355:P358)</f>
        <v>87744</v>
      </c>
    </row>
    <row r="360" spans="1:16" ht="96" x14ac:dyDescent="0.2">
      <c r="A360" s="60"/>
      <c r="B360" s="415" t="s">
        <v>3709</v>
      </c>
      <c r="C360" s="60" t="s">
        <v>3710</v>
      </c>
      <c r="D360" s="416" t="s">
        <v>3711</v>
      </c>
      <c r="E360" s="564">
        <v>3300</v>
      </c>
      <c r="F360" s="415">
        <v>42240137</v>
      </c>
      <c r="G360" s="416" t="s">
        <v>3712</v>
      </c>
      <c r="H360" s="416" t="s">
        <v>3713</v>
      </c>
      <c r="I360" s="415" t="s">
        <v>3703</v>
      </c>
      <c r="J360" s="415"/>
      <c r="K360" s="948">
        <v>2</v>
      </c>
      <c r="L360" s="1119">
        <v>7</v>
      </c>
      <c r="M360" s="1120">
        <f>+E360*L360</f>
        <v>23100</v>
      </c>
      <c r="N360" s="1121"/>
      <c r="O360" s="1121"/>
      <c r="P360" s="1120"/>
    </row>
    <row r="361" spans="1:16" ht="96" x14ac:dyDescent="0.2">
      <c r="A361" s="60"/>
      <c r="B361" s="415" t="s">
        <v>3709</v>
      </c>
      <c r="C361" s="60" t="s">
        <v>3710</v>
      </c>
      <c r="D361" s="416" t="s">
        <v>3711</v>
      </c>
      <c r="E361" s="564">
        <v>2310</v>
      </c>
      <c r="F361" s="415">
        <v>42240137</v>
      </c>
      <c r="G361" s="416" t="s">
        <v>3712</v>
      </c>
      <c r="H361" s="416" t="s">
        <v>3713</v>
      </c>
      <c r="I361" s="415" t="s">
        <v>3703</v>
      </c>
      <c r="J361" s="415"/>
      <c r="K361" s="948">
        <v>1</v>
      </c>
      <c r="L361" s="1119">
        <v>1</v>
      </c>
      <c r="M361" s="1120">
        <f t="shared" ref="M361:M405" si="25">+E361*L361</f>
        <v>2310</v>
      </c>
      <c r="N361" s="1121"/>
      <c r="O361" s="1121"/>
      <c r="P361" s="1120"/>
    </row>
    <row r="362" spans="1:16" ht="96" x14ac:dyDescent="0.2">
      <c r="A362" s="60"/>
      <c r="B362" s="415" t="s">
        <v>3709</v>
      </c>
      <c r="C362" s="60" t="s">
        <v>3710</v>
      </c>
      <c r="D362" s="416" t="s">
        <v>3711</v>
      </c>
      <c r="E362" s="564">
        <v>2090</v>
      </c>
      <c r="F362" s="415">
        <v>42240137</v>
      </c>
      <c r="G362" s="416" t="s">
        <v>3712</v>
      </c>
      <c r="H362" s="416" t="s">
        <v>3713</v>
      </c>
      <c r="I362" s="415" t="s">
        <v>3703</v>
      </c>
      <c r="J362" s="415"/>
      <c r="K362" s="948">
        <v>1</v>
      </c>
      <c r="L362" s="1119">
        <v>2</v>
      </c>
      <c r="M362" s="1120">
        <f t="shared" si="25"/>
        <v>4180</v>
      </c>
      <c r="N362" s="1121"/>
      <c r="O362" s="1121"/>
      <c r="P362" s="1120"/>
    </row>
    <row r="363" spans="1:16" ht="120" x14ac:dyDescent="0.2">
      <c r="A363" s="60"/>
      <c r="B363" s="415" t="s">
        <v>3709</v>
      </c>
      <c r="C363" s="60" t="s">
        <v>3710</v>
      </c>
      <c r="D363" s="416" t="s">
        <v>3714</v>
      </c>
      <c r="E363" s="564">
        <v>2000</v>
      </c>
      <c r="F363" s="1118" t="s">
        <v>3715</v>
      </c>
      <c r="G363" s="416" t="s">
        <v>3716</v>
      </c>
      <c r="H363" s="416"/>
      <c r="I363" s="415"/>
      <c r="J363" s="415" t="s">
        <v>3717</v>
      </c>
      <c r="K363" s="948">
        <v>1</v>
      </c>
      <c r="L363" s="1119">
        <v>3</v>
      </c>
      <c r="M363" s="1120">
        <f t="shared" si="25"/>
        <v>6000</v>
      </c>
      <c r="N363" s="1121"/>
      <c r="O363" s="1121"/>
      <c r="P363" s="1120"/>
    </row>
    <row r="364" spans="1:16" ht="120" x14ac:dyDescent="0.2">
      <c r="A364" s="60"/>
      <c r="B364" s="415" t="s">
        <v>3709</v>
      </c>
      <c r="C364" s="60" t="s">
        <v>3710</v>
      </c>
      <c r="D364" s="416" t="s">
        <v>3714</v>
      </c>
      <c r="E364" s="564">
        <v>2500</v>
      </c>
      <c r="F364" s="1118" t="s">
        <v>3715</v>
      </c>
      <c r="G364" s="416" t="s">
        <v>3716</v>
      </c>
      <c r="H364" s="416"/>
      <c r="I364" s="415"/>
      <c r="J364" s="415" t="s">
        <v>3717</v>
      </c>
      <c r="K364" s="948">
        <v>1</v>
      </c>
      <c r="L364" s="1119">
        <v>1</v>
      </c>
      <c r="M364" s="1120">
        <f t="shared" si="25"/>
        <v>2500</v>
      </c>
      <c r="N364" s="1121"/>
      <c r="O364" s="1121"/>
      <c r="P364" s="1120"/>
    </row>
    <row r="365" spans="1:16" ht="108" x14ac:dyDescent="0.2">
      <c r="A365" s="60"/>
      <c r="B365" s="415" t="s">
        <v>3709</v>
      </c>
      <c r="C365" s="60" t="s">
        <v>3710</v>
      </c>
      <c r="D365" s="416" t="s">
        <v>3718</v>
      </c>
      <c r="E365" s="1120">
        <v>1800</v>
      </c>
      <c r="F365" s="415">
        <v>80469790</v>
      </c>
      <c r="G365" s="60" t="s">
        <v>3719</v>
      </c>
      <c r="H365" s="415"/>
      <c r="I365" s="415"/>
      <c r="J365" s="415" t="s">
        <v>3717</v>
      </c>
      <c r="K365" s="948">
        <v>1</v>
      </c>
      <c r="L365" s="1119">
        <v>3</v>
      </c>
      <c r="M365" s="1120">
        <f t="shared" si="25"/>
        <v>5400</v>
      </c>
      <c r="N365" s="1122"/>
      <c r="O365" s="1122"/>
      <c r="P365" s="1120"/>
    </row>
    <row r="366" spans="1:16" ht="108" x14ac:dyDescent="0.2">
      <c r="A366" s="60"/>
      <c r="B366" s="415" t="s">
        <v>3709</v>
      </c>
      <c r="C366" s="60" t="s">
        <v>3710</v>
      </c>
      <c r="D366" s="416" t="s">
        <v>3718</v>
      </c>
      <c r="E366" s="1120">
        <v>1500</v>
      </c>
      <c r="F366" s="415">
        <v>80469790</v>
      </c>
      <c r="G366" s="60" t="s">
        <v>3719</v>
      </c>
      <c r="H366" s="415"/>
      <c r="I366" s="415"/>
      <c r="J366" s="415" t="s">
        <v>3717</v>
      </c>
      <c r="K366" s="948">
        <v>2</v>
      </c>
      <c r="L366" s="1119">
        <v>8</v>
      </c>
      <c r="M366" s="1120">
        <f t="shared" si="25"/>
        <v>12000</v>
      </c>
      <c r="N366" s="1122"/>
      <c r="O366" s="1122"/>
      <c r="P366" s="1120"/>
    </row>
    <row r="367" spans="1:16" ht="120" x14ac:dyDescent="0.2">
      <c r="A367" s="60"/>
      <c r="B367" s="415" t="s">
        <v>3709</v>
      </c>
      <c r="C367" s="60" t="s">
        <v>3710</v>
      </c>
      <c r="D367" s="416" t="s">
        <v>3720</v>
      </c>
      <c r="E367" s="1120">
        <v>3500</v>
      </c>
      <c r="F367" s="415">
        <v>15858642</v>
      </c>
      <c r="G367" s="416" t="s">
        <v>3721</v>
      </c>
      <c r="H367" s="416"/>
      <c r="I367" s="415"/>
      <c r="J367" s="415" t="s">
        <v>3717</v>
      </c>
      <c r="K367" s="948">
        <v>1</v>
      </c>
      <c r="L367" s="1119">
        <v>4</v>
      </c>
      <c r="M367" s="1120">
        <f t="shared" si="25"/>
        <v>14000</v>
      </c>
      <c r="N367" s="1121"/>
      <c r="O367" s="1121"/>
      <c r="P367" s="1120"/>
    </row>
    <row r="368" spans="1:16" ht="120" x14ac:dyDescent="0.2">
      <c r="A368" s="60"/>
      <c r="B368" s="415" t="s">
        <v>3709</v>
      </c>
      <c r="C368" s="60" t="s">
        <v>3710</v>
      </c>
      <c r="D368" s="416" t="s">
        <v>3720</v>
      </c>
      <c r="E368" s="564">
        <v>2500</v>
      </c>
      <c r="F368" s="415">
        <v>15858642</v>
      </c>
      <c r="G368" s="416" t="s">
        <v>3721</v>
      </c>
      <c r="H368" s="416"/>
      <c r="I368" s="415"/>
      <c r="J368" s="415" t="s">
        <v>3717</v>
      </c>
      <c r="K368" s="948">
        <v>1</v>
      </c>
      <c r="L368" s="1119">
        <v>1</v>
      </c>
      <c r="M368" s="1120">
        <f t="shared" si="25"/>
        <v>2500</v>
      </c>
      <c r="N368" s="1121"/>
      <c r="O368" s="1121"/>
      <c r="P368" s="1120"/>
    </row>
    <row r="369" spans="1:16" ht="120" x14ac:dyDescent="0.2">
      <c r="A369" s="60"/>
      <c r="B369" s="415" t="s">
        <v>3709</v>
      </c>
      <c r="C369" s="60" t="s">
        <v>3710</v>
      </c>
      <c r="D369" s="416" t="s">
        <v>3720</v>
      </c>
      <c r="E369" s="1120">
        <v>3000</v>
      </c>
      <c r="F369" s="415">
        <v>15858642</v>
      </c>
      <c r="G369" s="60" t="s">
        <v>3721</v>
      </c>
      <c r="H369" s="415"/>
      <c r="I369" s="415"/>
      <c r="J369" s="415" t="s">
        <v>3717</v>
      </c>
      <c r="K369" s="948">
        <v>1</v>
      </c>
      <c r="L369" s="1119">
        <v>7</v>
      </c>
      <c r="M369" s="1120">
        <f t="shared" si="25"/>
        <v>21000</v>
      </c>
      <c r="N369" s="1122"/>
      <c r="O369" s="1122"/>
      <c r="P369" s="1120"/>
    </row>
    <row r="370" spans="1:16" ht="96" x14ac:dyDescent="0.2">
      <c r="A370" s="60"/>
      <c r="B370" s="415" t="s">
        <v>3709</v>
      </c>
      <c r="C370" s="60" t="s">
        <v>3710</v>
      </c>
      <c r="D370" s="416" t="s">
        <v>3722</v>
      </c>
      <c r="E370" s="564">
        <v>4000</v>
      </c>
      <c r="F370" s="1118" t="s">
        <v>3723</v>
      </c>
      <c r="G370" s="416" t="s">
        <v>3724</v>
      </c>
      <c r="H370" s="416" t="s">
        <v>3725</v>
      </c>
      <c r="I370" s="415" t="s">
        <v>3703</v>
      </c>
      <c r="J370" s="415" t="s">
        <v>3726</v>
      </c>
      <c r="K370" s="948">
        <v>1</v>
      </c>
      <c r="L370" s="1119">
        <v>2</v>
      </c>
      <c r="M370" s="1120">
        <f t="shared" si="25"/>
        <v>8000</v>
      </c>
      <c r="N370" s="1121"/>
      <c r="O370" s="1121"/>
      <c r="P370" s="1120"/>
    </row>
    <row r="371" spans="1:16" ht="96" x14ac:dyDescent="0.2">
      <c r="A371" s="60"/>
      <c r="B371" s="415" t="s">
        <v>3709</v>
      </c>
      <c r="C371" s="60" t="s">
        <v>3710</v>
      </c>
      <c r="D371" s="416" t="s">
        <v>3722</v>
      </c>
      <c r="E371" s="564">
        <v>5000</v>
      </c>
      <c r="F371" s="1118" t="s">
        <v>3723</v>
      </c>
      <c r="G371" s="416" t="s">
        <v>3724</v>
      </c>
      <c r="H371" s="416" t="s">
        <v>3725</v>
      </c>
      <c r="I371" s="415" t="s">
        <v>3703</v>
      </c>
      <c r="J371" s="415" t="s">
        <v>3726</v>
      </c>
      <c r="K371" s="948">
        <v>1</v>
      </c>
      <c r="L371" s="1119">
        <v>1</v>
      </c>
      <c r="M371" s="1120">
        <f t="shared" si="25"/>
        <v>5000</v>
      </c>
      <c r="N371" s="1121"/>
      <c r="O371" s="1121"/>
      <c r="P371" s="1120"/>
    </row>
    <row r="372" spans="1:16" ht="132" x14ac:dyDescent="0.2">
      <c r="A372" s="60"/>
      <c r="B372" s="415" t="s">
        <v>3709</v>
      </c>
      <c r="C372" s="60" t="s">
        <v>3710</v>
      </c>
      <c r="D372" s="416" t="s">
        <v>3727</v>
      </c>
      <c r="E372" s="564">
        <v>1500</v>
      </c>
      <c r="F372" s="415">
        <v>70987144</v>
      </c>
      <c r="G372" s="416" t="s">
        <v>3728</v>
      </c>
      <c r="H372" s="416" t="s">
        <v>3729</v>
      </c>
      <c r="I372" s="415" t="s">
        <v>3703</v>
      </c>
      <c r="J372" s="415" t="s">
        <v>3717</v>
      </c>
      <c r="K372" s="948">
        <v>1</v>
      </c>
      <c r="L372" s="1119">
        <v>3</v>
      </c>
      <c r="M372" s="1120">
        <f t="shared" si="25"/>
        <v>4500</v>
      </c>
      <c r="N372" s="1121"/>
      <c r="O372" s="1121"/>
      <c r="P372" s="1120"/>
    </row>
    <row r="373" spans="1:16" ht="132" x14ac:dyDescent="0.2">
      <c r="A373" s="60"/>
      <c r="B373" s="415" t="s">
        <v>3709</v>
      </c>
      <c r="C373" s="60" t="s">
        <v>3710</v>
      </c>
      <c r="D373" s="416" t="s">
        <v>3727</v>
      </c>
      <c r="E373" s="564">
        <v>2000</v>
      </c>
      <c r="F373" s="415">
        <v>70987144</v>
      </c>
      <c r="G373" s="416" t="s">
        <v>3728</v>
      </c>
      <c r="H373" s="416" t="s">
        <v>3729</v>
      </c>
      <c r="I373" s="415" t="s">
        <v>3703</v>
      </c>
      <c r="J373" s="415" t="s">
        <v>3717</v>
      </c>
      <c r="K373" s="948">
        <v>1</v>
      </c>
      <c r="L373" s="1119">
        <v>2</v>
      </c>
      <c r="M373" s="1120">
        <f t="shared" si="25"/>
        <v>4000</v>
      </c>
      <c r="N373" s="1121"/>
      <c r="O373" s="1121"/>
      <c r="P373" s="1120"/>
    </row>
    <row r="374" spans="1:16" ht="132" x14ac:dyDescent="0.2">
      <c r="A374" s="60"/>
      <c r="B374" s="415" t="s">
        <v>3709</v>
      </c>
      <c r="C374" s="60" t="s">
        <v>3710</v>
      </c>
      <c r="D374" s="416" t="s">
        <v>3727</v>
      </c>
      <c r="E374" s="564">
        <v>2500</v>
      </c>
      <c r="F374" s="415">
        <v>70987144</v>
      </c>
      <c r="G374" s="416" t="s">
        <v>3728</v>
      </c>
      <c r="H374" s="416" t="s">
        <v>3729</v>
      </c>
      <c r="I374" s="415" t="s">
        <v>3703</v>
      </c>
      <c r="J374" s="415" t="s">
        <v>3717</v>
      </c>
      <c r="K374" s="948">
        <v>1</v>
      </c>
      <c r="L374" s="1119">
        <v>5</v>
      </c>
      <c r="M374" s="1120">
        <f t="shared" si="25"/>
        <v>12500</v>
      </c>
      <c r="N374" s="1121"/>
      <c r="O374" s="1121"/>
      <c r="P374" s="1120"/>
    </row>
    <row r="375" spans="1:16" ht="60" x14ac:dyDescent="0.2">
      <c r="A375" s="60"/>
      <c r="B375" s="415" t="s">
        <v>3709</v>
      </c>
      <c r="C375" s="60" t="s">
        <v>3710</v>
      </c>
      <c r="D375" s="416" t="s">
        <v>3730</v>
      </c>
      <c r="E375" s="564">
        <v>1500</v>
      </c>
      <c r="F375" s="415">
        <v>43687062</v>
      </c>
      <c r="G375" s="416" t="s">
        <v>3731</v>
      </c>
      <c r="H375" s="416" t="s">
        <v>3732</v>
      </c>
      <c r="I375" s="415"/>
      <c r="J375" s="415" t="s">
        <v>3717</v>
      </c>
      <c r="K375" s="948">
        <v>1</v>
      </c>
      <c r="L375" s="1119">
        <v>1</v>
      </c>
      <c r="M375" s="1120">
        <f t="shared" si="25"/>
        <v>1500</v>
      </c>
      <c r="N375" s="1121"/>
      <c r="O375" s="1121"/>
      <c r="P375" s="1120"/>
    </row>
    <row r="376" spans="1:16" ht="60" x14ac:dyDescent="0.2">
      <c r="A376" s="60"/>
      <c r="B376" s="415" t="s">
        <v>3709</v>
      </c>
      <c r="C376" s="60" t="s">
        <v>3710</v>
      </c>
      <c r="D376" s="416" t="s">
        <v>3730</v>
      </c>
      <c r="E376" s="564">
        <v>2000</v>
      </c>
      <c r="F376" s="415">
        <v>43687062</v>
      </c>
      <c r="G376" s="416" t="s">
        <v>3731</v>
      </c>
      <c r="H376" s="416" t="s">
        <v>3732</v>
      </c>
      <c r="I376" s="415"/>
      <c r="J376" s="415" t="s">
        <v>3717</v>
      </c>
      <c r="K376" s="948">
        <v>1</v>
      </c>
      <c r="L376" s="1119">
        <v>2</v>
      </c>
      <c r="M376" s="1120">
        <f t="shared" si="25"/>
        <v>4000</v>
      </c>
      <c r="N376" s="1121"/>
      <c r="O376" s="1121"/>
      <c r="P376" s="1120"/>
    </row>
    <row r="377" spans="1:16" ht="144" x14ac:dyDescent="0.2">
      <c r="A377" s="60"/>
      <c r="B377" s="415" t="s">
        <v>3709</v>
      </c>
      <c r="C377" s="60" t="s">
        <v>3710</v>
      </c>
      <c r="D377" s="416" t="s">
        <v>3733</v>
      </c>
      <c r="E377" s="564">
        <v>2000</v>
      </c>
      <c r="F377" s="415">
        <v>10686504</v>
      </c>
      <c r="G377" s="416" t="s">
        <v>3734</v>
      </c>
      <c r="H377" s="416" t="s">
        <v>3725</v>
      </c>
      <c r="I377" s="415" t="s">
        <v>3703</v>
      </c>
      <c r="J377" s="415" t="s">
        <v>3717</v>
      </c>
      <c r="K377" s="948">
        <v>1</v>
      </c>
      <c r="L377" s="1119">
        <v>1</v>
      </c>
      <c r="M377" s="1120">
        <f t="shared" si="25"/>
        <v>2000</v>
      </c>
      <c r="N377" s="1121"/>
      <c r="O377" s="1121"/>
      <c r="P377" s="1120"/>
    </row>
    <row r="378" spans="1:16" ht="144" x14ac:dyDescent="0.2">
      <c r="A378" s="60"/>
      <c r="B378" s="415" t="s">
        <v>3709</v>
      </c>
      <c r="C378" s="60" t="s">
        <v>3710</v>
      </c>
      <c r="D378" s="416" t="s">
        <v>3733</v>
      </c>
      <c r="E378" s="564">
        <v>4000</v>
      </c>
      <c r="F378" s="415">
        <v>10686504</v>
      </c>
      <c r="G378" s="416" t="s">
        <v>3734</v>
      </c>
      <c r="H378" s="416" t="s">
        <v>3725</v>
      </c>
      <c r="I378" s="415" t="s">
        <v>3703</v>
      </c>
      <c r="J378" s="415" t="s">
        <v>3717</v>
      </c>
      <c r="K378" s="948">
        <v>1</v>
      </c>
      <c r="L378" s="1119">
        <v>1</v>
      </c>
      <c r="M378" s="1120">
        <f t="shared" si="25"/>
        <v>4000</v>
      </c>
      <c r="N378" s="1121"/>
      <c r="O378" s="1121"/>
      <c r="P378" s="1120"/>
    </row>
    <row r="379" spans="1:16" ht="96" x14ac:dyDescent="0.2">
      <c r="A379" s="60"/>
      <c r="B379" s="415" t="s">
        <v>3709</v>
      </c>
      <c r="C379" s="60" t="s">
        <v>3710</v>
      </c>
      <c r="D379" s="416" t="s">
        <v>3711</v>
      </c>
      <c r="E379" s="564">
        <v>4000</v>
      </c>
      <c r="F379" s="415">
        <v>48112562</v>
      </c>
      <c r="G379" s="416" t="s">
        <v>3735</v>
      </c>
      <c r="H379" s="416" t="s">
        <v>3736</v>
      </c>
      <c r="I379" s="415" t="s">
        <v>3703</v>
      </c>
      <c r="J379" s="415" t="s">
        <v>3717</v>
      </c>
      <c r="K379" s="948">
        <v>1</v>
      </c>
      <c r="L379" s="1119">
        <v>1</v>
      </c>
      <c r="M379" s="1120">
        <f t="shared" si="25"/>
        <v>4000</v>
      </c>
      <c r="N379" s="1121"/>
      <c r="O379" s="1121"/>
      <c r="P379" s="1120"/>
    </row>
    <row r="380" spans="1:16" ht="132" x14ac:dyDescent="0.2">
      <c r="A380" s="60"/>
      <c r="B380" s="415" t="s">
        <v>3709</v>
      </c>
      <c r="C380" s="60" t="s">
        <v>3710</v>
      </c>
      <c r="D380" s="416" t="s">
        <v>3737</v>
      </c>
      <c r="E380" s="564">
        <v>5000</v>
      </c>
      <c r="F380" s="415">
        <v>22487177</v>
      </c>
      <c r="G380" s="416" t="s">
        <v>3738</v>
      </c>
      <c r="H380" s="416" t="s">
        <v>3739</v>
      </c>
      <c r="I380" s="415" t="s">
        <v>3703</v>
      </c>
      <c r="J380" s="415" t="s">
        <v>3739</v>
      </c>
      <c r="K380" s="948">
        <v>1</v>
      </c>
      <c r="L380" s="1119">
        <v>2</v>
      </c>
      <c r="M380" s="1120">
        <f t="shared" si="25"/>
        <v>10000</v>
      </c>
      <c r="N380" s="1121"/>
      <c r="O380" s="1121"/>
      <c r="P380" s="1120"/>
    </row>
    <row r="381" spans="1:16" ht="96" x14ac:dyDescent="0.2">
      <c r="A381" s="60"/>
      <c r="B381" s="415" t="s">
        <v>3709</v>
      </c>
      <c r="C381" s="60" t="s">
        <v>3710</v>
      </c>
      <c r="D381" s="416" t="s">
        <v>3740</v>
      </c>
      <c r="E381" s="564">
        <v>5000</v>
      </c>
      <c r="F381" s="415">
        <v>41677855</v>
      </c>
      <c r="G381" s="416" t="s">
        <v>3741</v>
      </c>
      <c r="H381" s="416" t="s">
        <v>3742</v>
      </c>
      <c r="I381" s="415" t="s">
        <v>3703</v>
      </c>
      <c r="J381" s="415" t="s">
        <v>3743</v>
      </c>
      <c r="K381" s="948">
        <v>1</v>
      </c>
      <c r="L381" s="1119">
        <v>2</v>
      </c>
      <c r="M381" s="1120">
        <f t="shared" si="25"/>
        <v>10000</v>
      </c>
      <c r="N381" s="1121"/>
      <c r="O381" s="1121"/>
      <c r="P381" s="1120"/>
    </row>
    <row r="382" spans="1:16" ht="180" x14ac:dyDescent="0.2">
      <c r="A382" s="60"/>
      <c r="B382" s="415" t="s">
        <v>3709</v>
      </c>
      <c r="C382" s="60" t="s">
        <v>3710</v>
      </c>
      <c r="D382" s="416" t="s">
        <v>3744</v>
      </c>
      <c r="E382" s="564">
        <v>5000</v>
      </c>
      <c r="F382" s="415">
        <v>42695004</v>
      </c>
      <c r="G382" s="416" t="s">
        <v>3745</v>
      </c>
      <c r="H382" s="416" t="s">
        <v>3739</v>
      </c>
      <c r="I382" s="415" t="s">
        <v>3703</v>
      </c>
      <c r="J382" s="415" t="s">
        <v>3739</v>
      </c>
      <c r="K382" s="948">
        <v>1</v>
      </c>
      <c r="L382" s="1119">
        <v>2</v>
      </c>
      <c r="M382" s="1120">
        <f t="shared" si="25"/>
        <v>10000</v>
      </c>
      <c r="N382" s="1121"/>
      <c r="O382" s="1121"/>
      <c r="P382" s="1120"/>
    </row>
    <row r="383" spans="1:16" ht="120" x14ac:dyDescent="0.2">
      <c r="A383" s="60"/>
      <c r="B383" s="415" t="s">
        <v>3709</v>
      </c>
      <c r="C383" s="60" t="s">
        <v>3710</v>
      </c>
      <c r="D383" s="416" t="s">
        <v>3714</v>
      </c>
      <c r="E383" s="564">
        <v>2500</v>
      </c>
      <c r="F383" s="1118" t="s">
        <v>3715</v>
      </c>
      <c r="G383" s="416" t="s">
        <v>3716</v>
      </c>
      <c r="H383" s="416"/>
      <c r="I383" s="415"/>
      <c r="J383" s="415" t="s">
        <v>3717</v>
      </c>
      <c r="K383" s="948">
        <v>1</v>
      </c>
      <c r="L383" s="1119">
        <v>8</v>
      </c>
      <c r="M383" s="1120">
        <f t="shared" si="25"/>
        <v>20000</v>
      </c>
      <c r="N383" s="1121"/>
      <c r="O383" s="1121"/>
      <c r="P383" s="1120"/>
    </row>
    <row r="384" spans="1:16" ht="108" x14ac:dyDescent="0.2">
      <c r="A384" s="60"/>
      <c r="B384" s="415" t="s">
        <v>3709</v>
      </c>
      <c r="C384" s="60" t="s">
        <v>3710</v>
      </c>
      <c r="D384" s="416" t="s">
        <v>3746</v>
      </c>
      <c r="E384" s="564">
        <v>3000</v>
      </c>
      <c r="F384" s="415">
        <v>46985137</v>
      </c>
      <c r="G384" s="416" t="s">
        <v>3747</v>
      </c>
      <c r="H384" s="416" t="s">
        <v>3748</v>
      </c>
      <c r="I384" s="415" t="s">
        <v>3703</v>
      </c>
      <c r="J384" s="415" t="s">
        <v>3749</v>
      </c>
      <c r="K384" s="948">
        <v>2</v>
      </c>
      <c r="L384" s="1119">
        <v>9</v>
      </c>
      <c r="M384" s="1120">
        <f t="shared" si="25"/>
        <v>27000</v>
      </c>
      <c r="N384" s="1121"/>
      <c r="O384" s="1121"/>
      <c r="P384" s="1120"/>
    </row>
    <row r="385" spans="1:16" ht="144" x14ac:dyDescent="0.2">
      <c r="A385" s="60"/>
      <c r="B385" s="415" t="s">
        <v>3709</v>
      </c>
      <c r="C385" s="60" t="s">
        <v>3710</v>
      </c>
      <c r="D385" s="416" t="s">
        <v>3750</v>
      </c>
      <c r="E385" s="564">
        <v>2000</v>
      </c>
      <c r="F385" s="415">
        <v>48986659</v>
      </c>
      <c r="G385" s="416" t="s">
        <v>3751</v>
      </c>
      <c r="H385" s="416" t="s">
        <v>3739</v>
      </c>
      <c r="I385" s="415" t="s">
        <v>3703</v>
      </c>
      <c r="J385" s="415" t="s">
        <v>3717</v>
      </c>
      <c r="K385" s="948">
        <v>3</v>
      </c>
      <c r="L385" s="1119">
        <v>7</v>
      </c>
      <c r="M385" s="1120">
        <f t="shared" si="25"/>
        <v>14000</v>
      </c>
      <c r="N385" s="1121"/>
      <c r="O385" s="1121"/>
      <c r="P385" s="1120"/>
    </row>
    <row r="386" spans="1:16" ht="120" x14ac:dyDescent="0.2">
      <c r="A386" s="60"/>
      <c r="B386" s="415" t="s">
        <v>3709</v>
      </c>
      <c r="C386" s="60" t="s">
        <v>3710</v>
      </c>
      <c r="D386" s="416" t="s">
        <v>3752</v>
      </c>
      <c r="E386" s="564">
        <v>5000</v>
      </c>
      <c r="F386" s="1118" t="s">
        <v>3723</v>
      </c>
      <c r="G386" s="416" t="s">
        <v>3724</v>
      </c>
      <c r="H386" s="416" t="s">
        <v>3725</v>
      </c>
      <c r="I386" s="415" t="s">
        <v>3703</v>
      </c>
      <c r="J386" s="415" t="s">
        <v>3726</v>
      </c>
      <c r="K386" s="948">
        <v>1</v>
      </c>
      <c r="L386" s="1119">
        <v>4</v>
      </c>
      <c r="M386" s="1120">
        <f t="shared" si="25"/>
        <v>20000</v>
      </c>
      <c r="N386" s="1121"/>
      <c r="O386" s="1121"/>
      <c r="P386" s="1120"/>
    </row>
    <row r="387" spans="1:16" ht="84" x14ac:dyDescent="0.2">
      <c r="A387" s="60"/>
      <c r="B387" s="415" t="s">
        <v>3709</v>
      </c>
      <c r="C387" s="60" t="s">
        <v>3710</v>
      </c>
      <c r="D387" s="416" t="s">
        <v>3753</v>
      </c>
      <c r="E387" s="564">
        <v>5000</v>
      </c>
      <c r="F387" s="415">
        <v>22487177</v>
      </c>
      <c r="G387" s="416" t="s">
        <v>3738</v>
      </c>
      <c r="H387" s="416" t="s">
        <v>3739</v>
      </c>
      <c r="I387" s="415" t="s">
        <v>3703</v>
      </c>
      <c r="J387" s="415" t="s">
        <v>3739</v>
      </c>
      <c r="K387" s="948">
        <v>1</v>
      </c>
      <c r="L387" s="1119">
        <v>5</v>
      </c>
      <c r="M387" s="1120">
        <f t="shared" si="25"/>
        <v>25000</v>
      </c>
      <c r="N387" s="1121"/>
      <c r="O387" s="1121"/>
      <c r="P387" s="1120"/>
    </row>
    <row r="388" spans="1:16" ht="96" x14ac:dyDescent="0.2">
      <c r="A388" s="60"/>
      <c r="B388" s="415" t="s">
        <v>3709</v>
      </c>
      <c r="C388" s="60" t="s">
        <v>3710</v>
      </c>
      <c r="D388" s="416" t="s">
        <v>3740</v>
      </c>
      <c r="E388" s="564">
        <v>5000</v>
      </c>
      <c r="F388" s="415">
        <v>41677855</v>
      </c>
      <c r="G388" s="416" t="s">
        <v>3741</v>
      </c>
      <c r="H388" s="416" t="s">
        <v>3742</v>
      </c>
      <c r="I388" s="415" t="s">
        <v>3703</v>
      </c>
      <c r="J388" s="415" t="s">
        <v>3743</v>
      </c>
      <c r="K388" s="948">
        <v>2</v>
      </c>
      <c r="L388" s="1119">
        <v>9</v>
      </c>
      <c r="M388" s="1120">
        <f t="shared" si="25"/>
        <v>45000</v>
      </c>
      <c r="N388" s="1121"/>
      <c r="O388" s="1121"/>
      <c r="P388" s="1120"/>
    </row>
    <row r="389" spans="1:16" ht="96" x14ac:dyDescent="0.2">
      <c r="A389" s="60"/>
      <c r="B389" s="415" t="s">
        <v>3709</v>
      </c>
      <c r="C389" s="60" t="s">
        <v>3710</v>
      </c>
      <c r="D389" s="416" t="s">
        <v>3740</v>
      </c>
      <c r="E389" s="564">
        <v>4000</v>
      </c>
      <c r="F389" s="415">
        <v>41677855</v>
      </c>
      <c r="G389" s="416" t="s">
        <v>3741</v>
      </c>
      <c r="H389" s="416" t="s">
        <v>3742</v>
      </c>
      <c r="I389" s="415" t="s">
        <v>3703</v>
      </c>
      <c r="J389" s="415" t="s">
        <v>3743</v>
      </c>
      <c r="K389" s="948">
        <v>1</v>
      </c>
      <c r="L389" s="1119">
        <v>1</v>
      </c>
      <c r="M389" s="1120">
        <f t="shared" si="25"/>
        <v>4000</v>
      </c>
      <c r="N389" s="1121"/>
      <c r="O389" s="1121"/>
      <c r="P389" s="1120"/>
    </row>
    <row r="390" spans="1:16" ht="132" x14ac:dyDescent="0.2">
      <c r="A390" s="60"/>
      <c r="B390" s="415" t="s">
        <v>3709</v>
      </c>
      <c r="C390" s="60" t="s">
        <v>3710</v>
      </c>
      <c r="D390" s="416" t="s">
        <v>3737</v>
      </c>
      <c r="E390" s="564">
        <v>5000</v>
      </c>
      <c r="F390" s="415">
        <v>22487177</v>
      </c>
      <c r="G390" s="416" t="s">
        <v>3738</v>
      </c>
      <c r="H390" s="416" t="s">
        <v>3739</v>
      </c>
      <c r="I390" s="415" t="s">
        <v>3703</v>
      </c>
      <c r="J390" s="415" t="s">
        <v>3739</v>
      </c>
      <c r="K390" s="948">
        <v>1</v>
      </c>
      <c r="L390" s="1119">
        <v>5</v>
      </c>
      <c r="M390" s="1120">
        <f t="shared" si="25"/>
        <v>25000</v>
      </c>
      <c r="N390" s="1121"/>
      <c r="O390" s="1121"/>
      <c r="P390" s="1120"/>
    </row>
    <row r="391" spans="1:16" ht="132" x14ac:dyDescent="0.2">
      <c r="A391" s="60"/>
      <c r="B391" s="415" t="s">
        <v>3709</v>
      </c>
      <c r="C391" s="60" t="s">
        <v>3710</v>
      </c>
      <c r="D391" s="416" t="s">
        <v>3737</v>
      </c>
      <c r="E391" s="564">
        <v>4000</v>
      </c>
      <c r="F391" s="415">
        <v>22487177</v>
      </c>
      <c r="G391" s="416" t="s">
        <v>3738</v>
      </c>
      <c r="H391" s="416" t="s">
        <v>3739</v>
      </c>
      <c r="I391" s="415" t="s">
        <v>3703</v>
      </c>
      <c r="J391" s="415" t="s">
        <v>3739</v>
      </c>
      <c r="K391" s="948">
        <v>1</v>
      </c>
      <c r="L391" s="1119">
        <v>1</v>
      </c>
      <c r="M391" s="1120">
        <f t="shared" si="25"/>
        <v>4000</v>
      </c>
      <c r="N391" s="1121"/>
      <c r="O391" s="1121"/>
      <c r="P391" s="1120"/>
    </row>
    <row r="392" spans="1:16" ht="132" x14ac:dyDescent="0.2">
      <c r="A392" s="60"/>
      <c r="B392" s="415" t="s">
        <v>3709</v>
      </c>
      <c r="C392" s="60" t="s">
        <v>3710</v>
      </c>
      <c r="D392" s="416" t="s">
        <v>3737</v>
      </c>
      <c r="E392" s="564">
        <v>3274.25</v>
      </c>
      <c r="F392" s="415">
        <v>22487177</v>
      </c>
      <c r="G392" s="416" t="s">
        <v>3738</v>
      </c>
      <c r="H392" s="416" t="s">
        <v>3739</v>
      </c>
      <c r="I392" s="415" t="s">
        <v>3703</v>
      </c>
      <c r="J392" s="415" t="s">
        <v>3739</v>
      </c>
      <c r="K392" s="948">
        <v>1</v>
      </c>
      <c r="L392" s="1119">
        <v>1</v>
      </c>
      <c r="M392" s="1120">
        <f t="shared" si="25"/>
        <v>3274.25</v>
      </c>
      <c r="N392" s="1121"/>
      <c r="O392" s="1121"/>
      <c r="P392" s="1120"/>
    </row>
    <row r="393" spans="1:16" ht="180" x14ac:dyDescent="0.2">
      <c r="A393" s="60"/>
      <c r="B393" s="415" t="s">
        <v>3709</v>
      </c>
      <c r="C393" s="60" t="s">
        <v>3710</v>
      </c>
      <c r="D393" s="416" t="s">
        <v>3744</v>
      </c>
      <c r="E393" s="564">
        <v>5000</v>
      </c>
      <c r="F393" s="415">
        <v>41658889</v>
      </c>
      <c r="G393" s="416" t="s">
        <v>3754</v>
      </c>
      <c r="H393" s="416" t="s">
        <v>3742</v>
      </c>
      <c r="I393" s="415" t="s">
        <v>3703</v>
      </c>
      <c r="J393" s="415"/>
      <c r="K393" s="948">
        <v>1</v>
      </c>
      <c r="L393" s="1119">
        <v>3</v>
      </c>
      <c r="M393" s="1120">
        <f t="shared" si="25"/>
        <v>15000</v>
      </c>
      <c r="N393" s="1121"/>
      <c r="O393" s="1121"/>
      <c r="P393" s="1120"/>
    </row>
    <row r="394" spans="1:16" ht="180" x14ac:dyDescent="0.2">
      <c r="A394" s="60"/>
      <c r="B394" s="415" t="s">
        <v>3709</v>
      </c>
      <c r="C394" s="60" t="s">
        <v>3710</v>
      </c>
      <c r="D394" s="416" t="s">
        <v>3744</v>
      </c>
      <c r="E394" s="564">
        <v>4000</v>
      </c>
      <c r="F394" s="415">
        <v>41658889</v>
      </c>
      <c r="G394" s="416" t="s">
        <v>3754</v>
      </c>
      <c r="H394" s="416" t="s">
        <v>3742</v>
      </c>
      <c r="I394" s="415" t="s">
        <v>3703</v>
      </c>
      <c r="J394" s="415"/>
      <c r="K394" s="948">
        <v>1</v>
      </c>
      <c r="L394" s="1119">
        <v>3</v>
      </c>
      <c r="M394" s="1120">
        <f t="shared" si="25"/>
        <v>12000</v>
      </c>
      <c r="N394" s="1121"/>
      <c r="O394" s="1121"/>
      <c r="P394" s="1120"/>
    </row>
    <row r="395" spans="1:16" ht="180" x14ac:dyDescent="0.2">
      <c r="A395" s="60"/>
      <c r="B395" s="415" t="s">
        <v>3709</v>
      </c>
      <c r="C395" s="60" t="s">
        <v>3710</v>
      </c>
      <c r="D395" s="416" t="s">
        <v>3744</v>
      </c>
      <c r="E395" s="564">
        <v>3000</v>
      </c>
      <c r="F395" s="415">
        <v>41658889</v>
      </c>
      <c r="G395" s="416" t="s">
        <v>3754</v>
      </c>
      <c r="H395" s="416" t="s">
        <v>3742</v>
      </c>
      <c r="I395" s="415" t="s">
        <v>3703</v>
      </c>
      <c r="J395" s="415"/>
      <c r="K395" s="948">
        <v>1</v>
      </c>
      <c r="L395" s="1119">
        <v>1</v>
      </c>
      <c r="M395" s="1120">
        <f t="shared" si="25"/>
        <v>3000</v>
      </c>
      <c r="N395" s="1121"/>
      <c r="O395" s="1121"/>
      <c r="P395" s="1120"/>
    </row>
    <row r="396" spans="1:16" ht="84" x14ac:dyDescent="0.2">
      <c r="A396" s="60"/>
      <c r="B396" s="415" t="s">
        <v>3709</v>
      </c>
      <c r="C396" s="60" t="s">
        <v>3710</v>
      </c>
      <c r="D396" s="416" t="s">
        <v>3755</v>
      </c>
      <c r="E396" s="564">
        <v>6725.75</v>
      </c>
      <c r="F396" s="1118" t="s">
        <v>3723</v>
      </c>
      <c r="G396" s="416" t="s">
        <v>3724</v>
      </c>
      <c r="H396" s="416" t="s">
        <v>3725</v>
      </c>
      <c r="I396" s="415" t="s">
        <v>3703</v>
      </c>
      <c r="J396" s="415" t="s">
        <v>3726</v>
      </c>
      <c r="K396" s="948">
        <v>1</v>
      </c>
      <c r="L396" s="1119">
        <v>4</v>
      </c>
      <c r="M396" s="1120">
        <f t="shared" si="25"/>
        <v>26903</v>
      </c>
      <c r="N396" s="1121"/>
      <c r="O396" s="1121"/>
      <c r="P396" s="1120"/>
    </row>
    <row r="397" spans="1:16" ht="180" x14ac:dyDescent="0.2">
      <c r="A397" s="60"/>
      <c r="B397" s="415" t="s">
        <v>3709</v>
      </c>
      <c r="C397" s="60" t="s">
        <v>3710</v>
      </c>
      <c r="D397" s="416" t="s">
        <v>3744</v>
      </c>
      <c r="E397" s="564">
        <v>1500</v>
      </c>
      <c r="F397" s="415">
        <v>42695004</v>
      </c>
      <c r="G397" s="416" t="s">
        <v>3745</v>
      </c>
      <c r="H397" s="416" t="s">
        <v>3739</v>
      </c>
      <c r="I397" s="415" t="s">
        <v>3703</v>
      </c>
      <c r="J397" s="415" t="s">
        <v>3739</v>
      </c>
      <c r="K397" s="948">
        <v>1</v>
      </c>
      <c r="L397" s="1119">
        <v>1</v>
      </c>
      <c r="M397" s="1120">
        <f t="shared" si="25"/>
        <v>1500</v>
      </c>
      <c r="N397" s="1121"/>
      <c r="O397" s="1121"/>
      <c r="P397" s="1120"/>
    </row>
    <row r="398" spans="1:16" ht="96" x14ac:dyDescent="0.2">
      <c r="A398" s="60"/>
      <c r="B398" s="415" t="s">
        <v>3709</v>
      </c>
      <c r="C398" s="60" t="s">
        <v>3710</v>
      </c>
      <c r="D398" s="416" t="s">
        <v>3756</v>
      </c>
      <c r="E398" s="564">
        <v>5000</v>
      </c>
      <c r="F398" s="415">
        <v>42906041</v>
      </c>
      <c r="G398" s="416" t="s">
        <v>3757</v>
      </c>
      <c r="H398" s="416" t="s">
        <v>3758</v>
      </c>
      <c r="I398" s="415" t="s">
        <v>3703</v>
      </c>
      <c r="J398" s="415" t="s">
        <v>3759</v>
      </c>
      <c r="K398" s="948">
        <v>1</v>
      </c>
      <c r="L398" s="1119">
        <v>3</v>
      </c>
      <c r="M398" s="1120">
        <f t="shared" si="25"/>
        <v>15000</v>
      </c>
      <c r="N398" s="1121"/>
      <c r="O398" s="1121"/>
      <c r="P398" s="1120"/>
    </row>
    <row r="399" spans="1:16" ht="72" x14ac:dyDescent="0.2">
      <c r="A399" s="60"/>
      <c r="B399" s="415" t="s">
        <v>3092</v>
      </c>
      <c r="C399" s="60" t="s">
        <v>3710</v>
      </c>
      <c r="D399" s="416" t="s">
        <v>3760</v>
      </c>
      <c r="E399" s="564">
        <v>1000</v>
      </c>
      <c r="F399" s="1118" t="s">
        <v>3761</v>
      </c>
      <c r="G399" s="416" t="s">
        <v>3762</v>
      </c>
      <c r="H399" s="416" t="s">
        <v>3763</v>
      </c>
      <c r="I399" s="415"/>
      <c r="J399" s="415" t="s">
        <v>3717</v>
      </c>
      <c r="K399" s="948">
        <v>1</v>
      </c>
      <c r="L399" s="1119">
        <v>1</v>
      </c>
      <c r="M399" s="1120">
        <f t="shared" si="25"/>
        <v>1000</v>
      </c>
      <c r="N399" s="1121"/>
      <c r="O399" s="1121"/>
      <c r="P399" s="1120"/>
    </row>
    <row r="400" spans="1:16" ht="72" x14ac:dyDescent="0.2">
      <c r="A400" s="60"/>
      <c r="B400" s="415" t="s">
        <v>3092</v>
      </c>
      <c r="C400" s="60" t="s">
        <v>3710</v>
      </c>
      <c r="D400" s="416" t="s">
        <v>3760</v>
      </c>
      <c r="E400" s="564">
        <v>2000</v>
      </c>
      <c r="F400" s="1118" t="s">
        <v>3761</v>
      </c>
      <c r="G400" s="416" t="s">
        <v>3762</v>
      </c>
      <c r="H400" s="416" t="s">
        <v>3763</v>
      </c>
      <c r="I400" s="415"/>
      <c r="J400" s="415" t="s">
        <v>3717</v>
      </c>
      <c r="K400" s="948">
        <v>1</v>
      </c>
      <c r="L400" s="1119">
        <v>3</v>
      </c>
      <c r="M400" s="1120">
        <f t="shared" si="25"/>
        <v>6000</v>
      </c>
      <c r="N400" s="1121"/>
      <c r="O400" s="1121"/>
      <c r="P400" s="1120"/>
    </row>
    <row r="401" spans="1:16" ht="108" x14ac:dyDescent="0.2">
      <c r="A401" s="60"/>
      <c r="B401" s="415" t="s">
        <v>3092</v>
      </c>
      <c r="C401" s="60" t="s">
        <v>3710</v>
      </c>
      <c r="D401" s="416" t="s">
        <v>3746</v>
      </c>
      <c r="E401" s="564">
        <v>3000</v>
      </c>
      <c r="F401" s="415">
        <v>46985137</v>
      </c>
      <c r="G401" s="416" t="s">
        <v>3747</v>
      </c>
      <c r="H401" s="416" t="s">
        <v>3748</v>
      </c>
      <c r="I401" s="415" t="s">
        <v>3703</v>
      </c>
      <c r="J401" s="415" t="s">
        <v>3749</v>
      </c>
      <c r="K401" s="948">
        <v>2</v>
      </c>
      <c r="L401" s="1119">
        <v>9</v>
      </c>
      <c r="M401" s="1120">
        <f t="shared" si="25"/>
        <v>27000</v>
      </c>
      <c r="N401" s="1121"/>
      <c r="O401" s="1121"/>
      <c r="P401" s="1120"/>
    </row>
    <row r="402" spans="1:16" ht="96" x14ac:dyDescent="0.2">
      <c r="A402" s="60"/>
      <c r="B402" s="415" t="s">
        <v>3380</v>
      </c>
      <c r="C402" s="60" t="s">
        <v>3710</v>
      </c>
      <c r="D402" s="416" t="s">
        <v>3764</v>
      </c>
      <c r="E402" s="564">
        <v>4000</v>
      </c>
      <c r="F402" s="415">
        <v>41744439</v>
      </c>
      <c r="G402" s="416" t="s">
        <v>3765</v>
      </c>
      <c r="H402" s="416" t="s">
        <v>3742</v>
      </c>
      <c r="I402" s="415" t="s">
        <v>3703</v>
      </c>
      <c r="J402" s="415" t="s">
        <v>3766</v>
      </c>
      <c r="K402" s="948">
        <v>1</v>
      </c>
      <c r="L402" s="1119">
        <v>3</v>
      </c>
      <c r="M402" s="1120">
        <f t="shared" si="25"/>
        <v>12000</v>
      </c>
      <c r="N402" s="1121"/>
      <c r="O402" s="1121"/>
      <c r="P402" s="1120"/>
    </row>
    <row r="403" spans="1:16" ht="60" x14ac:dyDescent="0.2">
      <c r="A403" s="60"/>
      <c r="B403" s="415" t="s">
        <v>3380</v>
      </c>
      <c r="C403" s="60" t="s">
        <v>3710</v>
      </c>
      <c r="D403" s="416" t="s">
        <v>3730</v>
      </c>
      <c r="E403" s="564">
        <v>2000</v>
      </c>
      <c r="F403" s="415">
        <v>43687062</v>
      </c>
      <c r="G403" s="416" t="s">
        <v>3731</v>
      </c>
      <c r="H403" s="416" t="s">
        <v>3732</v>
      </c>
      <c r="I403" s="415"/>
      <c r="J403" s="415" t="s">
        <v>3717</v>
      </c>
      <c r="K403" s="948">
        <v>1</v>
      </c>
      <c r="L403" s="1119">
        <v>1</v>
      </c>
      <c r="M403" s="1120">
        <f t="shared" si="25"/>
        <v>2000</v>
      </c>
      <c r="N403" s="1121"/>
      <c r="O403" s="1121"/>
      <c r="P403" s="1120"/>
    </row>
    <row r="404" spans="1:16" ht="72" x14ac:dyDescent="0.2">
      <c r="A404" s="60"/>
      <c r="B404" s="415" t="s">
        <v>3380</v>
      </c>
      <c r="C404" s="60" t="s">
        <v>3710</v>
      </c>
      <c r="D404" s="416" t="s">
        <v>3760</v>
      </c>
      <c r="E404" s="564">
        <v>2000</v>
      </c>
      <c r="F404" s="1118" t="s">
        <v>3761</v>
      </c>
      <c r="G404" s="416" t="s">
        <v>3762</v>
      </c>
      <c r="H404" s="416" t="s">
        <v>3763</v>
      </c>
      <c r="I404" s="415"/>
      <c r="J404" s="415" t="s">
        <v>3717</v>
      </c>
      <c r="K404" s="948">
        <v>1</v>
      </c>
      <c r="L404" s="1119">
        <v>1</v>
      </c>
      <c r="M404" s="1120">
        <f t="shared" si="25"/>
        <v>2000</v>
      </c>
      <c r="N404" s="1121"/>
      <c r="O404" s="1121"/>
      <c r="P404" s="1120"/>
    </row>
    <row r="405" spans="1:16" ht="96" x14ac:dyDescent="0.2">
      <c r="A405" s="60"/>
      <c r="B405" s="415" t="s">
        <v>3380</v>
      </c>
      <c r="C405" s="60" t="s">
        <v>3710</v>
      </c>
      <c r="D405" s="416" t="s">
        <v>3711</v>
      </c>
      <c r="E405" s="564">
        <v>4000</v>
      </c>
      <c r="F405" s="415">
        <v>48112562</v>
      </c>
      <c r="G405" s="416" t="s">
        <v>3735</v>
      </c>
      <c r="H405" s="416" t="s">
        <v>3736</v>
      </c>
      <c r="I405" s="415" t="s">
        <v>3703</v>
      </c>
      <c r="J405" s="415" t="s">
        <v>3717</v>
      </c>
      <c r="K405" s="948">
        <v>1</v>
      </c>
      <c r="L405" s="1119">
        <v>1</v>
      </c>
      <c r="M405" s="1120">
        <f t="shared" si="25"/>
        <v>4000</v>
      </c>
      <c r="N405" s="1121"/>
      <c r="O405" s="1121"/>
      <c r="P405" s="1120"/>
    </row>
    <row r="406" spans="1:16" ht="96" x14ac:dyDescent="0.2">
      <c r="A406" s="60"/>
      <c r="B406" s="415" t="s">
        <v>3709</v>
      </c>
      <c r="C406" s="60" t="s">
        <v>3710</v>
      </c>
      <c r="D406" s="416" t="s">
        <v>3740</v>
      </c>
      <c r="E406" s="564">
        <v>5000</v>
      </c>
      <c r="F406" s="415">
        <v>41677855</v>
      </c>
      <c r="G406" s="416" t="s">
        <v>3741</v>
      </c>
      <c r="H406" s="416" t="s">
        <v>3742</v>
      </c>
      <c r="I406" s="415" t="s">
        <v>3703</v>
      </c>
      <c r="J406" s="415" t="s">
        <v>3743</v>
      </c>
      <c r="K406" s="948"/>
      <c r="L406" s="1119"/>
      <c r="M406" s="1120"/>
      <c r="N406" s="1119">
        <v>1</v>
      </c>
      <c r="O406" s="1119">
        <v>1</v>
      </c>
      <c r="P406" s="1120">
        <f>+E406*O406</f>
        <v>5000</v>
      </c>
    </row>
    <row r="407" spans="1:16" ht="96" x14ac:dyDescent="0.2">
      <c r="A407" s="60"/>
      <c r="B407" s="415" t="s">
        <v>3709</v>
      </c>
      <c r="C407" s="60" t="s">
        <v>3710</v>
      </c>
      <c r="D407" s="416" t="s">
        <v>3740</v>
      </c>
      <c r="E407" s="564">
        <v>6000</v>
      </c>
      <c r="F407" s="415">
        <v>41677855</v>
      </c>
      <c r="G407" s="416" t="s">
        <v>3741</v>
      </c>
      <c r="H407" s="416" t="s">
        <v>3742</v>
      </c>
      <c r="I407" s="415" t="s">
        <v>3703</v>
      </c>
      <c r="J407" s="415" t="s">
        <v>3743</v>
      </c>
      <c r="K407" s="948"/>
      <c r="L407" s="1119"/>
      <c r="M407" s="1120"/>
      <c r="N407" s="1119">
        <v>1</v>
      </c>
      <c r="O407" s="1119">
        <v>1</v>
      </c>
      <c r="P407" s="1120">
        <f t="shared" ref="P407:P432" si="26">+E407*O407</f>
        <v>6000</v>
      </c>
    </row>
    <row r="408" spans="1:16" ht="96" x14ac:dyDescent="0.2">
      <c r="A408" s="60"/>
      <c r="B408" s="415" t="s">
        <v>3709</v>
      </c>
      <c r="C408" s="60" t="s">
        <v>3710</v>
      </c>
      <c r="D408" s="416" t="s">
        <v>3740</v>
      </c>
      <c r="E408" s="564">
        <v>6500</v>
      </c>
      <c r="F408" s="415">
        <v>41677855</v>
      </c>
      <c r="G408" s="416" t="s">
        <v>3741</v>
      </c>
      <c r="H408" s="416" t="s">
        <v>3742</v>
      </c>
      <c r="I408" s="415" t="s">
        <v>3703</v>
      </c>
      <c r="J408" s="415" t="s">
        <v>3743</v>
      </c>
      <c r="K408" s="948"/>
      <c r="L408" s="1119"/>
      <c r="M408" s="1120"/>
      <c r="N408" s="1119">
        <v>1</v>
      </c>
      <c r="O408" s="1119">
        <v>4</v>
      </c>
      <c r="P408" s="1120">
        <f t="shared" si="26"/>
        <v>26000</v>
      </c>
    </row>
    <row r="409" spans="1:16" ht="132" x14ac:dyDescent="0.2">
      <c r="A409" s="60"/>
      <c r="B409" s="415" t="s">
        <v>3709</v>
      </c>
      <c r="C409" s="60" t="s">
        <v>3710</v>
      </c>
      <c r="D409" s="416" t="s">
        <v>3737</v>
      </c>
      <c r="E409" s="564">
        <v>5000</v>
      </c>
      <c r="F409" s="415">
        <v>22487177</v>
      </c>
      <c r="G409" s="416" t="s">
        <v>3738</v>
      </c>
      <c r="H409" s="416" t="s">
        <v>3739</v>
      </c>
      <c r="I409" s="415" t="s">
        <v>3703</v>
      </c>
      <c r="J409" s="415" t="s">
        <v>3739</v>
      </c>
      <c r="K409" s="948"/>
      <c r="L409" s="1119"/>
      <c r="M409" s="1120"/>
      <c r="N409" s="1119">
        <v>1</v>
      </c>
      <c r="O409" s="1119">
        <v>2</v>
      </c>
      <c r="P409" s="1120">
        <f t="shared" si="26"/>
        <v>10000</v>
      </c>
    </row>
    <row r="410" spans="1:16" ht="132" x14ac:dyDescent="0.2">
      <c r="A410" s="60"/>
      <c r="B410" s="415" t="s">
        <v>3709</v>
      </c>
      <c r="C410" s="60" t="s">
        <v>3710</v>
      </c>
      <c r="D410" s="416" t="s">
        <v>3737</v>
      </c>
      <c r="E410" s="564">
        <v>6250</v>
      </c>
      <c r="F410" s="1118" t="s">
        <v>3767</v>
      </c>
      <c r="G410" s="416" t="s">
        <v>3768</v>
      </c>
      <c r="H410" s="416" t="s">
        <v>3739</v>
      </c>
      <c r="I410" s="415" t="s">
        <v>3703</v>
      </c>
      <c r="J410" s="415" t="s">
        <v>3739</v>
      </c>
      <c r="K410" s="948"/>
      <c r="L410" s="1119"/>
      <c r="M410" s="1120"/>
      <c r="N410" s="1119">
        <v>1</v>
      </c>
      <c r="O410" s="1119">
        <v>3</v>
      </c>
      <c r="P410" s="1120">
        <f t="shared" si="26"/>
        <v>18750</v>
      </c>
    </row>
    <row r="411" spans="1:16" ht="84" x14ac:dyDescent="0.2">
      <c r="A411" s="60"/>
      <c r="B411" s="415" t="s">
        <v>3709</v>
      </c>
      <c r="C411" s="60" t="s">
        <v>3710</v>
      </c>
      <c r="D411" s="416" t="s">
        <v>3755</v>
      </c>
      <c r="E411" s="564">
        <v>5000</v>
      </c>
      <c r="F411" s="1118" t="s">
        <v>3723</v>
      </c>
      <c r="G411" s="416" t="s">
        <v>3724</v>
      </c>
      <c r="H411" s="416" t="s">
        <v>3725</v>
      </c>
      <c r="I411" s="415" t="s">
        <v>3703</v>
      </c>
      <c r="J411" s="415" t="s">
        <v>3726</v>
      </c>
      <c r="K411" s="948"/>
      <c r="L411" s="1119"/>
      <c r="M411" s="1120"/>
      <c r="N411" s="1119">
        <v>1</v>
      </c>
      <c r="O411" s="1119">
        <v>1</v>
      </c>
      <c r="P411" s="1120">
        <f t="shared" si="26"/>
        <v>5000</v>
      </c>
    </row>
    <row r="412" spans="1:16" ht="84" x14ac:dyDescent="0.2">
      <c r="A412" s="60"/>
      <c r="B412" s="415" t="s">
        <v>3709</v>
      </c>
      <c r="C412" s="60" t="s">
        <v>3710</v>
      </c>
      <c r="D412" s="416" t="s">
        <v>3755</v>
      </c>
      <c r="E412" s="564">
        <v>6000</v>
      </c>
      <c r="F412" s="1118" t="s">
        <v>3723</v>
      </c>
      <c r="G412" s="416" t="s">
        <v>3724</v>
      </c>
      <c r="H412" s="416" t="s">
        <v>3725</v>
      </c>
      <c r="I412" s="415" t="s">
        <v>3703</v>
      </c>
      <c r="J412" s="415" t="s">
        <v>3726</v>
      </c>
      <c r="K412" s="948"/>
      <c r="L412" s="1119"/>
      <c r="M412" s="1120"/>
      <c r="N412" s="1119">
        <v>1</v>
      </c>
      <c r="O412" s="1119">
        <v>5</v>
      </c>
      <c r="P412" s="1120">
        <f t="shared" si="26"/>
        <v>30000</v>
      </c>
    </row>
    <row r="413" spans="1:16" ht="96" x14ac:dyDescent="0.2">
      <c r="A413" s="60"/>
      <c r="B413" s="415" t="s">
        <v>3709</v>
      </c>
      <c r="C413" s="60" t="s">
        <v>3710</v>
      </c>
      <c r="D413" s="416" t="s">
        <v>3711</v>
      </c>
      <c r="E413" s="564">
        <v>5000</v>
      </c>
      <c r="F413" s="415">
        <v>42368283</v>
      </c>
      <c r="G413" s="416" t="s">
        <v>3769</v>
      </c>
      <c r="H413" s="416" t="s">
        <v>3736</v>
      </c>
      <c r="I413" s="415" t="s">
        <v>3703</v>
      </c>
      <c r="J413" s="415" t="s">
        <v>3770</v>
      </c>
      <c r="K413" s="948"/>
      <c r="L413" s="1119"/>
      <c r="M413" s="1120"/>
      <c r="N413" s="1119">
        <v>1</v>
      </c>
      <c r="O413" s="1119">
        <v>1</v>
      </c>
      <c r="P413" s="1120">
        <f t="shared" si="26"/>
        <v>5000</v>
      </c>
    </row>
    <row r="414" spans="1:16" ht="120" x14ac:dyDescent="0.2">
      <c r="A414" s="60"/>
      <c r="B414" s="415" t="s">
        <v>3709</v>
      </c>
      <c r="C414" s="60" t="s">
        <v>3710</v>
      </c>
      <c r="D414" s="416" t="s">
        <v>3714</v>
      </c>
      <c r="E414" s="564">
        <v>2700</v>
      </c>
      <c r="F414" s="1118" t="s">
        <v>3715</v>
      </c>
      <c r="G414" s="416" t="s">
        <v>3716</v>
      </c>
      <c r="H414" s="416"/>
      <c r="I414" s="415"/>
      <c r="J414" s="415" t="s">
        <v>3717</v>
      </c>
      <c r="K414" s="948"/>
      <c r="L414" s="1119"/>
      <c r="M414" s="1120"/>
      <c r="N414" s="1119">
        <v>1</v>
      </c>
      <c r="O414" s="1119">
        <v>4</v>
      </c>
      <c r="P414" s="1120">
        <f t="shared" si="26"/>
        <v>10800</v>
      </c>
    </row>
    <row r="415" spans="1:16" ht="144" x14ac:dyDescent="0.2">
      <c r="A415" s="60"/>
      <c r="B415" s="415" t="s">
        <v>3709</v>
      </c>
      <c r="C415" s="60" t="s">
        <v>3710</v>
      </c>
      <c r="D415" s="416" t="s">
        <v>3750</v>
      </c>
      <c r="E415" s="564">
        <v>3000</v>
      </c>
      <c r="F415" s="415">
        <v>48986659</v>
      </c>
      <c r="G415" s="416" t="s">
        <v>3751</v>
      </c>
      <c r="H415" s="416" t="s">
        <v>3739</v>
      </c>
      <c r="I415" s="415" t="s">
        <v>3703</v>
      </c>
      <c r="J415" s="415" t="s">
        <v>3717</v>
      </c>
      <c r="K415" s="948"/>
      <c r="L415" s="1119"/>
      <c r="M415" s="1120"/>
      <c r="N415" s="1119">
        <v>1</v>
      </c>
      <c r="O415" s="1119">
        <v>3</v>
      </c>
      <c r="P415" s="1120">
        <f t="shared" si="26"/>
        <v>9000</v>
      </c>
    </row>
    <row r="416" spans="1:16" ht="132" x14ac:dyDescent="0.2">
      <c r="A416" s="60"/>
      <c r="B416" s="415" t="s">
        <v>3709</v>
      </c>
      <c r="C416" s="60" t="s">
        <v>3710</v>
      </c>
      <c r="D416" s="416" t="s">
        <v>3727</v>
      </c>
      <c r="E416" s="564">
        <v>3000</v>
      </c>
      <c r="F416" s="415">
        <v>70987144</v>
      </c>
      <c r="G416" s="416" t="s">
        <v>3728</v>
      </c>
      <c r="H416" s="416" t="s">
        <v>3729</v>
      </c>
      <c r="I416" s="415" t="s">
        <v>3703</v>
      </c>
      <c r="J416" s="415" t="s">
        <v>3717</v>
      </c>
      <c r="K416" s="948"/>
      <c r="L416" s="1119"/>
      <c r="M416" s="1120"/>
      <c r="N416" s="1119">
        <v>1</v>
      </c>
      <c r="O416" s="1119">
        <v>1</v>
      </c>
      <c r="P416" s="1120">
        <f t="shared" si="26"/>
        <v>3000</v>
      </c>
    </row>
    <row r="417" spans="1:16" ht="132" x14ac:dyDescent="0.2">
      <c r="A417" s="60"/>
      <c r="B417" s="415" t="s">
        <v>3709</v>
      </c>
      <c r="C417" s="60" t="s">
        <v>3710</v>
      </c>
      <c r="D417" s="416" t="s">
        <v>3727</v>
      </c>
      <c r="E417" s="564">
        <v>2300</v>
      </c>
      <c r="F417" s="415">
        <v>70987144</v>
      </c>
      <c r="G417" s="416" t="s">
        <v>3728</v>
      </c>
      <c r="H417" s="416" t="s">
        <v>3729</v>
      </c>
      <c r="I417" s="415" t="s">
        <v>3703</v>
      </c>
      <c r="J417" s="415" t="s">
        <v>3717</v>
      </c>
      <c r="K417" s="948"/>
      <c r="L417" s="1119"/>
      <c r="M417" s="1120"/>
      <c r="N417" s="1119">
        <v>1</v>
      </c>
      <c r="O417" s="1119">
        <v>2</v>
      </c>
      <c r="P417" s="1120">
        <f t="shared" si="26"/>
        <v>4600</v>
      </c>
    </row>
    <row r="418" spans="1:16" ht="108" x14ac:dyDescent="0.2">
      <c r="A418" s="60"/>
      <c r="B418" s="415" t="s">
        <v>3709</v>
      </c>
      <c r="C418" s="60" t="s">
        <v>3710</v>
      </c>
      <c r="D418" s="416" t="s">
        <v>3718</v>
      </c>
      <c r="E418" s="564">
        <v>1500</v>
      </c>
      <c r="F418" s="415">
        <v>80469790</v>
      </c>
      <c r="G418" s="60" t="s">
        <v>3719</v>
      </c>
      <c r="H418" s="415"/>
      <c r="I418" s="415"/>
      <c r="J418" s="415" t="s">
        <v>3717</v>
      </c>
      <c r="K418" s="948"/>
      <c r="L418" s="1119"/>
      <c r="M418" s="1120"/>
      <c r="N418" s="1119">
        <v>1</v>
      </c>
      <c r="O418" s="1119">
        <v>1</v>
      </c>
      <c r="P418" s="1120">
        <f t="shared" si="26"/>
        <v>1500</v>
      </c>
    </row>
    <row r="419" spans="1:16" ht="120" x14ac:dyDescent="0.2">
      <c r="A419" s="60"/>
      <c r="B419" s="415" t="s">
        <v>3709</v>
      </c>
      <c r="C419" s="60" t="s">
        <v>3710</v>
      </c>
      <c r="D419" s="416" t="s">
        <v>3720</v>
      </c>
      <c r="E419" s="564">
        <v>2500</v>
      </c>
      <c r="F419" s="415">
        <v>15858642</v>
      </c>
      <c r="G419" s="60" t="s">
        <v>3721</v>
      </c>
      <c r="H419" s="415"/>
      <c r="I419" s="415"/>
      <c r="J419" s="415" t="s">
        <v>3717</v>
      </c>
      <c r="K419" s="948"/>
      <c r="L419" s="1119"/>
      <c r="M419" s="1120"/>
      <c r="N419" s="1119">
        <v>1</v>
      </c>
      <c r="O419" s="1119">
        <v>2</v>
      </c>
      <c r="P419" s="1120">
        <f t="shared" si="26"/>
        <v>5000</v>
      </c>
    </row>
    <row r="420" spans="1:16" ht="60" x14ac:dyDescent="0.2">
      <c r="A420" s="60"/>
      <c r="B420" s="415" t="s">
        <v>3709</v>
      </c>
      <c r="C420" s="60" t="s">
        <v>3710</v>
      </c>
      <c r="D420" s="416" t="s">
        <v>3730</v>
      </c>
      <c r="E420" s="564">
        <v>2000</v>
      </c>
      <c r="F420" s="415">
        <v>43687062</v>
      </c>
      <c r="G420" s="416" t="s">
        <v>3731</v>
      </c>
      <c r="H420" s="416" t="s">
        <v>3732</v>
      </c>
      <c r="I420" s="415"/>
      <c r="J420" s="415" t="s">
        <v>3717</v>
      </c>
      <c r="K420" s="948"/>
      <c r="L420" s="1119"/>
      <c r="M420" s="1120"/>
      <c r="N420" s="1119">
        <v>1</v>
      </c>
      <c r="O420" s="1119">
        <v>2</v>
      </c>
      <c r="P420" s="1120">
        <f t="shared" si="26"/>
        <v>4000</v>
      </c>
    </row>
    <row r="421" spans="1:16" ht="96" x14ac:dyDescent="0.2">
      <c r="A421" s="60"/>
      <c r="B421" s="415" t="s">
        <v>3709</v>
      </c>
      <c r="C421" s="60" t="s">
        <v>3710</v>
      </c>
      <c r="D421" s="416" t="s">
        <v>3711</v>
      </c>
      <c r="E421" s="564">
        <v>2650</v>
      </c>
      <c r="F421" s="415">
        <v>48112562</v>
      </c>
      <c r="G421" s="416" t="s">
        <v>3735</v>
      </c>
      <c r="H421" s="416" t="s">
        <v>3736</v>
      </c>
      <c r="I421" s="415" t="s">
        <v>3703</v>
      </c>
      <c r="J421" s="415" t="s">
        <v>3717</v>
      </c>
      <c r="K421" s="948"/>
      <c r="L421" s="1119"/>
      <c r="M421" s="1120"/>
      <c r="N421" s="1119">
        <v>1</v>
      </c>
      <c r="O421" s="1119">
        <v>3</v>
      </c>
      <c r="P421" s="1120">
        <f t="shared" si="26"/>
        <v>7950</v>
      </c>
    </row>
    <row r="422" spans="1:16" ht="156" x14ac:dyDescent="0.2">
      <c r="A422" s="60"/>
      <c r="B422" s="415" t="s">
        <v>3092</v>
      </c>
      <c r="C422" s="60" t="s">
        <v>3710</v>
      </c>
      <c r="D422" s="416" t="s">
        <v>3771</v>
      </c>
      <c r="E422" s="564">
        <v>2500</v>
      </c>
      <c r="F422" s="415">
        <v>74457987</v>
      </c>
      <c r="G422" s="416" t="s">
        <v>3772</v>
      </c>
      <c r="H422" s="416" t="s">
        <v>3773</v>
      </c>
      <c r="I422" s="415" t="s">
        <v>3703</v>
      </c>
      <c r="J422" s="415" t="s">
        <v>3774</v>
      </c>
      <c r="K422" s="948"/>
      <c r="L422" s="1119"/>
      <c r="M422" s="1120"/>
      <c r="N422" s="1119">
        <v>1</v>
      </c>
      <c r="O422" s="1119">
        <v>1</v>
      </c>
      <c r="P422" s="1120">
        <f t="shared" si="26"/>
        <v>2500</v>
      </c>
    </row>
    <row r="423" spans="1:16" ht="60" x14ac:dyDescent="0.2">
      <c r="A423" s="60"/>
      <c r="B423" s="415" t="s">
        <v>3092</v>
      </c>
      <c r="C423" s="60" t="s">
        <v>3710</v>
      </c>
      <c r="D423" s="416" t="s">
        <v>3775</v>
      </c>
      <c r="E423" s="564">
        <v>2700</v>
      </c>
      <c r="F423" s="415">
        <v>46006730</v>
      </c>
      <c r="G423" s="416" t="s">
        <v>3776</v>
      </c>
      <c r="H423" s="416" t="s">
        <v>3777</v>
      </c>
      <c r="I423" s="415" t="s">
        <v>3703</v>
      </c>
      <c r="J423" s="415" t="s">
        <v>3778</v>
      </c>
      <c r="K423" s="948"/>
      <c r="L423" s="1119"/>
      <c r="M423" s="1120"/>
      <c r="N423" s="1119">
        <v>1</v>
      </c>
      <c r="O423" s="1119">
        <v>1</v>
      </c>
      <c r="P423" s="1120">
        <f t="shared" si="26"/>
        <v>2700</v>
      </c>
    </row>
    <row r="424" spans="1:16" ht="108" x14ac:dyDescent="0.2">
      <c r="A424" s="60"/>
      <c r="B424" s="415" t="s">
        <v>3092</v>
      </c>
      <c r="C424" s="60" t="s">
        <v>3710</v>
      </c>
      <c r="D424" s="416" t="s">
        <v>3718</v>
      </c>
      <c r="E424" s="564">
        <v>1500</v>
      </c>
      <c r="F424" s="415">
        <v>80469790</v>
      </c>
      <c r="G424" s="60" t="s">
        <v>3719</v>
      </c>
      <c r="H424" s="415"/>
      <c r="I424" s="415"/>
      <c r="J424" s="415" t="s">
        <v>3717</v>
      </c>
      <c r="K424" s="948"/>
      <c r="L424" s="1119"/>
      <c r="M424" s="1120"/>
      <c r="N424" s="1119">
        <v>1</v>
      </c>
      <c r="O424" s="1119">
        <v>1</v>
      </c>
      <c r="P424" s="1120">
        <f t="shared" si="26"/>
        <v>1500</v>
      </c>
    </row>
    <row r="425" spans="1:16" ht="60" x14ac:dyDescent="0.2">
      <c r="A425" s="60"/>
      <c r="B425" s="415" t="s">
        <v>3092</v>
      </c>
      <c r="C425" s="60" t="s">
        <v>3710</v>
      </c>
      <c r="D425" s="416" t="s">
        <v>3730</v>
      </c>
      <c r="E425" s="564">
        <v>2500</v>
      </c>
      <c r="F425" s="415">
        <v>43687062</v>
      </c>
      <c r="G425" s="416" t="s">
        <v>3731</v>
      </c>
      <c r="H425" s="416" t="s">
        <v>3732</v>
      </c>
      <c r="I425" s="415"/>
      <c r="J425" s="415" t="s">
        <v>3717</v>
      </c>
      <c r="K425" s="948"/>
      <c r="L425" s="1119"/>
      <c r="M425" s="1120"/>
      <c r="N425" s="1119">
        <v>1</v>
      </c>
      <c r="O425" s="1119">
        <v>1</v>
      </c>
      <c r="P425" s="1120">
        <f t="shared" si="26"/>
        <v>2500</v>
      </c>
    </row>
    <row r="426" spans="1:16" ht="120" x14ac:dyDescent="0.2">
      <c r="A426" s="60"/>
      <c r="B426" s="415" t="s">
        <v>3092</v>
      </c>
      <c r="C426" s="60" t="s">
        <v>3710</v>
      </c>
      <c r="D426" s="416" t="s">
        <v>3720</v>
      </c>
      <c r="E426" s="564">
        <v>2800</v>
      </c>
      <c r="F426" s="415">
        <v>15858642</v>
      </c>
      <c r="G426" s="60" t="s">
        <v>3721</v>
      </c>
      <c r="H426" s="415"/>
      <c r="I426" s="415"/>
      <c r="J426" s="415" t="s">
        <v>3717</v>
      </c>
      <c r="K426" s="948"/>
      <c r="L426" s="1119"/>
      <c r="M426" s="1120"/>
      <c r="N426" s="1119">
        <v>1</v>
      </c>
      <c r="O426" s="1119">
        <v>2</v>
      </c>
      <c r="P426" s="1120">
        <f t="shared" si="26"/>
        <v>5600</v>
      </c>
    </row>
    <row r="427" spans="1:16" ht="120" x14ac:dyDescent="0.2">
      <c r="A427" s="60"/>
      <c r="B427" s="415" t="s">
        <v>3092</v>
      </c>
      <c r="C427" s="60" t="s">
        <v>3710</v>
      </c>
      <c r="D427" s="416" t="s">
        <v>3714</v>
      </c>
      <c r="E427" s="564">
        <v>2800</v>
      </c>
      <c r="F427" s="1118" t="s">
        <v>3715</v>
      </c>
      <c r="G427" s="416" t="s">
        <v>3716</v>
      </c>
      <c r="H427" s="416"/>
      <c r="I427" s="415"/>
      <c r="J427" s="415" t="s">
        <v>3717</v>
      </c>
      <c r="K427" s="948"/>
      <c r="L427" s="1119"/>
      <c r="M427" s="1120"/>
      <c r="N427" s="1119">
        <v>1</v>
      </c>
      <c r="O427" s="1119">
        <v>1</v>
      </c>
      <c r="P427" s="1120">
        <f t="shared" si="26"/>
        <v>2800</v>
      </c>
    </row>
    <row r="428" spans="1:16" ht="156" x14ac:dyDescent="0.2">
      <c r="A428" s="60"/>
      <c r="B428" s="415" t="s">
        <v>3380</v>
      </c>
      <c r="C428" s="60" t="s">
        <v>3710</v>
      </c>
      <c r="D428" s="416" t="s">
        <v>3771</v>
      </c>
      <c r="E428" s="564">
        <v>2500</v>
      </c>
      <c r="F428" s="415">
        <v>74457987</v>
      </c>
      <c r="G428" s="416" t="s">
        <v>3772</v>
      </c>
      <c r="H428" s="416" t="s">
        <v>3773</v>
      </c>
      <c r="I428" s="415" t="s">
        <v>3703</v>
      </c>
      <c r="J428" s="415" t="s">
        <v>3774</v>
      </c>
      <c r="K428" s="948"/>
      <c r="L428" s="1119"/>
      <c r="M428" s="1120"/>
      <c r="N428" s="1119">
        <v>1</v>
      </c>
      <c r="O428" s="1119">
        <v>3</v>
      </c>
      <c r="P428" s="1120">
        <f t="shared" si="26"/>
        <v>7500</v>
      </c>
    </row>
    <row r="429" spans="1:16" ht="60" x14ac:dyDescent="0.2">
      <c r="A429" s="60"/>
      <c r="B429" s="415" t="s">
        <v>3380</v>
      </c>
      <c r="C429" s="60" t="s">
        <v>3710</v>
      </c>
      <c r="D429" s="416" t="s">
        <v>3775</v>
      </c>
      <c r="E429" s="564">
        <v>2700</v>
      </c>
      <c r="F429" s="415">
        <v>46006730</v>
      </c>
      <c r="G429" s="416" t="s">
        <v>3776</v>
      </c>
      <c r="H429" s="416" t="s">
        <v>3777</v>
      </c>
      <c r="I429" s="415" t="s">
        <v>3703</v>
      </c>
      <c r="J429" s="415" t="s">
        <v>3778</v>
      </c>
      <c r="K429" s="948"/>
      <c r="L429" s="1119"/>
      <c r="M429" s="1120"/>
      <c r="N429" s="1119">
        <v>1</v>
      </c>
      <c r="O429" s="1119">
        <v>1</v>
      </c>
      <c r="P429" s="1120">
        <f t="shared" si="26"/>
        <v>2700</v>
      </c>
    </row>
    <row r="430" spans="1:16" ht="60" x14ac:dyDescent="0.2">
      <c r="A430" s="60"/>
      <c r="B430" s="415" t="s">
        <v>3380</v>
      </c>
      <c r="C430" s="60" t="s">
        <v>3710</v>
      </c>
      <c r="D430" s="416" t="s">
        <v>3775</v>
      </c>
      <c r="E430" s="564">
        <v>2500</v>
      </c>
      <c r="F430" s="415">
        <v>46006730</v>
      </c>
      <c r="G430" s="416" t="s">
        <v>3776</v>
      </c>
      <c r="H430" s="416" t="s">
        <v>3777</v>
      </c>
      <c r="I430" s="415" t="s">
        <v>3703</v>
      </c>
      <c r="J430" s="415" t="s">
        <v>3778</v>
      </c>
      <c r="K430" s="948"/>
      <c r="L430" s="1119"/>
      <c r="M430" s="1120"/>
      <c r="N430" s="1119">
        <v>1</v>
      </c>
      <c r="O430" s="1119">
        <v>2</v>
      </c>
      <c r="P430" s="1120">
        <f t="shared" si="26"/>
        <v>5000</v>
      </c>
    </row>
    <row r="431" spans="1:16" ht="60" x14ac:dyDescent="0.2">
      <c r="A431" s="60"/>
      <c r="B431" s="415" t="s">
        <v>3380</v>
      </c>
      <c r="C431" s="60" t="s">
        <v>3710</v>
      </c>
      <c r="D431" s="416" t="s">
        <v>3730</v>
      </c>
      <c r="E431" s="564">
        <v>2000</v>
      </c>
      <c r="F431" s="415">
        <v>43687062</v>
      </c>
      <c r="G431" s="416" t="s">
        <v>3731</v>
      </c>
      <c r="H431" s="416" t="s">
        <v>3732</v>
      </c>
      <c r="I431" s="415"/>
      <c r="J431" s="415" t="s">
        <v>3717</v>
      </c>
      <c r="K431" s="948"/>
      <c r="L431" s="1119"/>
      <c r="M431" s="1120"/>
      <c r="N431" s="1119">
        <v>1</v>
      </c>
      <c r="O431" s="1119">
        <v>1</v>
      </c>
      <c r="P431" s="1120">
        <f t="shared" si="26"/>
        <v>2000</v>
      </c>
    </row>
    <row r="432" spans="1:16" ht="108" x14ac:dyDescent="0.2">
      <c r="A432" s="60"/>
      <c r="B432" s="415" t="s">
        <v>3380</v>
      </c>
      <c r="C432" s="60" t="s">
        <v>3710</v>
      </c>
      <c r="D432" s="416" t="s">
        <v>3718</v>
      </c>
      <c r="E432" s="564">
        <v>1500</v>
      </c>
      <c r="F432" s="415">
        <v>80469790</v>
      </c>
      <c r="G432" s="60" t="s">
        <v>3719</v>
      </c>
      <c r="H432" s="415"/>
      <c r="I432" s="415"/>
      <c r="J432" s="415" t="s">
        <v>3717</v>
      </c>
      <c r="K432" s="948"/>
      <c r="L432" s="1119"/>
      <c r="M432" s="1120"/>
      <c r="N432" s="1119">
        <v>1</v>
      </c>
      <c r="O432" s="1119">
        <v>1</v>
      </c>
      <c r="P432" s="1120">
        <f t="shared" si="26"/>
        <v>1500</v>
      </c>
    </row>
    <row r="433" spans="1:16" x14ac:dyDescent="0.2">
      <c r="A433" s="60"/>
      <c r="B433" s="416"/>
      <c r="C433" s="60"/>
      <c r="D433" s="416"/>
      <c r="E433" s="564"/>
      <c r="F433" s="416"/>
      <c r="G433" s="416"/>
      <c r="H433" s="416"/>
      <c r="I433" s="415"/>
      <c r="J433" s="415"/>
      <c r="K433" s="948"/>
      <c r="L433" s="1119"/>
      <c r="M433" s="1120"/>
      <c r="N433" s="1121"/>
      <c r="O433" s="1121"/>
      <c r="P433" s="1120"/>
    </row>
    <row r="434" spans="1:16" x14ac:dyDescent="0.2">
      <c r="A434" s="60"/>
      <c r="B434" s="1541" t="s">
        <v>3485</v>
      </c>
      <c r="C434" s="1541"/>
      <c r="D434" s="1541"/>
      <c r="E434" s="1197">
        <f>SUM(E360:E433)</f>
        <v>240400</v>
      </c>
      <c r="F434" s="1118"/>
      <c r="G434" s="416"/>
      <c r="H434" s="416"/>
      <c r="I434" s="415"/>
      <c r="J434" s="415"/>
      <c r="K434" s="948"/>
      <c r="L434" s="1119"/>
      <c r="M434" s="1198"/>
      <c r="N434" s="1199"/>
      <c r="O434" s="1199"/>
      <c r="P434" s="1198">
        <f>SUM(P360:P433)</f>
        <v>187900</v>
      </c>
    </row>
    <row r="435" spans="1:16" x14ac:dyDescent="0.2">
      <c r="A435" s="869"/>
      <c r="B435" s="1529" t="s">
        <v>169</v>
      </c>
      <c r="C435" s="1529"/>
      <c r="D435" s="1529"/>
      <c r="E435" s="565">
        <f>E434+E359</f>
        <v>254981</v>
      </c>
      <c r="F435" s="433"/>
      <c r="G435" s="1176"/>
      <c r="H435" s="1176"/>
      <c r="I435" s="1178"/>
      <c r="J435" s="1178"/>
      <c r="K435" s="1358"/>
      <c r="L435" s="1179"/>
      <c r="M435" s="1180"/>
      <c r="N435" s="1177"/>
      <c r="O435" s="1177"/>
      <c r="P435" s="1156">
        <f>P434+P359</f>
        <v>275644</v>
      </c>
    </row>
    <row r="436" spans="1:16" x14ac:dyDescent="0.2">
      <c r="A436" s="63"/>
      <c r="C436" s="63"/>
      <c r="E436" s="63"/>
      <c r="I436" s="63"/>
      <c r="J436" s="63"/>
      <c r="L436" s="63"/>
      <c r="M436" s="63"/>
      <c r="P436" s="63"/>
    </row>
    <row r="437" spans="1:16" x14ac:dyDescent="0.2">
      <c r="A437" s="63"/>
      <c r="C437" s="63"/>
      <c r="E437" s="63"/>
      <c r="I437" s="63"/>
      <c r="J437" s="63"/>
      <c r="L437" s="63"/>
      <c r="M437" s="63"/>
      <c r="P437" s="63"/>
    </row>
    <row r="438" spans="1:16" ht="36" x14ac:dyDescent="0.2">
      <c r="A438" s="869" t="s">
        <v>426</v>
      </c>
      <c r="B438" s="1154"/>
      <c r="C438" s="851"/>
      <c r="D438" s="1176"/>
      <c r="E438" s="1177"/>
      <c r="F438" s="1176"/>
      <c r="G438" s="1176"/>
      <c r="H438" s="1176"/>
      <c r="I438" s="1178"/>
      <c r="J438" s="1178"/>
      <c r="K438" s="1358"/>
      <c r="L438" s="1179"/>
      <c r="M438" s="1180"/>
      <c r="N438" s="1176"/>
      <c r="O438" s="1176"/>
      <c r="P438" s="1180"/>
    </row>
    <row r="439" spans="1:16" x14ac:dyDescent="0.2">
      <c r="A439" s="1529" t="s">
        <v>3075</v>
      </c>
      <c r="B439" s="1529"/>
      <c r="C439" s="1529"/>
      <c r="D439" s="1529"/>
      <c r="E439" s="1529"/>
      <c r="F439" s="1529" t="s">
        <v>3076</v>
      </c>
      <c r="G439" s="1529"/>
      <c r="H439" s="1529"/>
      <c r="I439" s="1529"/>
      <c r="J439" s="1529"/>
      <c r="K439" s="1528" t="s">
        <v>3779</v>
      </c>
      <c r="L439" s="1528"/>
      <c r="M439" s="1528"/>
      <c r="N439" s="1528" t="s">
        <v>3780</v>
      </c>
      <c r="O439" s="1528"/>
      <c r="P439" s="1528"/>
    </row>
    <row r="440" spans="1:16" ht="105" x14ac:dyDescent="0.2">
      <c r="A440" s="869" t="s">
        <v>2829</v>
      </c>
      <c r="B440" s="433" t="s">
        <v>3079</v>
      </c>
      <c r="C440" s="869" t="s">
        <v>3080</v>
      </c>
      <c r="D440" s="433" t="s">
        <v>3081</v>
      </c>
      <c r="E440" s="565" t="s">
        <v>3082</v>
      </c>
      <c r="F440" s="433" t="s">
        <v>3083</v>
      </c>
      <c r="G440" s="433" t="s">
        <v>3084</v>
      </c>
      <c r="H440" s="433" t="s">
        <v>3085</v>
      </c>
      <c r="I440" s="433" t="s">
        <v>3086</v>
      </c>
      <c r="J440" s="433" t="s">
        <v>3087</v>
      </c>
      <c r="K440" s="1354" t="s">
        <v>3088</v>
      </c>
      <c r="L440" s="1157" t="s">
        <v>3089</v>
      </c>
      <c r="M440" s="698" t="s">
        <v>3090</v>
      </c>
      <c r="N440" s="1157" t="s">
        <v>3088</v>
      </c>
      <c r="O440" s="1157" t="s">
        <v>3089</v>
      </c>
      <c r="P440" s="698" t="s">
        <v>3090</v>
      </c>
    </row>
    <row r="441" spans="1:16" ht="13.5" x14ac:dyDescent="0.2">
      <c r="A441" s="1132" t="s">
        <v>3781</v>
      </c>
      <c r="B441" s="1123" t="s">
        <v>3782</v>
      </c>
      <c r="C441" s="1080" t="s">
        <v>398</v>
      </c>
      <c r="D441" s="1109" t="s">
        <v>3164</v>
      </c>
      <c r="E441" s="1131">
        <v>2200</v>
      </c>
      <c r="F441" s="1069">
        <v>70769304</v>
      </c>
      <c r="G441" s="151" t="s">
        <v>3783</v>
      </c>
      <c r="H441" s="151" t="s">
        <v>3164</v>
      </c>
      <c r="I441" s="1126" t="s">
        <v>3615</v>
      </c>
      <c r="J441" s="1133" t="s">
        <v>3164</v>
      </c>
      <c r="K441" s="1361" t="s">
        <v>430</v>
      </c>
      <c r="L441" s="1128" t="s">
        <v>638</v>
      </c>
      <c r="M441" s="1129">
        <v>17600</v>
      </c>
      <c r="N441" s="1128" t="s">
        <v>3604</v>
      </c>
      <c r="O441" s="1128" t="s">
        <v>3604</v>
      </c>
      <c r="P441" s="1129">
        <v>26600</v>
      </c>
    </row>
    <row r="442" spans="1:16" ht="13.5" x14ac:dyDescent="0.2">
      <c r="A442" s="1132"/>
      <c r="B442" s="1539" t="s">
        <v>3485</v>
      </c>
      <c r="C442" s="1539"/>
      <c r="D442" s="1539"/>
      <c r="E442" s="1131">
        <v>2200</v>
      </c>
      <c r="F442" s="1069"/>
      <c r="G442" s="151"/>
      <c r="H442" s="151"/>
      <c r="I442" s="1126"/>
      <c r="J442" s="1133"/>
      <c r="K442" s="1361"/>
      <c r="L442" s="1128"/>
      <c r="M442" s="1129">
        <f>SUM(M441)</f>
        <v>17600</v>
      </c>
      <c r="N442" s="1128"/>
      <c r="O442" s="1128"/>
      <c r="P442" s="1129">
        <f>SUM(P441)</f>
        <v>26600</v>
      </c>
    </row>
    <row r="443" spans="1:16" ht="27" x14ac:dyDescent="0.2">
      <c r="A443" s="1132" t="s">
        <v>3781</v>
      </c>
      <c r="B443" s="1109" t="s">
        <v>3782</v>
      </c>
      <c r="C443" s="1132" t="s">
        <v>3784</v>
      </c>
      <c r="D443" s="1108" t="s">
        <v>3785</v>
      </c>
      <c r="E443" s="1124">
        <v>930</v>
      </c>
      <c r="F443" s="1125" t="s">
        <v>3786</v>
      </c>
      <c r="G443" s="153" t="s">
        <v>3787</v>
      </c>
      <c r="H443" s="151" t="s">
        <v>3788</v>
      </c>
      <c r="I443" s="1126" t="s">
        <v>3789</v>
      </c>
      <c r="J443" s="1127" t="s">
        <v>3788</v>
      </c>
      <c r="K443" s="1361" t="s">
        <v>430</v>
      </c>
      <c r="L443" s="1128" t="s">
        <v>430</v>
      </c>
      <c r="M443" s="1129">
        <f t="shared" ref="M443:M457" si="27">+E443*L443</f>
        <v>5580</v>
      </c>
      <c r="N443" s="1128" t="s">
        <v>3604</v>
      </c>
      <c r="O443" s="1128" t="s">
        <v>3604</v>
      </c>
      <c r="P443" s="1129">
        <f t="shared" ref="P443:P480" si="28">+O443*E443</f>
        <v>11160</v>
      </c>
    </row>
    <row r="444" spans="1:16" ht="27" x14ac:dyDescent="0.2">
      <c r="A444" s="1132" t="s">
        <v>3781</v>
      </c>
      <c r="B444" s="1109" t="s">
        <v>3782</v>
      </c>
      <c r="C444" s="1132" t="s">
        <v>3784</v>
      </c>
      <c r="D444" s="1107" t="s">
        <v>3112</v>
      </c>
      <c r="E444" s="1124">
        <v>1000</v>
      </c>
      <c r="F444" s="1125" t="s">
        <v>3790</v>
      </c>
      <c r="G444" s="153" t="s">
        <v>3791</v>
      </c>
      <c r="H444" s="151" t="s">
        <v>3788</v>
      </c>
      <c r="I444" s="1126" t="s">
        <v>3789</v>
      </c>
      <c r="J444" s="1127" t="s">
        <v>3788</v>
      </c>
      <c r="K444" s="1361" t="s">
        <v>430</v>
      </c>
      <c r="L444" s="1128" t="s">
        <v>430</v>
      </c>
      <c r="M444" s="1129">
        <f t="shared" si="27"/>
        <v>6000</v>
      </c>
      <c r="N444" s="1128" t="s">
        <v>3604</v>
      </c>
      <c r="O444" s="1128" t="s">
        <v>3604</v>
      </c>
      <c r="P444" s="1129">
        <f t="shared" si="28"/>
        <v>12000</v>
      </c>
    </row>
    <row r="445" spans="1:16" ht="27" x14ac:dyDescent="0.2">
      <c r="A445" s="1132" t="s">
        <v>3781</v>
      </c>
      <c r="B445" s="1109" t="s">
        <v>3782</v>
      </c>
      <c r="C445" s="1132" t="s">
        <v>3784</v>
      </c>
      <c r="D445" s="1107" t="s">
        <v>3680</v>
      </c>
      <c r="E445" s="1124">
        <v>500</v>
      </c>
      <c r="F445" s="1125" t="s">
        <v>3792</v>
      </c>
      <c r="G445" s="153" t="s">
        <v>3793</v>
      </c>
      <c r="H445" s="151" t="s">
        <v>3788</v>
      </c>
      <c r="I445" s="1126" t="s">
        <v>3789</v>
      </c>
      <c r="J445" s="1127" t="s">
        <v>3788</v>
      </c>
      <c r="K445" s="1361" t="s">
        <v>430</v>
      </c>
      <c r="L445" s="1128" t="s">
        <v>430</v>
      </c>
      <c r="M445" s="1129">
        <f t="shared" si="27"/>
        <v>3000</v>
      </c>
      <c r="N445" s="1128" t="s">
        <v>3604</v>
      </c>
      <c r="O445" s="1128" t="s">
        <v>3604</v>
      </c>
      <c r="P445" s="1129">
        <f t="shared" si="28"/>
        <v>6000</v>
      </c>
    </row>
    <row r="446" spans="1:16" ht="27" x14ac:dyDescent="0.2">
      <c r="A446" s="1132" t="s">
        <v>3781</v>
      </c>
      <c r="B446" s="1109" t="s">
        <v>3782</v>
      </c>
      <c r="C446" s="1132" t="s">
        <v>3784</v>
      </c>
      <c r="D446" s="1108" t="s">
        <v>3100</v>
      </c>
      <c r="E446" s="1130">
        <v>1500</v>
      </c>
      <c r="F446" s="1125" t="s">
        <v>3794</v>
      </c>
      <c r="G446" s="153" t="s">
        <v>3795</v>
      </c>
      <c r="H446" s="151" t="s">
        <v>3796</v>
      </c>
      <c r="I446" s="1126" t="s">
        <v>3797</v>
      </c>
      <c r="J446" s="1127" t="s">
        <v>3796</v>
      </c>
      <c r="K446" s="1361" t="s">
        <v>430</v>
      </c>
      <c r="L446" s="1128" t="s">
        <v>430</v>
      </c>
      <c r="M446" s="1129">
        <f t="shared" si="27"/>
        <v>9000</v>
      </c>
      <c r="N446" s="1128" t="s">
        <v>3604</v>
      </c>
      <c r="O446" s="1128" t="s">
        <v>3604</v>
      </c>
      <c r="P446" s="1129">
        <f t="shared" si="28"/>
        <v>18000</v>
      </c>
    </row>
    <row r="447" spans="1:16" ht="27" x14ac:dyDescent="0.2">
      <c r="A447" s="1132" t="s">
        <v>3781</v>
      </c>
      <c r="B447" s="1109" t="s">
        <v>3782</v>
      </c>
      <c r="C447" s="1132" t="s">
        <v>3784</v>
      </c>
      <c r="D447" s="1107" t="s">
        <v>3659</v>
      </c>
      <c r="E447" s="1130">
        <v>1000</v>
      </c>
      <c r="F447" s="1125" t="s">
        <v>3798</v>
      </c>
      <c r="G447" s="153" t="s">
        <v>3799</v>
      </c>
      <c r="H447" s="151" t="s">
        <v>3800</v>
      </c>
      <c r="I447" s="1126" t="s">
        <v>3789</v>
      </c>
      <c r="J447" s="1127" t="s">
        <v>3788</v>
      </c>
      <c r="K447" s="1361" t="s">
        <v>430</v>
      </c>
      <c r="L447" s="1128" t="s">
        <v>430</v>
      </c>
      <c r="M447" s="1129">
        <f t="shared" si="27"/>
        <v>6000</v>
      </c>
      <c r="N447" s="1128" t="s">
        <v>3604</v>
      </c>
      <c r="O447" s="1128" t="s">
        <v>3604</v>
      </c>
      <c r="P447" s="1129">
        <f t="shared" si="28"/>
        <v>12000</v>
      </c>
    </row>
    <row r="448" spans="1:16" ht="27" x14ac:dyDescent="0.2">
      <c r="A448" s="1132" t="s">
        <v>3781</v>
      </c>
      <c r="B448" s="1109" t="s">
        <v>3782</v>
      </c>
      <c r="C448" s="1132" t="s">
        <v>3784</v>
      </c>
      <c r="D448" s="1107" t="s">
        <v>3801</v>
      </c>
      <c r="E448" s="1130">
        <v>930</v>
      </c>
      <c r="F448" s="1125" t="s">
        <v>3802</v>
      </c>
      <c r="G448" s="153" t="s">
        <v>3803</v>
      </c>
      <c r="H448" s="151" t="s">
        <v>3788</v>
      </c>
      <c r="I448" s="1126" t="s">
        <v>3789</v>
      </c>
      <c r="J448" s="1127" t="s">
        <v>3788</v>
      </c>
      <c r="K448" s="1361" t="s">
        <v>430</v>
      </c>
      <c r="L448" s="1128" t="s">
        <v>430</v>
      </c>
      <c r="M448" s="1129">
        <f t="shared" si="27"/>
        <v>5580</v>
      </c>
      <c r="N448" s="1128" t="s">
        <v>3604</v>
      </c>
      <c r="O448" s="1128" t="s">
        <v>3604</v>
      </c>
      <c r="P448" s="1129">
        <f t="shared" si="28"/>
        <v>11160</v>
      </c>
    </row>
    <row r="449" spans="1:16" ht="27" x14ac:dyDescent="0.2">
      <c r="A449" s="1132" t="s">
        <v>3781</v>
      </c>
      <c r="B449" s="1123" t="s">
        <v>3804</v>
      </c>
      <c r="C449" s="1132" t="s">
        <v>3784</v>
      </c>
      <c r="D449" s="1109" t="s">
        <v>3305</v>
      </c>
      <c r="E449" s="1131">
        <v>4000</v>
      </c>
      <c r="F449" s="1069">
        <v>40675556</v>
      </c>
      <c r="G449" s="151" t="s">
        <v>3805</v>
      </c>
      <c r="H449" s="1078" t="s">
        <v>3224</v>
      </c>
      <c r="I449" s="1126" t="s">
        <v>3806</v>
      </c>
      <c r="J449" s="1127" t="s">
        <v>3788</v>
      </c>
      <c r="K449" s="1361" t="s">
        <v>430</v>
      </c>
      <c r="L449" s="1128" t="s">
        <v>430</v>
      </c>
      <c r="M449" s="1129">
        <f t="shared" si="27"/>
        <v>24000</v>
      </c>
      <c r="N449" s="1128" t="s">
        <v>3604</v>
      </c>
      <c r="O449" s="1128" t="s">
        <v>3604</v>
      </c>
      <c r="P449" s="1129">
        <f t="shared" si="28"/>
        <v>48000</v>
      </c>
    </row>
    <row r="450" spans="1:16" ht="27" x14ac:dyDescent="0.2">
      <c r="A450" s="1132" t="s">
        <v>3781</v>
      </c>
      <c r="B450" s="1123" t="s">
        <v>3804</v>
      </c>
      <c r="C450" s="1132" t="s">
        <v>3784</v>
      </c>
      <c r="D450" s="1109" t="s">
        <v>3807</v>
      </c>
      <c r="E450" s="1131">
        <v>3500</v>
      </c>
      <c r="F450" s="1069">
        <v>46932199</v>
      </c>
      <c r="G450" s="151" t="s">
        <v>3808</v>
      </c>
      <c r="H450" s="1078" t="s">
        <v>3224</v>
      </c>
      <c r="I450" s="1126" t="s">
        <v>3806</v>
      </c>
      <c r="J450" s="1127" t="s">
        <v>3788</v>
      </c>
      <c r="K450" s="1361" t="s">
        <v>430</v>
      </c>
      <c r="L450" s="1128" t="s">
        <v>430</v>
      </c>
      <c r="M450" s="1129">
        <f t="shared" si="27"/>
        <v>21000</v>
      </c>
      <c r="N450" s="1128" t="s">
        <v>3604</v>
      </c>
      <c r="O450" s="1128" t="s">
        <v>3604</v>
      </c>
      <c r="P450" s="1129">
        <f t="shared" si="28"/>
        <v>42000</v>
      </c>
    </row>
    <row r="451" spans="1:16" ht="27" x14ac:dyDescent="0.2">
      <c r="A451" s="1132" t="s">
        <v>3781</v>
      </c>
      <c r="B451" s="1123" t="s">
        <v>3804</v>
      </c>
      <c r="C451" s="1132" t="s">
        <v>3784</v>
      </c>
      <c r="D451" s="1109" t="s">
        <v>3809</v>
      </c>
      <c r="E451" s="1131">
        <v>3500</v>
      </c>
      <c r="F451" s="1069">
        <v>23017940</v>
      </c>
      <c r="G451" s="151" t="s">
        <v>3810</v>
      </c>
      <c r="H451" s="1078" t="s">
        <v>3224</v>
      </c>
      <c r="I451" s="1126" t="s">
        <v>3806</v>
      </c>
      <c r="J451" s="1127" t="s">
        <v>3788</v>
      </c>
      <c r="K451" s="1361" t="s">
        <v>430</v>
      </c>
      <c r="L451" s="1128" t="s">
        <v>430</v>
      </c>
      <c r="M451" s="1129">
        <f t="shared" si="27"/>
        <v>21000</v>
      </c>
      <c r="N451" s="1128" t="s">
        <v>3604</v>
      </c>
      <c r="O451" s="1128" t="s">
        <v>3604</v>
      </c>
      <c r="P451" s="1129">
        <f t="shared" si="28"/>
        <v>42000</v>
      </c>
    </row>
    <row r="452" spans="1:16" ht="27" x14ac:dyDescent="0.2">
      <c r="A452" s="1132" t="s">
        <v>3781</v>
      </c>
      <c r="B452" s="1123" t="s">
        <v>3804</v>
      </c>
      <c r="C452" s="1132" t="s">
        <v>3784</v>
      </c>
      <c r="D452" s="1109" t="s">
        <v>3809</v>
      </c>
      <c r="E452" s="1131">
        <v>3500</v>
      </c>
      <c r="F452" s="1069">
        <v>46219475</v>
      </c>
      <c r="G452" s="151" t="s">
        <v>3811</v>
      </c>
      <c r="H452" s="1078" t="s">
        <v>3224</v>
      </c>
      <c r="I452" s="1126" t="s">
        <v>3806</v>
      </c>
      <c r="J452" s="1127" t="s">
        <v>3788</v>
      </c>
      <c r="K452" s="1361" t="s">
        <v>430</v>
      </c>
      <c r="L452" s="1128" t="s">
        <v>430</v>
      </c>
      <c r="M452" s="1129">
        <f t="shared" si="27"/>
        <v>21000</v>
      </c>
      <c r="N452" s="1128" t="s">
        <v>3604</v>
      </c>
      <c r="O452" s="1128" t="s">
        <v>3604</v>
      </c>
      <c r="P452" s="1129">
        <f t="shared" si="28"/>
        <v>42000</v>
      </c>
    </row>
    <row r="453" spans="1:16" ht="27" x14ac:dyDescent="0.2">
      <c r="A453" s="1132" t="s">
        <v>3781</v>
      </c>
      <c r="B453" s="1123" t="s">
        <v>3804</v>
      </c>
      <c r="C453" s="1132" t="s">
        <v>3784</v>
      </c>
      <c r="D453" s="1109" t="s">
        <v>3473</v>
      </c>
      <c r="E453" s="1131">
        <v>2000</v>
      </c>
      <c r="F453" s="1069">
        <v>80291663</v>
      </c>
      <c r="G453" s="151" t="s">
        <v>3812</v>
      </c>
      <c r="H453" s="1078" t="s">
        <v>3813</v>
      </c>
      <c r="I453" s="1126" t="s">
        <v>3806</v>
      </c>
      <c r="J453" s="1127" t="s">
        <v>3788</v>
      </c>
      <c r="K453" s="1361" t="s">
        <v>430</v>
      </c>
      <c r="L453" s="1128" t="s">
        <v>430</v>
      </c>
      <c r="M453" s="1129">
        <f t="shared" si="27"/>
        <v>12000</v>
      </c>
      <c r="N453" s="1128" t="s">
        <v>3604</v>
      </c>
      <c r="O453" s="1128" t="s">
        <v>3604</v>
      </c>
      <c r="P453" s="1129">
        <f t="shared" si="28"/>
        <v>24000</v>
      </c>
    </row>
    <row r="454" spans="1:16" ht="27" x14ac:dyDescent="0.2">
      <c r="A454" s="1132" t="s">
        <v>3781</v>
      </c>
      <c r="B454" s="1123" t="s">
        <v>3804</v>
      </c>
      <c r="C454" s="1132" t="s">
        <v>3784</v>
      </c>
      <c r="D454" s="1109" t="s">
        <v>3473</v>
      </c>
      <c r="E454" s="1131">
        <v>2000</v>
      </c>
      <c r="F454" s="1069">
        <v>42625018</v>
      </c>
      <c r="G454" s="151" t="s">
        <v>3814</v>
      </c>
      <c r="H454" s="1078" t="s">
        <v>3813</v>
      </c>
      <c r="I454" s="1126" t="s">
        <v>3815</v>
      </c>
      <c r="J454" s="1127" t="s">
        <v>3788</v>
      </c>
      <c r="K454" s="1361" t="s">
        <v>430</v>
      </c>
      <c r="L454" s="1128" t="s">
        <v>430</v>
      </c>
      <c r="M454" s="1129">
        <f t="shared" si="27"/>
        <v>12000</v>
      </c>
      <c r="N454" s="1128" t="s">
        <v>3604</v>
      </c>
      <c r="O454" s="1128" t="s">
        <v>3604</v>
      </c>
      <c r="P454" s="1129">
        <f t="shared" si="28"/>
        <v>24000</v>
      </c>
    </row>
    <row r="455" spans="1:16" ht="27" x14ac:dyDescent="0.2">
      <c r="A455" s="1132" t="s">
        <v>3781</v>
      </c>
      <c r="B455" s="1123" t="s">
        <v>3804</v>
      </c>
      <c r="C455" s="1132" t="s">
        <v>3784</v>
      </c>
      <c r="D455" s="1109" t="s">
        <v>3473</v>
      </c>
      <c r="E455" s="1131">
        <v>2000</v>
      </c>
      <c r="F455" s="1069">
        <v>22508293</v>
      </c>
      <c r="G455" s="151" t="s">
        <v>3816</v>
      </c>
      <c r="H455" s="1078" t="s">
        <v>3813</v>
      </c>
      <c r="I455" s="1126" t="s">
        <v>3815</v>
      </c>
      <c r="J455" s="1127" t="s">
        <v>3788</v>
      </c>
      <c r="K455" s="1361" t="s">
        <v>430</v>
      </c>
      <c r="L455" s="1128" t="s">
        <v>430</v>
      </c>
      <c r="M455" s="1129">
        <f t="shared" si="27"/>
        <v>12000</v>
      </c>
      <c r="N455" s="1128" t="s">
        <v>3604</v>
      </c>
      <c r="O455" s="1128" t="s">
        <v>3604</v>
      </c>
      <c r="P455" s="1129">
        <f t="shared" si="28"/>
        <v>24000</v>
      </c>
    </row>
    <row r="456" spans="1:16" ht="27" x14ac:dyDescent="0.2">
      <c r="A456" s="1132" t="s">
        <v>3781</v>
      </c>
      <c r="B456" s="1123" t="s">
        <v>3804</v>
      </c>
      <c r="C456" s="1132" t="s">
        <v>3784</v>
      </c>
      <c r="D456" s="1109" t="s">
        <v>3473</v>
      </c>
      <c r="E456" s="1131">
        <v>2000</v>
      </c>
      <c r="F456" s="1069">
        <v>74167810</v>
      </c>
      <c r="G456" s="151" t="s">
        <v>3817</v>
      </c>
      <c r="H456" s="1078" t="s">
        <v>3813</v>
      </c>
      <c r="I456" s="1126" t="s">
        <v>3806</v>
      </c>
      <c r="J456" s="1127" t="s">
        <v>3788</v>
      </c>
      <c r="K456" s="1361" t="s">
        <v>430</v>
      </c>
      <c r="L456" s="1128" t="s">
        <v>430</v>
      </c>
      <c r="M456" s="1129">
        <f t="shared" si="27"/>
        <v>12000</v>
      </c>
      <c r="N456" s="1128" t="s">
        <v>3604</v>
      </c>
      <c r="O456" s="1128" t="s">
        <v>3604</v>
      </c>
      <c r="P456" s="1129">
        <f t="shared" si="28"/>
        <v>24000</v>
      </c>
    </row>
    <row r="457" spans="1:16" ht="27" x14ac:dyDescent="0.2">
      <c r="A457" s="1132" t="s">
        <v>3781</v>
      </c>
      <c r="B457" s="1123" t="s">
        <v>3804</v>
      </c>
      <c r="C457" s="1132" t="s">
        <v>3784</v>
      </c>
      <c r="D457" s="1109" t="s">
        <v>3100</v>
      </c>
      <c r="E457" s="1131">
        <v>2300</v>
      </c>
      <c r="F457" s="1069">
        <v>71867774</v>
      </c>
      <c r="G457" s="151" t="s">
        <v>3818</v>
      </c>
      <c r="H457" s="1078" t="s">
        <v>3819</v>
      </c>
      <c r="I457" s="1126" t="s">
        <v>3806</v>
      </c>
      <c r="J457" s="1127" t="s">
        <v>3788</v>
      </c>
      <c r="K457" s="1361" t="s">
        <v>430</v>
      </c>
      <c r="L457" s="1128" t="s">
        <v>430</v>
      </c>
      <c r="M457" s="1129">
        <f t="shared" si="27"/>
        <v>13800</v>
      </c>
      <c r="N457" s="1128" t="s">
        <v>3604</v>
      </c>
      <c r="O457" s="1128" t="s">
        <v>3604</v>
      </c>
      <c r="P457" s="1129">
        <f t="shared" si="28"/>
        <v>27600</v>
      </c>
    </row>
    <row r="458" spans="1:16" ht="27" x14ac:dyDescent="0.2">
      <c r="A458" s="1132" t="s">
        <v>3781</v>
      </c>
      <c r="B458" s="1132" t="s">
        <v>3820</v>
      </c>
      <c r="C458" s="1132" t="s">
        <v>3784</v>
      </c>
      <c r="D458" s="1080" t="s">
        <v>3821</v>
      </c>
      <c r="E458" s="1131">
        <v>4500</v>
      </c>
      <c r="F458" s="1069">
        <v>70064324</v>
      </c>
      <c r="G458" s="151" t="s">
        <v>3822</v>
      </c>
      <c r="H458" s="1079" t="s">
        <v>3224</v>
      </c>
      <c r="I458" s="1126" t="s">
        <v>3823</v>
      </c>
      <c r="J458" s="1133" t="s">
        <v>3575</v>
      </c>
      <c r="K458" s="148" t="s">
        <v>3672</v>
      </c>
      <c r="L458" s="1134" t="s">
        <v>3672</v>
      </c>
      <c r="M458" s="1129">
        <f>E458*L458</f>
        <v>22500</v>
      </c>
      <c r="N458" s="1128" t="s">
        <v>3824</v>
      </c>
      <c r="O458" s="1128" t="s">
        <v>3824</v>
      </c>
      <c r="P458" s="1129">
        <f t="shared" si="28"/>
        <v>0</v>
      </c>
    </row>
    <row r="459" spans="1:16" ht="27" x14ac:dyDescent="0.2">
      <c r="A459" s="1132" t="s">
        <v>3781</v>
      </c>
      <c r="B459" s="1132" t="s">
        <v>3820</v>
      </c>
      <c r="C459" s="1132" t="s">
        <v>3784</v>
      </c>
      <c r="D459" s="1080" t="s">
        <v>3807</v>
      </c>
      <c r="E459" s="1131">
        <v>3500</v>
      </c>
      <c r="F459" s="1069">
        <v>71864259</v>
      </c>
      <c r="G459" s="151" t="s">
        <v>3825</v>
      </c>
      <c r="H459" s="1079" t="s">
        <v>3224</v>
      </c>
      <c r="I459" s="1126" t="s">
        <v>3823</v>
      </c>
      <c r="J459" s="1133" t="s">
        <v>3575</v>
      </c>
      <c r="K459" s="148" t="s">
        <v>3672</v>
      </c>
      <c r="L459" s="1134" t="s">
        <v>3672</v>
      </c>
      <c r="M459" s="1129">
        <f t="shared" ref="M459:M480" si="29">E459*L459</f>
        <v>17500</v>
      </c>
      <c r="N459" s="1128" t="s">
        <v>3824</v>
      </c>
      <c r="O459" s="1128" t="s">
        <v>3824</v>
      </c>
      <c r="P459" s="1129">
        <f t="shared" si="28"/>
        <v>0</v>
      </c>
    </row>
    <row r="460" spans="1:16" ht="27" x14ac:dyDescent="0.2">
      <c r="A460" s="1132" t="s">
        <v>3781</v>
      </c>
      <c r="B460" s="1132" t="s">
        <v>3820</v>
      </c>
      <c r="C460" s="1132" t="s">
        <v>3784</v>
      </c>
      <c r="D460" s="1080" t="s">
        <v>3809</v>
      </c>
      <c r="E460" s="1131">
        <v>3200</v>
      </c>
      <c r="F460" s="1069">
        <v>46219475</v>
      </c>
      <c r="G460" s="151" t="s">
        <v>3826</v>
      </c>
      <c r="H460" s="1079" t="s">
        <v>3224</v>
      </c>
      <c r="I460" s="1126" t="s">
        <v>3823</v>
      </c>
      <c r="J460" s="1133" t="s">
        <v>3575</v>
      </c>
      <c r="K460" s="148" t="s">
        <v>3672</v>
      </c>
      <c r="L460" s="1134" t="s">
        <v>3672</v>
      </c>
      <c r="M460" s="1129">
        <f t="shared" si="29"/>
        <v>16000</v>
      </c>
      <c r="N460" s="1128" t="s">
        <v>3824</v>
      </c>
      <c r="O460" s="1128" t="s">
        <v>3824</v>
      </c>
      <c r="P460" s="1129">
        <f t="shared" si="28"/>
        <v>0</v>
      </c>
    </row>
    <row r="461" spans="1:16" ht="27" x14ac:dyDescent="0.2">
      <c r="A461" s="1132" t="s">
        <v>3781</v>
      </c>
      <c r="B461" s="1132" t="s">
        <v>3820</v>
      </c>
      <c r="C461" s="1132" t="s">
        <v>3784</v>
      </c>
      <c r="D461" s="1080" t="s">
        <v>3809</v>
      </c>
      <c r="E461" s="1131">
        <v>3200</v>
      </c>
      <c r="F461" s="1069">
        <v>45724902</v>
      </c>
      <c r="G461" s="151" t="s">
        <v>3827</v>
      </c>
      <c r="H461" s="1079" t="s">
        <v>3224</v>
      </c>
      <c r="I461" s="1126" t="s">
        <v>3823</v>
      </c>
      <c r="J461" s="1133" t="s">
        <v>3575</v>
      </c>
      <c r="K461" s="148" t="s">
        <v>3672</v>
      </c>
      <c r="L461" s="1134" t="s">
        <v>3672</v>
      </c>
      <c r="M461" s="1129">
        <f t="shared" si="29"/>
        <v>16000</v>
      </c>
      <c r="N461" s="1128" t="s">
        <v>3824</v>
      </c>
      <c r="O461" s="1128" t="s">
        <v>3824</v>
      </c>
      <c r="P461" s="1129">
        <f t="shared" si="28"/>
        <v>0</v>
      </c>
    </row>
    <row r="462" spans="1:16" ht="27" x14ac:dyDescent="0.2">
      <c r="A462" s="1132" t="s">
        <v>3781</v>
      </c>
      <c r="B462" s="1132" t="s">
        <v>3820</v>
      </c>
      <c r="C462" s="1132" t="s">
        <v>3784</v>
      </c>
      <c r="D462" s="1080" t="s">
        <v>3809</v>
      </c>
      <c r="E462" s="1131">
        <v>3200</v>
      </c>
      <c r="F462" s="1069">
        <v>48218434</v>
      </c>
      <c r="G462" s="151" t="s">
        <v>3828</v>
      </c>
      <c r="H462" s="1079" t="s">
        <v>3224</v>
      </c>
      <c r="I462" s="1126" t="s">
        <v>3823</v>
      </c>
      <c r="J462" s="1133" t="s">
        <v>3575</v>
      </c>
      <c r="K462" s="148" t="s">
        <v>3672</v>
      </c>
      <c r="L462" s="1134" t="s">
        <v>3672</v>
      </c>
      <c r="M462" s="1129">
        <f t="shared" si="29"/>
        <v>16000</v>
      </c>
      <c r="N462" s="1128" t="s">
        <v>3824</v>
      </c>
      <c r="O462" s="1128" t="s">
        <v>3824</v>
      </c>
      <c r="P462" s="1129">
        <f t="shared" si="28"/>
        <v>0</v>
      </c>
    </row>
    <row r="463" spans="1:16" ht="40.5" x14ac:dyDescent="0.2">
      <c r="A463" s="1132" t="s">
        <v>3781</v>
      </c>
      <c r="B463" s="1132" t="s">
        <v>3820</v>
      </c>
      <c r="C463" s="1132" t="s">
        <v>3784</v>
      </c>
      <c r="D463" s="1080" t="s">
        <v>3809</v>
      </c>
      <c r="E463" s="1131">
        <v>3200</v>
      </c>
      <c r="F463" s="1069">
        <v>43455398</v>
      </c>
      <c r="G463" s="151" t="s">
        <v>3829</v>
      </c>
      <c r="H463" s="1079" t="s">
        <v>3830</v>
      </c>
      <c r="I463" s="1126" t="s">
        <v>3823</v>
      </c>
      <c r="J463" s="1133" t="s">
        <v>3595</v>
      </c>
      <c r="K463" s="148" t="s">
        <v>3672</v>
      </c>
      <c r="L463" s="1134" t="s">
        <v>3672</v>
      </c>
      <c r="M463" s="1129">
        <f t="shared" si="29"/>
        <v>16000</v>
      </c>
      <c r="N463" s="1128" t="s">
        <v>3824</v>
      </c>
      <c r="O463" s="1128" t="s">
        <v>3824</v>
      </c>
      <c r="P463" s="1129">
        <f t="shared" si="28"/>
        <v>0</v>
      </c>
    </row>
    <row r="464" spans="1:16" ht="40.5" x14ac:dyDescent="0.2">
      <c r="A464" s="1132" t="s">
        <v>3781</v>
      </c>
      <c r="B464" s="1132" t="s">
        <v>3820</v>
      </c>
      <c r="C464" s="1132" t="s">
        <v>3784</v>
      </c>
      <c r="D464" s="1080" t="s">
        <v>3809</v>
      </c>
      <c r="E464" s="1131">
        <v>3200</v>
      </c>
      <c r="F464" s="1069">
        <v>45459102</v>
      </c>
      <c r="G464" s="151" t="s">
        <v>3831</v>
      </c>
      <c r="H464" s="1079" t="s">
        <v>3830</v>
      </c>
      <c r="I464" s="1126" t="s">
        <v>3823</v>
      </c>
      <c r="J464" s="1133" t="s">
        <v>3595</v>
      </c>
      <c r="K464" s="148" t="s">
        <v>3672</v>
      </c>
      <c r="L464" s="1134" t="s">
        <v>3672</v>
      </c>
      <c r="M464" s="1129">
        <f t="shared" si="29"/>
        <v>16000</v>
      </c>
      <c r="N464" s="1128" t="s">
        <v>3824</v>
      </c>
      <c r="O464" s="1128" t="s">
        <v>3824</v>
      </c>
      <c r="P464" s="1129">
        <f t="shared" si="28"/>
        <v>0</v>
      </c>
    </row>
    <row r="465" spans="1:16" ht="40.5" x14ac:dyDescent="0.2">
      <c r="A465" s="1132" t="s">
        <v>3781</v>
      </c>
      <c r="B465" s="1132" t="s">
        <v>3820</v>
      </c>
      <c r="C465" s="1132" t="s">
        <v>3784</v>
      </c>
      <c r="D465" s="1080" t="s">
        <v>3809</v>
      </c>
      <c r="E465" s="1131">
        <v>3200</v>
      </c>
      <c r="F465" s="1069">
        <v>43867255</v>
      </c>
      <c r="G465" s="151" t="s">
        <v>3832</v>
      </c>
      <c r="H465" s="1079" t="s">
        <v>3830</v>
      </c>
      <c r="I465" s="1126" t="s">
        <v>3823</v>
      </c>
      <c r="J465" s="1133" t="s">
        <v>3595</v>
      </c>
      <c r="K465" s="148" t="s">
        <v>3672</v>
      </c>
      <c r="L465" s="1134" t="s">
        <v>3672</v>
      </c>
      <c r="M465" s="1129">
        <f t="shared" si="29"/>
        <v>16000</v>
      </c>
      <c r="N465" s="1128" t="s">
        <v>3824</v>
      </c>
      <c r="O465" s="1128" t="s">
        <v>3824</v>
      </c>
      <c r="P465" s="1129">
        <f t="shared" si="28"/>
        <v>0</v>
      </c>
    </row>
    <row r="466" spans="1:16" ht="27" x14ac:dyDescent="0.2">
      <c r="A466" s="1132" t="s">
        <v>3781</v>
      </c>
      <c r="B466" s="1132" t="s">
        <v>3820</v>
      </c>
      <c r="C466" s="1132" t="s">
        <v>3784</v>
      </c>
      <c r="D466" s="1080" t="s">
        <v>3809</v>
      </c>
      <c r="E466" s="1131">
        <v>3200</v>
      </c>
      <c r="F466" s="1069">
        <v>41869336</v>
      </c>
      <c r="G466" s="151" t="s">
        <v>3833</v>
      </c>
      <c r="H466" s="1079" t="s">
        <v>3224</v>
      </c>
      <c r="I466" s="1126" t="s">
        <v>3823</v>
      </c>
      <c r="J466" s="1133" t="s">
        <v>3575</v>
      </c>
      <c r="K466" s="148" t="s">
        <v>3672</v>
      </c>
      <c r="L466" s="1134" t="s">
        <v>3672</v>
      </c>
      <c r="M466" s="1129">
        <f t="shared" si="29"/>
        <v>16000</v>
      </c>
      <c r="N466" s="1128" t="s">
        <v>3824</v>
      </c>
      <c r="O466" s="1128" t="s">
        <v>3824</v>
      </c>
      <c r="P466" s="1129">
        <f t="shared" si="28"/>
        <v>0</v>
      </c>
    </row>
    <row r="467" spans="1:16" ht="40.5" x14ac:dyDescent="0.2">
      <c r="A467" s="1132" t="s">
        <v>3781</v>
      </c>
      <c r="B467" s="1132" t="s">
        <v>3820</v>
      </c>
      <c r="C467" s="1132" t="s">
        <v>3784</v>
      </c>
      <c r="D467" s="1080" t="s">
        <v>3809</v>
      </c>
      <c r="E467" s="1131">
        <v>3200</v>
      </c>
      <c r="F467" s="1069">
        <v>73340310</v>
      </c>
      <c r="G467" s="151" t="s">
        <v>3834</v>
      </c>
      <c r="H467" s="1079" t="s">
        <v>3830</v>
      </c>
      <c r="I467" s="1126" t="s">
        <v>3823</v>
      </c>
      <c r="J467" s="1133" t="s">
        <v>3595</v>
      </c>
      <c r="K467" s="148" t="s">
        <v>3672</v>
      </c>
      <c r="L467" s="1134" t="s">
        <v>3672</v>
      </c>
      <c r="M467" s="1129">
        <f t="shared" si="29"/>
        <v>16000</v>
      </c>
      <c r="N467" s="1128" t="s">
        <v>3824</v>
      </c>
      <c r="O467" s="1128" t="s">
        <v>3824</v>
      </c>
      <c r="P467" s="1129">
        <f t="shared" si="28"/>
        <v>0</v>
      </c>
    </row>
    <row r="468" spans="1:16" ht="27" x14ac:dyDescent="0.2">
      <c r="A468" s="1132" t="s">
        <v>3781</v>
      </c>
      <c r="B468" s="1132" t="s">
        <v>3820</v>
      </c>
      <c r="C468" s="1132" t="s">
        <v>3784</v>
      </c>
      <c r="D468" s="1080" t="s">
        <v>3809</v>
      </c>
      <c r="E468" s="1131">
        <v>3200</v>
      </c>
      <c r="F468" s="1069">
        <v>43662825</v>
      </c>
      <c r="G468" s="151" t="s">
        <v>3835</v>
      </c>
      <c r="H468" s="1079" t="s">
        <v>3224</v>
      </c>
      <c r="I468" s="1126" t="s">
        <v>3823</v>
      </c>
      <c r="J468" s="1133" t="s">
        <v>3575</v>
      </c>
      <c r="K468" s="148" t="s">
        <v>3672</v>
      </c>
      <c r="L468" s="1134" t="s">
        <v>3601</v>
      </c>
      <c r="M468" s="1129">
        <f>E468*L468</f>
        <v>6400</v>
      </c>
      <c r="N468" s="1128" t="s">
        <v>3824</v>
      </c>
      <c r="O468" s="1128" t="s">
        <v>3824</v>
      </c>
      <c r="P468" s="1129">
        <f t="shared" si="28"/>
        <v>0</v>
      </c>
    </row>
    <row r="469" spans="1:16" ht="27" x14ac:dyDescent="0.2">
      <c r="A469" s="1132" t="s">
        <v>3781</v>
      </c>
      <c r="B469" s="1132" t="s">
        <v>3820</v>
      </c>
      <c r="C469" s="1132" t="s">
        <v>3784</v>
      </c>
      <c r="D469" s="1080" t="s">
        <v>3473</v>
      </c>
      <c r="E469" s="1131">
        <v>1500</v>
      </c>
      <c r="F469" s="1069">
        <v>170953</v>
      </c>
      <c r="G469" s="151" t="s">
        <v>3836</v>
      </c>
      <c r="H469" s="1079" t="s">
        <v>3837</v>
      </c>
      <c r="I469" s="1126" t="s">
        <v>3615</v>
      </c>
      <c r="J469" s="1133" t="s">
        <v>3838</v>
      </c>
      <c r="K469" s="148" t="s">
        <v>3672</v>
      </c>
      <c r="L469" s="1134" t="s">
        <v>3672</v>
      </c>
      <c r="M469" s="1129">
        <f t="shared" si="29"/>
        <v>7500</v>
      </c>
      <c r="N469" s="1128" t="s">
        <v>3824</v>
      </c>
      <c r="O469" s="1128" t="s">
        <v>3824</v>
      </c>
      <c r="P469" s="1129">
        <f t="shared" si="28"/>
        <v>0</v>
      </c>
    </row>
    <row r="470" spans="1:16" ht="27" x14ac:dyDescent="0.2">
      <c r="A470" s="1132" t="s">
        <v>3781</v>
      </c>
      <c r="B470" s="1132" t="s">
        <v>3820</v>
      </c>
      <c r="C470" s="1132" t="s">
        <v>3784</v>
      </c>
      <c r="D470" s="1080" t="s">
        <v>3839</v>
      </c>
      <c r="E470" s="1131">
        <v>3000</v>
      </c>
      <c r="F470" s="1069">
        <v>43904549</v>
      </c>
      <c r="G470" s="151" t="s">
        <v>3840</v>
      </c>
      <c r="H470" s="1079" t="s">
        <v>3841</v>
      </c>
      <c r="I470" s="1126" t="s">
        <v>3823</v>
      </c>
      <c r="J470" s="1133" t="s">
        <v>3575</v>
      </c>
      <c r="K470" s="148" t="s">
        <v>3672</v>
      </c>
      <c r="L470" s="1134" t="s">
        <v>3672</v>
      </c>
      <c r="M470" s="1129">
        <f t="shared" si="29"/>
        <v>15000</v>
      </c>
      <c r="N470" s="1128" t="s">
        <v>3824</v>
      </c>
      <c r="O470" s="1128" t="s">
        <v>3824</v>
      </c>
      <c r="P470" s="1129">
        <f t="shared" si="28"/>
        <v>0</v>
      </c>
    </row>
    <row r="471" spans="1:16" ht="27" x14ac:dyDescent="0.2">
      <c r="A471" s="1132" t="s">
        <v>3781</v>
      </c>
      <c r="B471" s="1132" t="s">
        <v>3820</v>
      </c>
      <c r="C471" s="1132" t="s">
        <v>3784</v>
      </c>
      <c r="D471" s="1080" t="s">
        <v>3842</v>
      </c>
      <c r="E471" s="1131">
        <v>1500</v>
      </c>
      <c r="F471" s="1069">
        <v>41692757</v>
      </c>
      <c r="G471" s="151" t="s">
        <v>3843</v>
      </c>
      <c r="H471" s="1079" t="s">
        <v>3837</v>
      </c>
      <c r="I471" s="1126" t="s">
        <v>3615</v>
      </c>
      <c r="J471" s="1133" t="s">
        <v>3838</v>
      </c>
      <c r="K471" s="148" t="s">
        <v>3672</v>
      </c>
      <c r="L471" s="1134" t="s">
        <v>3672</v>
      </c>
      <c r="M471" s="1129">
        <f t="shared" si="29"/>
        <v>7500</v>
      </c>
      <c r="N471" s="1128" t="s">
        <v>3824</v>
      </c>
      <c r="O471" s="1128" t="s">
        <v>3824</v>
      </c>
      <c r="P471" s="1129">
        <f t="shared" si="28"/>
        <v>0</v>
      </c>
    </row>
    <row r="472" spans="1:16" ht="27" x14ac:dyDescent="0.2">
      <c r="A472" s="1132" t="s">
        <v>3781</v>
      </c>
      <c r="B472" s="1132" t="s">
        <v>3820</v>
      </c>
      <c r="C472" s="1132" t="s">
        <v>3784</v>
      </c>
      <c r="D472" s="1080" t="s">
        <v>3842</v>
      </c>
      <c r="E472" s="1131">
        <v>1500</v>
      </c>
      <c r="F472" s="1069">
        <v>7758321</v>
      </c>
      <c r="G472" s="151" t="s">
        <v>3844</v>
      </c>
      <c r="H472" s="1079" t="s">
        <v>3837</v>
      </c>
      <c r="I472" s="1126" t="s">
        <v>3615</v>
      </c>
      <c r="J472" s="1133" t="s">
        <v>3838</v>
      </c>
      <c r="K472" s="148" t="s">
        <v>3672</v>
      </c>
      <c r="L472" s="1134" t="s">
        <v>3672</v>
      </c>
      <c r="M472" s="1129">
        <f t="shared" si="29"/>
        <v>7500</v>
      </c>
      <c r="N472" s="1128" t="s">
        <v>3824</v>
      </c>
      <c r="O472" s="1128" t="s">
        <v>3824</v>
      </c>
      <c r="P472" s="1129">
        <f t="shared" si="28"/>
        <v>0</v>
      </c>
    </row>
    <row r="473" spans="1:16" ht="27" x14ac:dyDescent="0.2">
      <c r="A473" s="1132" t="s">
        <v>3781</v>
      </c>
      <c r="B473" s="1132" t="s">
        <v>3820</v>
      </c>
      <c r="C473" s="1132" t="s">
        <v>3784</v>
      </c>
      <c r="D473" s="1080" t="s">
        <v>3842</v>
      </c>
      <c r="E473" s="1131">
        <v>1500</v>
      </c>
      <c r="F473" s="1069">
        <v>46463896</v>
      </c>
      <c r="G473" s="151" t="s">
        <v>3845</v>
      </c>
      <c r="H473" s="1200" t="s">
        <v>3846</v>
      </c>
      <c r="I473" s="1126" t="s">
        <v>3292</v>
      </c>
      <c r="J473" s="1133" t="s">
        <v>3292</v>
      </c>
      <c r="K473" s="148" t="s">
        <v>3672</v>
      </c>
      <c r="L473" s="1134" t="s">
        <v>3672</v>
      </c>
      <c r="M473" s="1129">
        <f t="shared" si="29"/>
        <v>7500</v>
      </c>
      <c r="N473" s="1128" t="s">
        <v>3824</v>
      </c>
      <c r="O473" s="1128" t="s">
        <v>3824</v>
      </c>
      <c r="P473" s="1129">
        <f t="shared" si="28"/>
        <v>0</v>
      </c>
    </row>
    <row r="474" spans="1:16" ht="27" x14ac:dyDescent="0.2">
      <c r="A474" s="1132" t="s">
        <v>3781</v>
      </c>
      <c r="B474" s="1132" t="s">
        <v>3820</v>
      </c>
      <c r="C474" s="1132" t="s">
        <v>3784</v>
      </c>
      <c r="D474" s="1080" t="s">
        <v>3847</v>
      </c>
      <c r="E474" s="1131">
        <v>1500</v>
      </c>
      <c r="F474" s="1069">
        <v>32830629</v>
      </c>
      <c r="G474" s="151" t="s">
        <v>3848</v>
      </c>
      <c r="H474" s="1079" t="s">
        <v>3224</v>
      </c>
      <c r="I474" s="1126" t="s">
        <v>3823</v>
      </c>
      <c r="J474" s="1133" t="s">
        <v>3575</v>
      </c>
      <c r="K474" s="148" t="s">
        <v>3601</v>
      </c>
      <c r="L474" s="1134" t="s">
        <v>3601</v>
      </c>
      <c r="M474" s="1129">
        <f t="shared" si="29"/>
        <v>3000</v>
      </c>
      <c r="N474" s="1128" t="s">
        <v>3824</v>
      </c>
      <c r="O474" s="1128" t="s">
        <v>3824</v>
      </c>
      <c r="P474" s="1129">
        <f t="shared" si="28"/>
        <v>0</v>
      </c>
    </row>
    <row r="475" spans="1:16" ht="40.5" x14ac:dyDescent="0.2">
      <c r="A475" s="1132" t="s">
        <v>3781</v>
      </c>
      <c r="B475" s="1132" t="s">
        <v>3820</v>
      </c>
      <c r="C475" s="1132" t="s">
        <v>3784</v>
      </c>
      <c r="D475" s="1080" t="s">
        <v>3849</v>
      </c>
      <c r="E475" s="1131">
        <v>2500</v>
      </c>
      <c r="F475" s="1069">
        <v>48045833</v>
      </c>
      <c r="G475" s="151" t="s">
        <v>3850</v>
      </c>
      <c r="H475" s="1079" t="s">
        <v>3830</v>
      </c>
      <c r="I475" s="1126" t="s">
        <v>3823</v>
      </c>
      <c r="J475" s="1201" t="s">
        <v>3830</v>
      </c>
      <c r="K475" s="148" t="s">
        <v>3672</v>
      </c>
      <c r="L475" s="1134" t="s">
        <v>3672</v>
      </c>
      <c r="M475" s="1129">
        <f>E475*L475</f>
        <v>12500</v>
      </c>
      <c r="N475" s="1128" t="s">
        <v>3824</v>
      </c>
      <c r="O475" s="1128" t="s">
        <v>3824</v>
      </c>
      <c r="P475" s="1129">
        <f t="shared" si="28"/>
        <v>0</v>
      </c>
    </row>
    <row r="476" spans="1:16" ht="27" x14ac:dyDescent="0.2">
      <c r="A476" s="1132" t="s">
        <v>3781</v>
      </c>
      <c r="B476" s="1132" t="s">
        <v>3820</v>
      </c>
      <c r="C476" s="1132" t="s">
        <v>3784</v>
      </c>
      <c r="D476" s="1080" t="s">
        <v>3100</v>
      </c>
      <c r="E476" s="1131">
        <v>2200</v>
      </c>
      <c r="F476" s="1069">
        <v>70201612</v>
      </c>
      <c r="G476" s="151" t="s">
        <v>3851</v>
      </c>
      <c r="H476" s="1079" t="s">
        <v>3129</v>
      </c>
      <c r="I476" s="1126" t="s">
        <v>3564</v>
      </c>
      <c r="J476" s="1133" t="s">
        <v>3575</v>
      </c>
      <c r="K476" s="148" t="s">
        <v>3672</v>
      </c>
      <c r="L476" s="1134" t="s">
        <v>3672</v>
      </c>
      <c r="M476" s="1129">
        <f t="shared" si="29"/>
        <v>11000</v>
      </c>
      <c r="N476" s="1128" t="s">
        <v>3824</v>
      </c>
      <c r="O476" s="1128" t="s">
        <v>3824</v>
      </c>
      <c r="P476" s="1129">
        <f t="shared" si="28"/>
        <v>0</v>
      </c>
    </row>
    <row r="477" spans="1:16" ht="27" x14ac:dyDescent="0.2">
      <c r="A477" s="1132" t="s">
        <v>3781</v>
      </c>
      <c r="B477" s="1132" t="s">
        <v>3820</v>
      </c>
      <c r="C477" s="1132" t="s">
        <v>3784</v>
      </c>
      <c r="D477" s="1080" t="s">
        <v>3134</v>
      </c>
      <c r="E477" s="1131">
        <v>1500</v>
      </c>
      <c r="F477" s="1069">
        <v>45839435</v>
      </c>
      <c r="G477" s="151" t="s">
        <v>3852</v>
      </c>
      <c r="H477" s="1079" t="s">
        <v>3853</v>
      </c>
      <c r="I477" s="1126" t="s">
        <v>3292</v>
      </c>
      <c r="J477" s="1133" t="s">
        <v>3575</v>
      </c>
      <c r="K477" s="148" t="s">
        <v>3672</v>
      </c>
      <c r="L477" s="1134" t="s">
        <v>3672</v>
      </c>
      <c r="M477" s="1129">
        <f t="shared" si="29"/>
        <v>7500</v>
      </c>
      <c r="N477" s="1128" t="s">
        <v>3824</v>
      </c>
      <c r="O477" s="1128" t="s">
        <v>3824</v>
      </c>
      <c r="P477" s="1129">
        <f t="shared" si="28"/>
        <v>0</v>
      </c>
    </row>
    <row r="478" spans="1:16" ht="27" x14ac:dyDescent="0.2">
      <c r="A478" s="1132" t="s">
        <v>3781</v>
      </c>
      <c r="B478" s="1132" t="s">
        <v>3820</v>
      </c>
      <c r="C478" s="1132" t="s">
        <v>3784</v>
      </c>
      <c r="D478" s="1080" t="s">
        <v>3854</v>
      </c>
      <c r="E478" s="1131">
        <v>1500</v>
      </c>
      <c r="F478" s="1069">
        <v>10275672</v>
      </c>
      <c r="G478" s="151" t="s">
        <v>3855</v>
      </c>
      <c r="H478" s="1079" t="s">
        <v>3856</v>
      </c>
      <c r="I478" s="1126" t="s">
        <v>3292</v>
      </c>
      <c r="J478" s="1133" t="s">
        <v>3838</v>
      </c>
      <c r="K478" s="148" t="s">
        <v>3672</v>
      </c>
      <c r="L478" s="1134" t="s">
        <v>3672</v>
      </c>
      <c r="M478" s="1129">
        <f t="shared" si="29"/>
        <v>7500</v>
      </c>
      <c r="N478" s="1128" t="s">
        <v>3824</v>
      </c>
      <c r="O478" s="1128" t="s">
        <v>3824</v>
      </c>
      <c r="P478" s="1129">
        <f t="shared" si="28"/>
        <v>0</v>
      </c>
    </row>
    <row r="479" spans="1:16" ht="27" x14ac:dyDescent="0.2">
      <c r="A479" s="1132" t="s">
        <v>3781</v>
      </c>
      <c r="B479" s="1132" t="s">
        <v>3820</v>
      </c>
      <c r="C479" s="1132" t="s">
        <v>3784</v>
      </c>
      <c r="D479" s="1080" t="s">
        <v>3847</v>
      </c>
      <c r="E479" s="1131">
        <v>1500</v>
      </c>
      <c r="F479" s="1069">
        <v>40247459</v>
      </c>
      <c r="G479" s="151" t="s">
        <v>3857</v>
      </c>
      <c r="H479" s="151" t="s">
        <v>3224</v>
      </c>
      <c r="I479" s="1126" t="s">
        <v>3224</v>
      </c>
      <c r="J479" s="1133" t="s">
        <v>3575</v>
      </c>
      <c r="K479" s="148" t="s">
        <v>3626</v>
      </c>
      <c r="L479" s="1134" t="s">
        <v>3626</v>
      </c>
      <c r="M479" s="1129">
        <f t="shared" si="29"/>
        <v>4500</v>
      </c>
      <c r="N479" s="1128" t="s">
        <v>3824</v>
      </c>
      <c r="O479" s="1128" t="s">
        <v>3824</v>
      </c>
      <c r="P479" s="1129">
        <f t="shared" si="28"/>
        <v>0</v>
      </c>
    </row>
    <row r="480" spans="1:16" ht="40.5" x14ac:dyDescent="0.2">
      <c r="A480" s="1132" t="s">
        <v>3781</v>
      </c>
      <c r="B480" s="1132" t="s">
        <v>3820</v>
      </c>
      <c r="C480" s="1132" t="s">
        <v>3784</v>
      </c>
      <c r="D480" s="1080" t="s">
        <v>3809</v>
      </c>
      <c r="E480" s="1131">
        <v>3200</v>
      </c>
      <c r="F480" s="1069">
        <v>71781466</v>
      </c>
      <c r="G480" s="151" t="s">
        <v>3858</v>
      </c>
      <c r="H480" s="151" t="s">
        <v>3830</v>
      </c>
      <c r="I480" s="1126" t="s">
        <v>3292</v>
      </c>
      <c r="J480" s="1133" t="s">
        <v>3595</v>
      </c>
      <c r="K480" s="148" t="s">
        <v>3626</v>
      </c>
      <c r="L480" s="1134" t="s">
        <v>3626</v>
      </c>
      <c r="M480" s="1129">
        <f t="shared" si="29"/>
        <v>9600</v>
      </c>
      <c r="N480" s="1128" t="s">
        <v>3824</v>
      </c>
      <c r="O480" s="1128" t="s">
        <v>3824</v>
      </c>
      <c r="P480" s="1129">
        <f t="shared" si="28"/>
        <v>0</v>
      </c>
    </row>
    <row r="481" spans="1:16" ht="40.5" x14ac:dyDescent="0.2">
      <c r="A481" s="1132" t="s">
        <v>3781</v>
      </c>
      <c r="B481" s="1123" t="s">
        <v>3859</v>
      </c>
      <c r="C481" s="1132" t="s">
        <v>3784</v>
      </c>
      <c r="D481" s="1109" t="s">
        <v>3305</v>
      </c>
      <c r="E481" s="1131">
        <v>4000</v>
      </c>
      <c r="F481" s="1069">
        <v>43177875</v>
      </c>
      <c r="G481" s="151" t="s">
        <v>3860</v>
      </c>
      <c r="H481" s="1079" t="s">
        <v>3224</v>
      </c>
      <c r="I481" s="1126" t="s">
        <v>3224</v>
      </c>
      <c r="J481" s="1133" t="s">
        <v>3224</v>
      </c>
      <c r="K481" s="1361" t="s">
        <v>3861</v>
      </c>
      <c r="L481" s="1128" t="s">
        <v>3862</v>
      </c>
      <c r="M481" s="1129">
        <v>44000</v>
      </c>
      <c r="N481" s="1125"/>
      <c r="O481" s="1125" t="s">
        <v>3863</v>
      </c>
      <c r="P481" s="1129">
        <v>44000</v>
      </c>
    </row>
    <row r="482" spans="1:16" ht="40.5" x14ac:dyDescent="0.2">
      <c r="A482" s="1132" t="s">
        <v>3781</v>
      </c>
      <c r="B482" s="1123" t="s">
        <v>3859</v>
      </c>
      <c r="C482" s="1132" t="s">
        <v>3784</v>
      </c>
      <c r="D482" s="1109" t="s">
        <v>3807</v>
      </c>
      <c r="E482" s="1131">
        <v>3800</v>
      </c>
      <c r="F482" s="1069">
        <v>42321073</v>
      </c>
      <c r="G482" s="151" t="s">
        <v>3864</v>
      </c>
      <c r="H482" s="1079" t="s">
        <v>3224</v>
      </c>
      <c r="I482" s="1126" t="s">
        <v>3224</v>
      </c>
      <c r="J482" s="1133" t="s">
        <v>3865</v>
      </c>
      <c r="K482" s="1361" t="s">
        <v>3866</v>
      </c>
      <c r="L482" s="1128" t="s">
        <v>3862</v>
      </c>
      <c r="M482" s="1129">
        <v>41800</v>
      </c>
      <c r="N482" s="1125"/>
      <c r="O482" s="1125" t="s">
        <v>3863</v>
      </c>
      <c r="P482" s="1129">
        <v>41800</v>
      </c>
    </row>
    <row r="483" spans="1:16" ht="40.5" x14ac:dyDescent="0.2">
      <c r="A483" s="1132" t="s">
        <v>3781</v>
      </c>
      <c r="B483" s="1123" t="s">
        <v>3859</v>
      </c>
      <c r="C483" s="1132" t="s">
        <v>3784</v>
      </c>
      <c r="D483" s="1109" t="s">
        <v>3867</v>
      </c>
      <c r="E483" s="1131">
        <v>3300</v>
      </c>
      <c r="F483" s="1069">
        <v>43490424</v>
      </c>
      <c r="G483" s="151" t="s">
        <v>3868</v>
      </c>
      <c r="H483" s="1079" t="s">
        <v>3224</v>
      </c>
      <c r="I483" s="1126" t="s">
        <v>3224</v>
      </c>
      <c r="J483" s="1133" t="s">
        <v>3224</v>
      </c>
      <c r="K483" s="1361" t="s">
        <v>3869</v>
      </c>
      <c r="L483" s="1128" t="s">
        <v>3862</v>
      </c>
      <c r="M483" s="1129">
        <v>36300</v>
      </c>
      <c r="N483" s="1125"/>
      <c r="O483" s="1125" t="s">
        <v>3863</v>
      </c>
      <c r="P483" s="1129">
        <v>36300</v>
      </c>
    </row>
    <row r="484" spans="1:16" ht="40.5" x14ac:dyDescent="0.2">
      <c r="A484" s="1132" t="s">
        <v>3781</v>
      </c>
      <c r="B484" s="1123" t="s">
        <v>3859</v>
      </c>
      <c r="C484" s="1132" t="s">
        <v>3784</v>
      </c>
      <c r="D484" s="1109" t="s">
        <v>3870</v>
      </c>
      <c r="E484" s="1131">
        <v>3300</v>
      </c>
      <c r="F484" s="1069">
        <v>61398659</v>
      </c>
      <c r="G484" s="151" t="s">
        <v>3871</v>
      </c>
      <c r="H484" s="1079" t="s">
        <v>3830</v>
      </c>
      <c r="I484" s="1126" t="s">
        <v>3595</v>
      </c>
      <c r="J484" s="1133" t="s">
        <v>3830</v>
      </c>
      <c r="K484" s="1361" t="s">
        <v>3872</v>
      </c>
      <c r="L484" s="1128" t="s">
        <v>3862</v>
      </c>
      <c r="M484" s="1129">
        <v>36300</v>
      </c>
      <c r="N484" s="1125"/>
      <c r="O484" s="1125" t="s">
        <v>3863</v>
      </c>
      <c r="P484" s="1129">
        <v>36300</v>
      </c>
    </row>
    <row r="485" spans="1:16" ht="40.5" x14ac:dyDescent="0.2">
      <c r="A485" s="1132" t="s">
        <v>3781</v>
      </c>
      <c r="B485" s="1123" t="s">
        <v>3859</v>
      </c>
      <c r="C485" s="1132" t="s">
        <v>3784</v>
      </c>
      <c r="D485" s="1109" t="s">
        <v>3873</v>
      </c>
      <c r="E485" s="1131">
        <v>3300</v>
      </c>
      <c r="F485" s="1069">
        <v>44667569</v>
      </c>
      <c r="G485" s="151" t="s">
        <v>3874</v>
      </c>
      <c r="H485" s="1079" t="s">
        <v>3224</v>
      </c>
      <c r="I485" s="1126" t="s">
        <v>3224</v>
      </c>
      <c r="J485" s="1133" t="s">
        <v>3224</v>
      </c>
      <c r="K485" s="1361" t="s">
        <v>3875</v>
      </c>
      <c r="L485" s="1128" t="s">
        <v>3862</v>
      </c>
      <c r="M485" s="1129">
        <v>36300</v>
      </c>
      <c r="N485" s="1125"/>
      <c r="O485" s="1125" t="s">
        <v>3863</v>
      </c>
      <c r="P485" s="1129">
        <v>36300</v>
      </c>
    </row>
    <row r="486" spans="1:16" ht="40.5" x14ac:dyDescent="0.2">
      <c r="A486" s="1132" t="s">
        <v>3781</v>
      </c>
      <c r="B486" s="1123" t="s">
        <v>3859</v>
      </c>
      <c r="C486" s="1132" t="s">
        <v>3784</v>
      </c>
      <c r="D486" s="1109" t="s">
        <v>3876</v>
      </c>
      <c r="E486" s="1131">
        <v>2500</v>
      </c>
      <c r="F486" s="1069">
        <v>76006327</v>
      </c>
      <c r="G486" s="151" t="s">
        <v>3877</v>
      </c>
      <c r="H486" s="1079" t="s">
        <v>3830</v>
      </c>
      <c r="I486" s="1126" t="s">
        <v>3595</v>
      </c>
      <c r="J486" s="1133" t="s">
        <v>3830</v>
      </c>
      <c r="K486" s="1361" t="s">
        <v>3878</v>
      </c>
      <c r="L486" s="1128" t="s">
        <v>3862</v>
      </c>
      <c r="M486" s="1129">
        <v>27500</v>
      </c>
      <c r="N486" s="1125"/>
      <c r="O486" s="1125" t="s">
        <v>3863</v>
      </c>
      <c r="P486" s="1129">
        <v>27500</v>
      </c>
    </row>
    <row r="487" spans="1:16" ht="40.5" x14ac:dyDescent="0.2">
      <c r="A487" s="1132" t="s">
        <v>3781</v>
      </c>
      <c r="B487" s="1123" t="s">
        <v>3859</v>
      </c>
      <c r="C487" s="1132" t="s">
        <v>3784</v>
      </c>
      <c r="D487" s="1109" t="s">
        <v>3879</v>
      </c>
      <c r="E487" s="1131">
        <v>2500</v>
      </c>
      <c r="F487" s="1069">
        <v>45117019</v>
      </c>
      <c r="G487" s="151" t="s">
        <v>3880</v>
      </c>
      <c r="H487" s="1079" t="s">
        <v>3830</v>
      </c>
      <c r="I487" s="1126" t="s">
        <v>3595</v>
      </c>
      <c r="J487" s="1133" t="s">
        <v>3830</v>
      </c>
      <c r="K487" s="1361" t="s">
        <v>3881</v>
      </c>
      <c r="L487" s="1128" t="s">
        <v>3862</v>
      </c>
      <c r="M487" s="1129">
        <v>27500</v>
      </c>
      <c r="N487" s="1125"/>
      <c r="O487" s="1125" t="s">
        <v>3863</v>
      </c>
      <c r="P487" s="1129">
        <v>27500</v>
      </c>
    </row>
    <row r="488" spans="1:16" ht="40.5" x14ac:dyDescent="0.2">
      <c r="A488" s="1132" t="s">
        <v>3781</v>
      </c>
      <c r="B488" s="1123" t="s">
        <v>3859</v>
      </c>
      <c r="C488" s="1132" t="s">
        <v>3784</v>
      </c>
      <c r="D488" s="1109" t="s">
        <v>3882</v>
      </c>
      <c r="E488" s="1131">
        <v>2500</v>
      </c>
      <c r="F488" s="1069">
        <v>48338595</v>
      </c>
      <c r="G488" s="151" t="s">
        <v>3883</v>
      </c>
      <c r="H488" s="1079" t="s">
        <v>3830</v>
      </c>
      <c r="I488" s="1126" t="s">
        <v>3595</v>
      </c>
      <c r="J488" s="1133" t="s">
        <v>3830</v>
      </c>
      <c r="K488" s="1361" t="s">
        <v>3884</v>
      </c>
      <c r="L488" s="1128" t="s">
        <v>3862</v>
      </c>
      <c r="M488" s="1129">
        <v>27500</v>
      </c>
      <c r="N488" s="1125"/>
      <c r="O488" s="1125" t="s">
        <v>3863</v>
      </c>
      <c r="P488" s="1129">
        <v>27500</v>
      </c>
    </row>
    <row r="489" spans="1:16" ht="40.5" x14ac:dyDescent="0.2">
      <c r="A489" s="1132" t="s">
        <v>3781</v>
      </c>
      <c r="B489" s="1123" t="s">
        <v>3859</v>
      </c>
      <c r="C489" s="1132" t="s">
        <v>3784</v>
      </c>
      <c r="D489" s="1109" t="s">
        <v>3885</v>
      </c>
      <c r="E489" s="1131">
        <v>3300</v>
      </c>
      <c r="F489" s="1125" t="s">
        <v>3886</v>
      </c>
      <c r="G489" s="151" t="s">
        <v>3887</v>
      </c>
      <c r="H489" s="1079" t="s">
        <v>3224</v>
      </c>
      <c r="I489" s="1126" t="s">
        <v>3224</v>
      </c>
      <c r="J489" s="1133" t="s">
        <v>3224</v>
      </c>
      <c r="K489" s="1361" t="s">
        <v>3888</v>
      </c>
      <c r="L489" s="1128" t="s">
        <v>3862</v>
      </c>
      <c r="M489" s="1129">
        <v>36300</v>
      </c>
      <c r="N489" s="1125"/>
      <c r="O489" s="1125" t="s">
        <v>3863</v>
      </c>
      <c r="P489" s="1129">
        <v>36300</v>
      </c>
    </row>
    <row r="490" spans="1:16" ht="40.5" x14ac:dyDescent="0.2">
      <c r="A490" s="1132" t="s">
        <v>3781</v>
      </c>
      <c r="B490" s="1123" t="s">
        <v>3859</v>
      </c>
      <c r="C490" s="1132" t="s">
        <v>3784</v>
      </c>
      <c r="D490" s="1109" t="s">
        <v>3889</v>
      </c>
      <c r="E490" s="1131">
        <v>1300</v>
      </c>
      <c r="F490" s="1069">
        <v>73196131</v>
      </c>
      <c r="G490" s="151" t="s">
        <v>3890</v>
      </c>
      <c r="H490" s="151" t="s">
        <v>3171</v>
      </c>
      <c r="I490" s="1126" t="s">
        <v>3891</v>
      </c>
      <c r="J490" s="1133" t="s">
        <v>3892</v>
      </c>
      <c r="K490" s="1361" t="s">
        <v>3893</v>
      </c>
      <c r="L490" s="1128" t="s">
        <v>3862</v>
      </c>
      <c r="M490" s="1129">
        <v>14300</v>
      </c>
      <c r="N490" s="1125"/>
      <c r="O490" s="1125" t="s">
        <v>3863</v>
      </c>
      <c r="P490" s="1129">
        <v>14300</v>
      </c>
    </row>
    <row r="491" spans="1:16" ht="40.5" x14ac:dyDescent="0.2">
      <c r="A491" s="1132" t="s">
        <v>3781</v>
      </c>
      <c r="B491" s="1123" t="s">
        <v>3859</v>
      </c>
      <c r="C491" s="1132" t="s">
        <v>3784</v>
      </c>
      <c r="D491" s="1109" t="s">
        <v>3894</v>
      </c>
      <c r="E491" s="1131">
        <v>2200</v>
      </c>
      <c r="F491" s="1069">
        <v>48464399</v>
      </c>
      <c r="G491" s="151" t="s">
        <v>3895</v>
      </c>
      <c r="H491" s="151" t="s">
        <v>3896</v>
      </c>
      <c r="I491" s="1126" t="s">
        <v>3897</v>
      </c>
      <c r="J491" s="1133" t="s">
        <v>3898</v>
      </c>
      <c r="K491" s="1361" t="s">
        <v>3899</v>
      </c>
      <c r="L491" s="1128" t="s">
        <v>3862</v>
      </c>
      <c r="M491" s="1129">
        <v>24200</v>
      </c>
      <c r="N491" s="1125"/>
      <c r="O491" s="1125" t="s">
        <v>3863</v>
      </c>
      <c r="P491" s="1129">
        <v>24200</v>
      </c>
    </row>
    <row r="492" spans="1:16" ht="40.5" x14ac:dyDescent="0.2">
      <c r="A492" s="1132" t="s">
        <v>3781</v>
      </c>
      <c r="B492" s="1123" t="s">
        <v>3859</v>
      </c>
      <c r="C492" s="1132" t="s">
        <v>3784</v>
      </c>
      <c r="D492" s="1109" t="s">
        <v>3900</v>
      </c>
      <c r="E492" s="1131">
        <v>2500</v>
      </c>
      <c r="F492" s="1069">
        <v>42164964</v>
      </c>
      <c r="G492" s="151" t="s">
        <v>3901</v>
      </c>
      <c r="H492" s="151" t="s">
        <v>3129</v>
      </c>
      <c r="I492" s="1126" t="s">
        <v>3129</v>
      </c>
      <c r="J492" s="1133" t="s">
        <v>3902</v>
      </c>
      <c r="K492" s="1361" t="s">
        <v>3903</v>
      </c>
      <c r="L492" s="1128" t="s">
        <v>3862</v>
      </c>
      <c r="M492" s="1129">
        <v>27500</v>
      </c>
      <c r="N492" s="1125"/>
      <c r="O492" s="1125" t="s">
        <v>3863</v>
      </c>
      <c r="P492" s="1129">
        <v>27500</v>
      </c>
    </row>
    <row r="493" spans="1:16" ht="40.5" x14ac:dyDescent="0.2">
      <c r="A493" s="1132" t="s">
        <v>3781</v>
      </c>
      <c r="B493" s="1123" t="s">
        <v>3859</v>
      </c>
      <c r="C493" s="1132" t="s">
        <v>3784</v>
      </c>
      <c r="D493" s="1109" t="s">
        <v>3134</v>
      </c>
      <c r="E493" s="1131">
        <v>1500</v>
      </c>
      <c r="F493" s="1069">
        <v>45068323</v>
      </c>
      <c r="G493" s="154" t="s">
        <v>3904</v>
      </c>
      <c r="H493" s="151" t="s">
        <v>3905</v>
      </c>
      <c r="I493" s="1069" t="s">
        <v>3906</v>
      </c>
      <c r="J493" s="1133" t="s">
        <v>3906</v>
      </c>
      <c r="K493" s="1361" t="s">
        <v>3907</v>
      </c>
      <c r="L493" s="1128" t="s">
        <v>3862</v>
      </c>
      <c r="M493" s="1129">
        <v>16500</v>
      </c>
      <c r="N493" s="1125"/>
      <c r="O493" s="1125" t="s">
        <v>3863</v>
      </c>
      <c r="P493" s="1129">
        <v>16500</v>
      </c>
    </row>
    <row r="494" spans="1:16" ht="13.5" x14ac:dyDescent="0.2">
      <c r="A494" s="1132"/>
      <c r="B494" s="1539" t="s">
        <v>3485</v>
      </c>
      <c r="C494" s="1539"/>
      <c r="D494" s="1539"/>
      <c r="E494" s="1131">
        <f>SUM(E442:E493)</f>
        <v>128560</v>
      </c>
      <c r="F494" s="1069"/>
      <c r="G494" s="151"/>
      <c r="H494" s="151"/>
      <c r="I494" s="1126"/>
      <c r="J494" s="1133"/>
      <c r="K494" s="1361"/>
      <c r="L494" s="1128"/>
      <c r="M494" s="1129">
        <f>SUM(M443:M493)</f>
        <v>854960</v>
      </c>
      <c r="N494" s="1128"/>
      <c r="O494" s="1128"/>
      <c r="P494" s="1129">
        <f>SUM(P443:P493)</f>
        <v>763920</v>
      </c>
    </row>
    <row r="495" spans="1:16" ht="13.5" x14ac:dyDescent="0.2">
      <c r="A495" s="1350"/>
      <c r="B495" s="1540" t="s">
        <v>169</v>
      </c>
      <c r="C495" s="1540"/>
      <c r="D495" s="1540"/>
      <c r="E495" s="1202">
        <f>E442+E494</f>
        <v>130760</v>
      </c>
      <c r="F495" s="1203"/>
      <c r="G495" s="1204"/>
      <c r="H495" s="1204"/>
      <c r="I495" s="1205"/>
      <c r="J495" s="1206"/>
      <c r="K495" s="1362"/>
      <c r="L495" s="1207"/>
      <c r="M495" s="1208">
        <f>M442+M494</f>
        <v>872560</v>
      </c>
      <c r="N495" s="1207"/>
      <c r="O495" s="1207"/>
      <c r="P495" s="1208">
        <f>P442+P494</f>
        <v>790520</v>
      </c>
    </row>
    <row r="496" spans="1:16" x14ac:dyDescent="0.2">
      <c r="A496" s="63"/>
      <c r="C496" s="63"/>
      <c r="E496" s="63"/>
      <c r="I496" s="63"/>
      <c r="J496" s="63"/>
      <c r="L496" s="63"/>
      <c r="M496" s="63"/>
      <c r="P496" s="63"/>
    </row>
    <row r="497" spans="1:16" x14ac:dyDescent="0.2">
      <c r="A497" s="63"/>
      <c r="C497" s="63"/>
      <c r="E497" s="63"/>
      <c r="I497" s="63"/>
      <c r="J497" s="63"/>
      <c r="L497" s="63"/>
      <c r="M497" s="63"/>
      <c r="P497" s="63"/>
    </row>
    <row r="498" spans="1:16" ht="36" x14ac:dyDescent="0.2">
      <c r="A498" s="869" t="s">
        <v>427</v>
      </c>
      <c r="B498" s="1154"/>
      <c r="C498" s="851"/>
      <c r="D498" s="1176"/>
      <c r="E498" s="1177"/>
      <c r="F498" s="1176"/>
      <c r="G498" s="1176"/>
      <c r="H498" s="1176"/>
      <c r="I498" s="1178"/>
      <c r="J498" s="1178"/>
      <c r="K498" s="1358"/>
      <c r="L498" s="1179"/>
      <c r="M498" s="1180"/>
      <c r="N498" s="1176"/>
      <c r="O498" s="1176"/>
      <c r="P498" s="1180"/>
    </row>
    <row r="499" spans="1:16" x14ac:dyDescent="0.2">
      <c r="A499" s="1529" t="s">
        <v>3075</v>
      </c>
      <c r="B499" s="1529"/>
      <c r="C499" s="1529"/>
      <c r="D499" s="1529"/>
      <c r="E499" s="1529"/>
      <c r="F499" s="1529" t="s">
        <v>3076</v>
      </c>
      <c r="G499" s="1529"/>
      <c r="H499" s="1529"/>
      <c r="I499" s="1529"/>
      <c r="J499" s="1529"/>
      <c r="K499" s="1528" t="s">
        <v>3077</v>
      </c>
      <c r="L499" s="1528"/>
      <c r="M499" s="1528"/>
      <c r="N499" s="1528" t="s">
        <v>3078</v>
      </c>
      <c r="O499" s="1528"/>
      <c r="P499" s="1528"/>
    </row>
    <row r="500" spans="1:16" ht="105" x14ac:dyDescent="0.2">
      <c r="A500" s="869" t="s">
        <v>2829</v>
      </c>
      <c r="B500" s="433" t="s">
        <v>3079</v>
      </c>
      <c r="C500" s="869" t="s">
        <v>3080</v>
      </c>
      <c r="D500" s="433" t="s">
        <v>3081</v>
      </c>
      <c r="E500" s="699" t="s">
        <v>3082</v>
      </c>
      <c r="F500" s="433" t="s">
        <v>3083</v>
      </c>
      <c r="G500" s="433" t="s">
        <v>3084</v>
      </c>
      <c r="H500" s="433" t="s">
        <v>3085</v>
      </c>
      <c r="I500" s="433" t="s">
        <v>3086</v>
      </c>
      <c r="J500" s="433" t="s">
        <v>3087</v>
      </c>
      <c r="K500" s="1354" t="s">
        <v>3088</v>
      </c>
      <c r="L500" s="1157" t="s">
        <v>3089</v>
      </c>
      <c r="M500" s="698" t="s">
        <v>3090</v>
      </c>
      <c r="N500" s="1157" t="s">
        <v>3088</v>
      </c>
      <c r="O500" s="1157" t="s">
        <v>3089</v>
      </c>
      <c r="P500" s="698" t="s">
        <v>3090</v>
      </c>
    </row>
    <row r="501" spans="1:16" ht="72" x14ac:dyDescent="0.2">
      <c r="A501" s="60"/>
      <c r="B501" s="416"/>
      <c r="C501" s="60"/>
      <c r="D501" s="416" t="s">
        <v>3908</v>
      </c>
      <c r="E501" s="564" t="s">
        <v>3909</v>
      </c>
      <c r="F501" s="415">
        <v>43075869</v>
      </c>
      <c r="G501" s="60" t="s">
        <v>3910</v>
      </c>
      <c r="H501" s="415" t="s">
        <v>3404</v>
      </c>
      <c r="I501" s="415" t="s">
        <v>3292</v>
      </c>
      <c r="J501" s="415" t="s">
        <v>3575</v>
      </c>
      <c r="K501" s="1363">
        <v>0</v>
      </c>
      <c r="L501" s="1120">
        <v>0</v>
      </c>
      <c r="M501" s="1120">
        <v>0</v>
      </c>
      <c r="N501" s="1119">
        <v>6</v>
      </c>
      <c r="O501" s="1119">
        <v>6</v>
      </c>
      <c r="P501" s="1120">
        <v>6000</v>
      </c>
    </row>
    <row r="502" spans="1:16" ht="72" x14ac:dyDescent="0.2">
      <c r="A502" s="60"/>
      <c r="B502" s="416"/>
      <c r="C502" s="60"/>
      <c r="D502" s="416" t="s">
        <v>3187</v>
      </c>
      <c r="E502" s="564" t="s">
        <v>3911</v>
      </c>
      <c r="F502" s="415">
        <v>1617481</v>
      </c>
      <c r="G502" s="416" t="s">
        <v>3912</v>
      </c>
      <c r="H502" s="416" t="s">
        <v>3115</v>
      </c>
      <c r="I502" s="415" t="s">
        <v>3292</v>
      </c>
      <c r="J502" s="415" t="s">
        <v>3575</v>
      </c>
      <c r="K502" s="1363">
        <v>0</v>
      </c>
      <c r="L502" s="1120">
        <v>0</v>
      </c>
      <c r="M502" s="1120">
        <v>0</v>
      </c>
      <c r="N502" s="1119">
        <v>6</v>
      </c>
      <c r="O502" s="1119">
        <v>6</v>
      </c>
      <c r="P502" s="1120">
        <v>6000</v>
      </c>
    </row>
    <row r="503" spans="1:16" ht="72" x14ac:dyDescent="0.2">
      <c r="A503" s="60"/>
      <c r="B503" s="416"/>
      <c r="C503" s="60"/>
      <c r="D503" s="416" t="s">
        <v>3187</v>
      </c>
      <c r="E503" s="564" t="s">
        <v>3913</v>
      </c>
      <c r="F503" s="1118" t="s">
        <v>3914</v>
      </c>
      <c r="G503" s="416" t="s">
        <v>3915</v>
      </c>
      <c r="H503" s="416" t="s">
        <v>3115</v>
      </c>
      <c r="I503" s="415" t="s">
        <v>3292</v>
      </c>
      <c r="J503" s="415" t="s">
        <v>3575</v>
      </c>
      <c r="K503" s="1363">
        <v>0</v>
      </c>
      <c r="L503" s="1120">
        <v>0</v>
      </c>
      <c r="M503" s="1120">
        <v>0</v>
      </c>
      <c r="N503" s="1119">
        <v>6</v>
      </c>
      <c r="O503" s="1119">
        <v>6</v>
      </c>
      <c r="P503" s="1120">
        <v>6000</v>
      </c>
    </row>
    <row r="504" spans="1:16" ht="72" x14ac:dyDescent="0.2">
      <c r="A504" s="60"/>
      <c r="B504" s="416"/>
      <c r="C504" s="60"/>
      <c r="D504" s="416" t="s">
        <v>3187</v>
      </c>
      <c r="E504" s="564" t="s">
        <v>3916</v>
      </c>
      <c r="F504" s="415">
        <v>47392099</v>
      </c>
      <c r="G504" s="416" t="s">
        <v>3917</v>
      </c>
      <c r="H504" s="416" t="s">
        <v>3115</v>
      </c>
      <c r="I504" s="415" t="s">
        <v>3292</v>
      </c>
      <c r="J504" s="415" t="s">
        <v>3575</v>
      </c>
      <c r="K504" s="1363">
        <v>0</v>
      </c>
      <c r="L504" s="1120">
        <v>0</v>
      </c>
      <c r="M504" s="1120">
        <v>0</v>
      </c>
      <c r="N504" s="1119">
        <v>6</v>
      </c>
      <c r="O504" s="1119">
        <v>6</v>
      </c>
      <c r="P504" s="1120">
        <v>6000</v>
      </c>
    </row>
    <row r="505" spans="1:16" ht="72" x14ac:dyDescent="0.2">
      <c r="A505" s="60"/>
      <c r="B505" s="416"/>
      <c r="C505" s="60"/>
      <c r="D505" s="416" t="s">
        <v>3100</v>
      </c>
      <c r="E505" s="564" t="s">
        <v>3918</v>
      </c>
      <c r="F505" s="415">
        <v>463814894</v>
      </c>
      <c r="G505" s="416" t="s">
        <v>3919</v>
      </c>
      <c r="H505" s="416" t="s">
        <v>3115</v>
      </c>
      <c r="I505" s="415" t="s">
        <v>3292</v>
      </c>
      <c r="J505" s="415" t="s">
        <v>3575</v>
      </c>
      <c r="K505" s="1363">
        <v>0</v>
      </c>
      <c r="L505" s="1120">
        <v>0</v>
      </c>
      <c r="M505" s="1120">
        <v>0</v>
      </c>
      <c r="N505" s="1119">
        <v>6</v>
      </c>
      <c r="O505" s="1119">
        <v>6</v>
      </c>
      <c r="P505" s="1120">
        <v>7200</v>
      </c>
    </row>
    <row r="506" spans="1:16" x14ac:dyDescent="0.2">
      <c r="A506" s="60"/>
      <c r="B506" s="416"/>
      <c r="C506" s="60"/>
      <c r="D506" s="416"/>
      <c r="E506" s="564"/>
      <c r="F506" s="416"/>
      <c r="G506" s="416"/>
      <c r="H506" s="416"/>
      <c r="I506" s="415"/>
      <c r="J506" s="415"/>
      <c r="K506" s="945"/>
      <c r="L506" s="1143"/>
      <c r="M506" s="1120"/>
      <c r="N506" s="1143"/>
      <c r="O506" s="1143"/>
      <c r="P506" s="1120"/>
    </row>
    <row r="507" spans="1:16" x14ac:dyDescent="0.2">
      <c r="A507" s="869"/>
      <c r="B507" s="433"/>
      <c r="C507" s="869"/>
      <c r="D507" s="1176"/>
      <c r="E507" s="1177"/>
      <c r="F507" s="433"/>
      <c r="G507" s="1176"/>
      <c r="H507" s="1176"/>
      <c r="I507" s="1178"/>
      <c r="J507" s="1178"/>
      <c r="K507" s="1358"/>
      <c r="L507" s="1179"/>
      <c r="M507" s="1180"/>
      <c r="N507" s="1179"/>
      <c r="O507" s="1179"/>
      <c r="P507" s="1156">
        <f>SUM(P501:P506)</f>
        <v>31200</v>
      </c>
    </row>
    <row r="508" spans="1:16" x14ac:dyDescent="0.2">
      <c r="A508" s="63"/>
      <c r="C508" s="63"/>
      <c r="E508" s="63"/>
      <c r="I508" s="63"/>
      <c r="J508" s="63"/>
      <c r="L508" s="63"/>
      <c r="M508" s="63"/>
      <c r="P508" s="63"/>
    </row>
    <row r="509" spans="1:16" x14ac:dyDescent="0.2">
      <c r="A509" s="63"/>
      <c r="C509" s="63"/>
      <c r="E509" s="63"/>
      <c r="I509" s="63"/>
      <c r="J509" s="63"/>
      <c r="L509" s="63"/>
      <c r="M509" s="63"/>
      <c r="P509" s="63"/>
    </row>
    <row r="510" spans="1:16" ht="36" x14ac:dyDescent="0.2">
      <c r="A510" s="869" t="s">
        <v>418</v>
      </c>
      <c r="B510" s="1176"/>
      <c r="C510" s="851"/>
      <c r="D510" s="1176"/>
      <c r="E510" s="1177"/>
      <c r="F510" s="1176"/>
      <c r="G510" s="1176"/>
      <c r="H510" s="1176"/>
      <c r="I510" s="1178"/>
      <c r="J510" s="1178"/>
      <c r="K510" s="1358"/>
      <c r="L510" s="1179"/>
      <c r="M510" s="1180"/>
      <c r="N510" s="1176"/>
      <c r="O510" s="1176"/>
      <c r="P510" s="1180"/>
    </row>
    <row r="511" spans="1:16" x14ac:dyDescent="0.2">
      <c r="A511" s="1490" t="s">
        <v>3075</v>
      </c>
      <c r="B511" s="1490"/>
      <c r="C511" s="1490"/>
      <c r="D511" s="1490"/>
      <c r="E511" s="1490"/>
      <c r="F511" s="1490" t="s">
        <v>3076</v>
      </c>
      <c r="G511" s="1490"/>
      <c r="H511" s="1490"/>
      <c r="I511" s="1490"/>
      <c r="J511" s="1490"/>
      <c r="K511" s="1542" t="s">
        <v>3077</v>
      </c>
      <c r="L511" s="1542"/>
      <c r="M511" s="1542"/>
      <c r="N511" s="1542" t="s">
        <v>3078</v>
      </c>
      <c r="O511" s="1542"/>
      <c r="P511" s="1542"/>
    </row>
    <row r="512" spans="1:16" ht="110.1" customHeight="1" x14ac:dyDescent="0.2">
      <c r="A512" s="870" t="s">
        <v>2829</v>
      </c>
      <c r="B512" s="695" t="s">
        <v>3079</v>
      </c>
      <c r="C512" s="870" t="s">
        <v>3080</v>
      </c>
      <c r="D512" s="695" t="s">
        <v>3081</v>
      </c>
      <c r="E512" s="1209" t="s">
        <v>3082</v>
      </c>
      <c r="F512" s="695" t="s">
        <v>3083</v>
      </c>
      <c r="G512" s="695" t="s">
        <v>3084</v>
      </c>
      <c r="H512" s="695" t="s">
        <v>3085</v>
      </c>
      <c r="I512" s="695" t="s">
        <v>3086</v>
      </c>
      <c r="J512" s="695" t="s">
        <v>3087</v>
      </c>
      <c r="K512" s="1364" t="s">
        <v>3088</v>
      </c>
      <c r="L512" s="1210" t="s">
        <v>3089</v>
      </c>
      <c r="M512" s="1211" t="s">
        <v>3090</v>
      </c>
      <c r="N512" s="1210" t="s">
        <v>3088</v>
      </c>
      <c r="O512" s="1210" t="s">
        <v>3089</v>
      </c>
      <c r="P512" s="1211" t="s">
        <v>3090</v>
      </c>
    </row>
    <row r="513" spans="1:16" x14ac:dyDescent="0.2">
      <c r="A513" s="1213"/>
      <c r="B513" s="1212"/>
      <c r="C513" s="1213"/>
      <c r="D513" s="1212"/>
      <c r="E513" s="1214"/>
      <c r="F513" s="1212"/>
      <c r="G513" s="862"/>
      <c r="H513" s="862"/>
      <c r="I513" s="713"/>
      <c r="J513" s="1215"/>
      <c r="K513" s="1365"/>
      <c r="L513" s="1216"/>
      <c r="M513" s="1217"/>
      <c r="N513" s="1216"/>
      <c r="O513" s="1216"/>
      <c r="P513" s="1217"/>
    </row>
    <row r="514" spans="1:16" ht="24" x14ac:dyDescent="0.2">
      <c r="A514" s="1213">
        <v>943</v>
      </c>
      <c r="B514" s="1212" t="s">
        <v>3092</v>
      </c>
      <c r="C514" s="1213" t="s">
        <v>398</v>
      </c>
      <c r="D514" s="1212" t="s">
        <v>3134</v>
      </c>
      <c r="E514" s="1218">
        <v>1250</v>
      </c>
      <c r="F514" s="1212">
        <v>45150665</v>
      </c>
      <c r="G514" s="1212" t="s">
        <v>3920</v>
      </c>
      <c r="H514" s="1212" t="s">
        <v>3921</v>
      </c>
      <c r="I514" s="1215" t="s">
        <v>3292</v>
      </c>
      <c r="J514" s="1215" t="s">
        <v>3292</v>
      </c>
      <c r="K514" s="1366" t="s">
        <v>3604</v>
      </c>
      <c r="L514" s="1219">
        <v>12</v>
      </c>
      <c r="M514" s="1217">
        <v>15600</v>
      </c>
      <c r="N514" s="1219" t="s">
        <v>430</v>
      </c>
      <c r="O514" s="1219" t="s">
        <v>430</v>
      </c>
      <c r="P514" s="1217">
        <v>7500</v>
      </c>
    </row>
    <row r="515" spans="1:16" x14ac:dyDescent="0.2">
      <c r="A515" s="1213">
        <v>943</v>
      </c>
      <c r="B515" s="1212" t="s">
        <v>3092</v>
      </c>
      <c r="C515" s="1213" t="s">
        <v>398</v>
      </c>
      <c r="D515" s="1212" t="s">
        <v>3100</v>
      </c>
      <c r="E515" s="1218">
        <v>1100</v>
      </c>
      <c r="F515" s="1212">
        <v>4666922</v>
      </c>
      <c r="G515" s="1212" t="s">
        <v>3922</v>
      </c>
      <c r="H515" s="1212" t="s">
        <v>3923</v>
      </c>
      <c r="I515" s="1215" t="s">
        <v>3292</v>
      </c>
      <c r="J515" s="1215" t="s">
        <v>3292</v>
      </c>
      <c r="K515" s="1366" t="s">
        <v>3604</v>
      </c>
      <c r="L515" s="1219">
        <v>12</v>
      </c>
      <c r="M515" s="1217">
        <v>13800</v>
      </c>
      <c r="N515" s="1219" t="s">
        <v>430</v>
      </c>
      <c r="O515" s="1219" t="s">
        <v>430</v>
      </c>
      <c r="P515" s="1217">
        <v>6600</v>
      </c>
    </row>
    <row r="516" spans="1:16" ht="24" x14ac:dyDescent="0.2">
      <c r="A516" s="1213">
        <v>943</v>
      </c>
      <c r="B516" s="1212" t="s">
        <v>3092</v>
      </c>
      <c r="C516" s="1213" t="s">
        <v>398</v>
      </c>
      <c r="D516" s="1212" t="s">
        <v>3924</v>
      </c>
      <c r="E516" s="1218">
        <v>1000</v>
      </c>
      <c r="F516" s="1219" t="s">
        <v>3925</v>
      </c>
      <c r="G516" s="1212" t="s">
        <v>3926</v>
      </c>
      <c r="H516" s="1212" t="s">
        <v>3927</v>
      </c>
      <c r="I516" s="1215" t="s">
        <v>3292</v>
      </c>
      <c r="J516" s="1215" t="s">
        <v>3292</v>
      </c>
      <c r="K516" s="1366" t="s">
        <v>3604</v>
      </c>
      <c r="L516" s="1219">
        <v>12</v>
      </c>
      <c r="M516" s="1217">
        <v>12600</v>
      </c>
      <c r="N516" s="1219" t="s">
        <v>430</v>
      </c>
      <c r="O516" s="1219" t="s">
        <v>430</v>
      </c>
      <c r="P516" s="1217">
        <v>6000</v>
      </c>
    </row>
    <row r="517" spans="1:16" x14ac:dyDescent="0.2">
      <c r="A517" s="1213"/>
      <c r="B517" s="1212"/>
      <c r="C517" s="1213" t="s">
        <v>2766</v>
      </c>
      <c r="D517" s="1212"/>
      <c r="E517" s="1218"/>
      <c r="F517" s="1212"/>
      <c r="G517" s="1212"/>
      <c r="H517" s="1212"/>
      <c r="I517" s="1215"/>
      <c r="J517" s="1215"/>
      <c r="K517" s="1365"/>
      <c r="L517" s="1216"/>
      <c r="M517" s="1217"/>
      <c r="N517" s="1216"/>
      <c r="O517" s="1216"/>
      <c r="P517" s="1217"/>
    </row>
    <row r="518" spans="1:16" ht="24" x14ac:dyDescent="0.2">
      <c r="A518" s="1213">
        <v>943</v>
      </c>
      <c r="B518" s="1212" t="s">
        <v>3092</v>
      </c>
      <c r="C518" s="1213" t="s">
        <v>3572</v>
      </c>
      <c r="D518" s="1212" t="s">
        <v>3134</v>
      </c>
      <c r="E518" s="1220">
        <v>1200</v>
      </c>
      <c r="F518" s="1219" t="s">
        <v>3928</v>
      </c>
      <c r="G518" s="1212" t="s">
        <v>3929</v>
      </c>
      <c r="H518" s="1212" t="s">
        <v>3930</v>
      </c>
      <c r="I518" s="1215" t="s">
        <v>3292</v>
      </c>
      <c r="J518" s="1215" t="s">
        <v>3292</v>
      </c>
      <c r="K518" s="1366" t="s">
        <v>3662</v>
      </c>
      <c r="L518" s="1219">
        <v>12</v>
      </c>
      <c r="M518" s="1217">
        <v>14400</v>
      </c>
      <c r="N518" s="1219" t="s">
        <v>3601</v>
      </c>
      <c r="O518" s="1219" t="s">
        <v>430</v>
      </c>
      <c r="P518" s="1217">
        <v>7200</v>
      </c>
    </row>
    <row r="519" spans="1:16" ht="24" x14ac:dyDescent="0.2">
      <c r="A519" s="1213">
        <v>943</v>
      </c>
      <c r="B519" s="1212" t="s">
        <v>3092</v>
      </c>
      <c r="C519" s="1213" t="s">
        <v>3572</v>
      </c>
      <c r="D519" s="1212" t="s">
        <v>3931</v>
      </c>
      <c r="E519" s="1220">
        <v>3000</v>
      </c>
      <c r="F519" s="1219" t="s">
        <v>3932</v>
      </c>
      <c r="G519" s="1212" t="s">
        <v>3933</v>
      </c>
      <c r="H519" s="1212" t="s">
        <v>3131</v>
      </c>
      <c r="I519" s="1215" t="s">
        <v>3564</v>
      </c>
      <c r="J519" s="1215" t="s">
        <v>3564</v>
      </c>
      <c r="K519" s="1366" t="s">
        <v>3672</v>
      </c>
      <c r="L519" s="1219">
        <v>12</v>
      </c>
      <c r="M519" s="1217">
        <v>36000</v>
      </c>
      <c r="N519" s="1219" t="s">
        <v>3601</v>
      </c>
      <c r="O519" s="1219" t="s">
        <v>430</v>
      </c>
      <c r="P519" s="1217">
        <v>18000</v>
      </c>
    </row>
    <row r="520" spans="1:16" ht="24" x14ac:dyDescent="0.2">
      <c r="A520" s="1213">
        <v>943</v>
      </c>
      <c r="B520" s="1212" t="s">
        <v>3092</v>
      </c>
      <c r="C520" s="1213" t="s">
        <v>3572</v>
      </c>
      <c r="D520" s="1212" t="s">
        <v>3112</v>
      </c>
      <c r="E520" s="1220">
        <v>1800</v>
      </c>
      <c r="F520" s="1219" t="s">
        <v>3934</v>
      </c>
      <c r="G520" s="1212" t="s">
        <v>3935</v>
      </c>
      <c r="H520" s="1212" t="s">
        <v>3292</v>
      </c>
      <c r="I520" s="1215" t="s">
        <v>3292</v>
      </c>
      <c r="J520" s="1215" t="s">
        <v>3292</v>
      </c>
      <c r="K520" s="1366" t="s">
        <v>3662</v>
      </c>
      <c r="L520" s="1219">
        <v>12</v>
      </c>
      <c r="M520" s="1217">
        <v>21600</v>
      </c>
      <c r="N520" s="1219" t="s">
        <v>3601</v>
      </c>
      <c r="O520" s="1219" t="s">
        <v>430</v>
      </c>
      <c r="P520" s="1217">
        <v>10800</v>
      </c>
    </row>
    <row r="521" spans="1:16" ht="24" x14ac:dyDescent="0.2">
      <c r="A521" s="1213">
        <v>943</v>
      </c>
      <c r="B521" s="1212" t="s">
        <v>3092</v>
      </c>
      <c r="C521" s="1213" t="s">
        <v>3572</v>
      </c>
      <c r="D521" s="1212" t="s">
        <v>3936</v>
      </c>
      <c r="E521" s="1220">
        <v>1200</v>
      </c>
      <c r="F521" s="1219" t="s">
        <v>3937</v>
      </c>
      <c r="G521" s="1212" t="s">
        <v>3938</v>
      </c>
      <c r="H521" s="1212" t="s">
        <v>3615</v>
      </c>
      <c r="I521" s="1215" t="s">
        <v>3615</v>
      </c>
      <c r="J521" s="1215" t="s">
        <v>3615</v>
      </c>
      <c r="K521" s="1366" t="s">
        <v>3662</v>
      </c>
      <c r="L521" s="1219">
        <v>12</v>
      </c>
      <c r="M521" s="1217">
        <v>14400</v>
      </c>
      <c r="N521" s="1219" t="s">
        <v>3601</v>
      </c>
      <c r="O521" s="1219" t="s">
        <v>430</v>
      </c>
      <c r="P521" s="1217">
        <v>7200</v>
      </c>
    </row>
    <row r="522" spans="1:16" ht="24" x14ac:dyDescent="0.2">
      <c r="A522" s="1213">
        <v>943</v>
      </c>
      <c r="B522" s="1212" t="s">
        <v>3092</v>
      </c>
      <c r="C522" s="1213" t="s">
        <v>3572</v>
      </c>
      <c r="D522" s="1212" t="s">
        <v>3939</v>
      </c>
      <c r="E522" s="1220">
        <v>1200</v>
      </c>
      <c r="F522" s="1219" t="s">
        <v>3940</v>
      </c>
      <c r="G522" s="1212" t="s">
        <v>3941</v>
      </c>
      <c r="H522" s="1212" t="s">
        <v>3615</v>
      </c>
      <c r="I522" s="1215" t="s">
        <v>3615</v>
      </c>
      <c r="J522" s="1215" t="s">
        <v>3615</v>
      </c>
      <c r="K522" s="1366" t="s">
        <v>3662</v>
      </c>
      <c r="L522" s="1219">
        <v>12</v>
      </c>
      <c r="M522" s="1217">
        <v>14400</v>
      </c>
      <c r="N522" s="1219" t="s">
        <v>3601</v>
      </c>
      <c r="O522" s="1219" t="s">
        <v>430</v>
      </c>
      <c r="P522" s="1217">
        <v>7200</v>
      </c>
    </row>
    <row r="523" spans="1:16" ht="24" x14ac:dyDescent="0.2">
      <c r="A523" s="1213">
        <v>943</v>
      </c>
      <c r="B523" s="1212" t="s">
        <v>3092</v>
      </c>
      <c r="C523" s="1213" t="s">
        <v>3572</v>
      </c>
      <c r="D523" s="1212" t="s">
        <v>3936</v>
      </c>
      <c r="E523" s="1220">
        <v>1200</v>
      </c>
      <c r="F523" s="1219" t="s">
        <v>3942</v>
      </c>
      <c r="G523" s="1212" t="s">
        <v>3943</v>
      </c>
      <c r="H523" s="1212" t="s">
        <v>3615</v>
      </c>
      <c r="I523" s="1215" t="s">
        <v>3615</v>
      </c>
      <c r="J523" s="1215" t="s">
        <v>3615</v>
      </c>
      <c r="K523" s="1366" t="s">
        <v>3662</v>
      </c>
      <c r="L523" s="1219">
        <v>12</v>
      </c>
      <c r="M523" s="1217">
        <v>14400</v>
      </c>
      <c r="N523" s="1219" t="s">
        <v>3601</v>
      </c>
      <c r="O523" s="1219" t="s">
        <v>430</v>
      </c>
      <c r="P523" s="1217">
        <v>7200</v>
      </c>
    </row>
    <row r="524" spans="1:16" ht="24" x14ac:dyDescent="0.2">
      <c r="A524" s="1213">
        <v>943</v>
      </c>
      <c r="B524" s="1212" t="s">
        <v>3092</v>
      </c>
      <c r="C524" s="1213" t="s">
        <v>3572</v>
      </c>
      <c r="D524" s="1212" t="s">
        <v>3944</v>
      </c>
      <c r="E524" s="1220">
        <v>1500</v>
      </c>
      <c r="F524" s="1219" t="s">
        <v>3945</v>
      </c>
      <c r="G524" s="1212" t="s">
        <v>3946</v>
      </c>
      <c r="H524" s="1212" t="s">
        <v>3292</v>
      </c>
      <c r="I524" s="1215" t="s">
        <v>3292</v>
      </c>
      <c r="J524" s="1215" t="s">
        <v>3292</v>
      </c>
      <c r="K524" s="1366" t="s">
        <v>3604</v>
      </c>
      <c r="L524" s="1219">
        <v>12</v>
      </c>
      <c r="M524" s="1217">
        <v>18000</v>
      </c>
      <c r="N524" s="1219" t="s">
        <v>3601</v>
      </c>
      <c r="O524" s="1219" t="s">
        <v>430</v>
      </c>
      <c r="P524" s="1217">
        <v>900</v>
      </c>
    </row>
    <row r="525" spans="1:16" ht="24" x14ac:dyDescent="0.2">
      <c r="A525" s="1213">
        <v>943</v>
      </c>
      <c r="B525" s="1212" t="s">
        <v>3092</v>
      </c>
      <c r="C525" s="1213" t="s">
        <v>3572</v>
      </c>
      <c r="D525" s="1212" t="s">
        <v>3112</v>
      </c>
      <c r="E525" s="1220">
        <v>1300</v>
      </c>
      <c r="F525" s="1219" t="s">
        <v>3947</v>
      </c>
      <c r="G525" s="1212" t="s">
        <v>3948</v>
      </c>
      <c r="H525" s="1212" t="s">
        <v>3153</v>
      </c>
      <c r="I525" s="1215" t="s">
        <v>3564</v>
      </c>
      <c r="J525" s="1215" t="s">
        <v>3564</v>
      </c>
      <c r="K525" s="1366" t="s">
        <v>3824</v>
      </c>
      <c r="L525" s="1219" t="s">
        <v>3824</v>
      </c>
      <c r="M525" s="1217">
        <v>0</v>
      </c>
      <c r="N525" s="1219" t="s">
        <v>3601</v>
      </c>
      <c r="O525" s="1219" t="s">
        <v>3662</v>
      </c>
      <c r="P525" s="1217">
        <v>5763.29</v>
      </c>
    </row>
    <row r="526" spans="1:16" x14ac:dyDescent="0.2">
      <c r="A526" s="1213"/>
      <c r="B526" s="1212"/>
      <c r="C526" s="1213"/>
      <c r="D526" s="1212"/>
      <c r="E526" s="1218"/>
      <c r="F526" s="1212"/>
      <c r="G526" s="1212"/>
      <c r="H526" s="1212"/>
      <c r="I526" s="1215"/>
      <c r="J526" s="1215"/>
      <c r="K526" s="1365"/>
      <c r="L526" s="1216"/>
      <c r="M526" s="1217"/>
      <c r="N526" s="1216"/>
      <c r="O526" s="1216"/>
      <c r="P526" s="1217"/>
    </row>
    <row r="527" spans="1:16" x14ac:dyDescent="0.2">
      <c r="A527" s="870"/>
      <c r="B527" s="695"/>
      <c r="C527" s="870"/>
      <c r="D527" s="1221"/>
      <c r="E527" s="1222">
        <v>15750</v>
      </c>
      <c r="F527" s="695"/>
      <c r="G527" s="1221"/>
      <c r="H527" s="1221"/>
      <c r="I527" s="1223"/>
      <c r="J527" s="1223"/>
      <c r="K527" s="1367"/>
      <c r="L527" s="1224"/>
      <c r="M527" s="1225">
        <v>175200</v>
      </c>
      <c r="N527" s="1224"/>
      <c r="O527" s="1224"/>
      <c r="P527" s="1225">
        <v>84363.29</v>
      </c>
    </row>
    <row r="528" spans="1:16" x14ac:dyDescent="0.2">
      <c r="A528" s="63"/>
      <c r="C528" s="63"/>
      <c r="E528" s="63"/>
      <c r="I528" s="63"/>
      <c r="J528" s="63"/>
      <c r="L528" s="63"/>
      <c r="M528" s="63"/>
      <c r="P528" s="63"/>
    </row>
    <row r="529" spans="1:16" x14ac:dyDescent="0.2">
      <c r="A529" s="63"/>
      <c r="C529" s="63"/>
      <c r="E529" s="63"/>
      <c r="I529" s="63"/>
      <c r="J529" s="63"/>
      <c r="L529" s="63"/>
      <c r="M529" s="63"/>
      <c r="P529" s="63"/>
    </row>
    <row r="530" spans="1:16" x14ac:dyDescent="0.2">
      <c r="A530" s="1485" t="s">
        <v>736</v>
      </c>
      <c r="B530" s="1485"/>
      <c r="C530" s="1485"/>
      <c r="D530" s="1176"/>
      <c r="E530" s="1177"/>
      <c r="F530" s="1176"/>
      <c r="G530" s="1176"/>
      <c r="H530" s="1176"/>
      <c r="I530" s="1178"/>
      <c r="J530" s="1178"/>
      <c r="K530" s="1358"/>
      <c r="L530" s="1179"/>
      <c r="M530" s="1180"/>
      <c r="N530" s="1176"/>
      <c r="O530" s="1176"/>
      <c r="P530" s="1180"/>
    </row>
    <row r="531" spans="1:16" x14ac:dyDescent="0.2">
      <c r="A531" s="1529" t="s">
        <v>3075</v>
      </c>
      <c r="B531" s="1529"/>
      <c r="C531" s="1529"/>
      <c r="D531" s="1529"/>
      <c r="E531" s="1529"/>
      <c r="F531" s="1529" t="s">
        <v>3076</v>
      </c>
      <c r="G531" s="1529"/>
      <c r="H531" s="1529"/>
      <c r="I531" s="1529"/>
      <c r="J531" s="1529"/>
      <c r="K531" s="1528" t="s">
        <v>3077</v>
      </c>
      <c r="L531" s="1528"/>
      <c r="M531" s="1528"/>
      <c r="N531" s="1528" t="s">
        <v>3078</v>
      </c>
      <c r="O531" s="1528"/>
      <c r="P531" s="1528"/>
    </row>
    <row r="532" spans="1:16" ht="90" customHeight="1" x14ac:dyDescent="0.2">
      <c r="A532" s="869" t="s">
        <v>2829</v>
      </c>
      <c r="B532" s="433" t="s">
        <v>3079</v>
      </c>
      <c r="C532" s="869" t="s">
        <v>3080</v>
      </c>
      <c r="D532" s="433" t="s">
        <v>3081</v>
      </c>
      <c r="E532" s="699" t="s">
        <v>3082</v>
      </c>
      <c r="F532" s="433" t="s">
        <v>3083</v>
      </c>
      <c r="G532" s="433" t="s">
        <v>3084</v>
      </c>
      <c r="H532" s="433" t="s">
        <v>3085</v>
      </c>
      <c r="I532" s="433" t="s">
        <v>3086</v>
      </c>
      <c r="J532" s="433" t="s">
        <v>3087</v>
      </c>
      <c r="K532" s="1354" t="s">
        <v>3088</v>
      </c>
      <c r="L532" s="1157" t="s">
        <v>3089</v>
      </c>
      <c r="M532" s="698" t="s">
        <v>3090</v>
      </c>
      <c r="N532" s="1157" t="s">
        <v>3088</v>
      </c>
      <c r="O532" s="1157" t="s">
        <v>3089</v>
      </c>
      <c r="P532" s="698" t="s">
        <v>3090</v>
      </c>
    </row>
    <row r="533" spans="1:16" ht="24" x14ac:dyDescent="0.2">
      <c r="A533" s="60" t="s">
        <v>1543</v>
      </c>
      <c r="B533" s="416" t="s">
        <v>3949</v>
      </c>
      <c r="C533" s="60" t="s">
        <v>3950</v>
      </c>
      <c r="D533" s="416" t="s">
        <v>3951</v>
      </c>
      <c r="E533" s="564">
        <v>1000</v>
      </c>
      <c r="F533" s="416">
        <v>72353860</v>
      </c>
      <c r="G533" s="862" t="s">
        <v>3952</v>
      </c>
      <c r="H533" s="862"/>
      <c r="I533" s="713"/>
      <c r="J533" s="415" t="s">
        <v>3953</v>
      </c>
      <c r="K533" s="945"/>
      <c r="L533" s="1143"/>
      <c r="M533" s="1120"/>
      <c r="N533" s="1226">
        <v>135</v>
      </c>
      <c r="O533" s="1226">
        <v>6</v>
      </c>
      <c r="P533" s="1120">
        <v>1000</v>
      </c>
    </row>
    <row r="534" spans="1:16" ht="24" x14ac:dyDescent="0.2">
      <c r="A534" s="60" t="s">
        <v>1543</v>
      </c>
      <c r="B534" s="416" t="s">
        <v>3949</v>
      </c>
      <c r="C534" s="60" t="s">
        <v>3950</v>
      </c>
      <c r="D534" s="416" t="s">
        <v>3951</v>
      </c>
      <c r="E534" s="564">
        <v>1000</v>
      </c>
      <c r="F534" s="416">
        <v>74377222</v>
      </c>
      <c r="G534" s="862" t="s">
        <v>3954</v>
      </c>
      <c r="H534" s="416"/>
      <c r="I534" s="415"/>
      <c r="J534" s="415" t="s">
        <v>3953</v>
      </c>
      <c r="K534" s="945" t="s">
        <v>3955</v>
      </c>
      <c r="L534" s="1226" t="s">
        <v>3604</v>
      </c>
      <c r="M534" s="1120">
        <v>1000</v>
      </c>
      <c r="N534" s="1226" t="s">
        <v>3956</v>
      </c>
      <c r="O534" s="1226">
        <v>6</v>
      </c>
      <c r="P534" s="1120">
        <v>1000</v>
      </c>
    </row>
    <row r="535" spans="1:16" ht="24" x14ac:dyDescent="0.2">
      <c r="A535" s="60" t="s">
        <v>1543</v>
      </c>
      <c r="B535" s="416" t="s">
        <v>3949</v>
      </c>
      <c r="C535" s="60" t="s">
        <v>3950</v>
      </c>
      <c r="D535" s="416" t="s">
        <v>3957</v>
      </c>
      <c r="E535" s="564">
        <v>1000</v>
      </c>
      <c r="F535" s="1227" t="s">
        <v>3958</v>
      </c>
      <c r="G535" s="416" t="s">
        <v>3959</v>
      </c>
      <c r="H535" s="416"/>
      <c r="I535" s="415"/>
      <c r="J535" s="415" t="s">
        <v>3292</v>
      </c>
      <c r="K535" s="945"/>
      <c r="L535" s="1143"/>
      <c r="M535" s="1120"/>
      <c r="N535" s="1226" t="s">
        <v>3960</v>
      </c>
      <c r="O535" s="1226">
        <v>6</v>
      </c>
      <c r="P535" s="1120">
        <v>1000</v>
      </c>
    </row>
    <row r="536" spans="1:16" ht="24" x14ac:dyDescent="0.2">
      <c r="A536" s="60" t="s">
        <v>1543</v>
      </c>
      <c r="B536" s="416" t="s">
        <v>3949</v>
      </c>
      <c r="C536" s="60" t="s">
        <v>3950</v>
      </c>
      <c r="D536" s="416" t="s">
        <v>3957</v>
      </c>
      <c r="E536" s="564">
        <v>1000</v>
      </c>
      <c r="F536" s="416">
        <v>22401255</v>
      </c>
      <c r="G536" s="416" t="s">
        <v>3961</v>
      </c>
      <c r="H536" s="416"/>
      <c r="I536" s="415"/>
      <c r="J536" s="415" t="s">
        <v>3962</v>
      </c>
      <c r="K536" s="945" t="s">
        <v>3963</v>
      </c>
      <c r="L536" s="1226" t="s">
        <v>3604</v>
      </c>
      <c r="M536" s="1120">
        <v>1000</v>
      </c>
      <c r="N536" s="1226" t="s">
        <v>3964</v>
      </c>
      <c r="O536" s="1226">
        <v>6</v>
      </c>
      <c r="P536" s="1120">
        <v>1000</v>
      </c>
    </row>
    <row r="537" spans="1:16" ht="24" x14ac:dyDescent="0.2">
      <c r="A537" s="60" t="s">
        <v>1543</v>
      </c>
      <c r="B537" s="416" t="s">
        <v>3949</v>
      </c>
      <c r="C537" s="60" t="s">
        <v>3950</v>
      </c>
      <c r="D537" s="416" t="s">
        <v>3965</v>
      </c>
      <c r="E537" s="564">
        <v>1500</v>
      </c>
      <c r="F537" s="416">
        <v>41103216</v>
      </c>
      <c r="G537" s="416" t="s">
        <v>3966</v>
      </c>
      <c r="H537" s="416" t="s">
        <v>3552</v>
      </c>
      <c r="I537" s="415"/>
      <c r="J537" s="415" t="s">
        <v>3552</v>
      </c>
      <c r="K537" s="945"/>
      <c r="L537" s="1143"/>
      <c r="M537" s="1120"/>
      <c r="N537" s="1226" t="s">
        <v>3967</v>
      </c>
      <c r="O537" s="1226">
        <v>6</v>
      </c>
      <c r="P537" s="1120">
        <v>1500</v>
      </c>
    </row>
    <row r="538" spans="1:16" ht="24" x14ac:dyDescent="0.2">
      <c r="A538" s="60" t="s">
        <v>1543</v>
      </c>
      <c r="B538" s="416" t="s">
        <v>3949</v>
      </c>
      <c r="C538" s="60" t="s">
        <v>3950</v>
      </c>
      <c r="D538" s="416" t="s">
        <v>3968</v>
      </c>
      <c r="E538" s="564">
        <v>1000</v>
      </c>
      <c r="F538" s="416">
        <v>44036027</v>
      </c>
      <c r="G538" s="416" t="s">
        <v>3969</v>
      </c>
      <c r="H538" s="416"/>
      <c r="I538" s="415"/>
      <c r="J538" s="415" t="s">
        <v>3970</v>
      </c>
      <c r="K538" s="945" t="s">
        <v>3971</v>
      </c>
      <c r="L538" s="1226" t="s">
        <v>3604</v>
      </c>
      <c r="M538" s="1120">
        <v>1500</v>
      </c>
      <c r="N538" s="1226" t="s">
        <v>3972</v>
      </c>
      <c r="O538" s="1226">
        <v>6</v>
      </c>
      <c r="P538" s="1120">
        <v>1000</v>
      </c>
    </row>
    <row r="539" spans="1:16" ht="24" x14ac:dyDescent="0.2">
      <c r="A539" s="60" t="s">
        <v>1543</v>
      </c>
      <c r="B539" s="416" t="s">
        <v>3973</v>
      </c>
      <c r="C539" s="60" t="s">
        <v>3950</v>
      </c>
      <c r="D539" s="416" t="s">
        <v>3974</v>
      </c>
      <c r="E539" s="564">
        <v>1000</v>
      </c>
      <c r="F539" s="416">
        <v>47987574</v>
      </c>
      <c r="G539" s="416" t="s">
        <v>3975</v>
      </c>
      <c r="H539" s="416"/>
      <c r="I539" s="415"/>
      <c r="J539" s="415" t="s">
        <v>3976</v>
      </c>
      <c r="K539" s="945"/>
      <c r="L539" s="1143"/>
      <c r="M539" s="1120"/>
      <c r="N539" s="1226" t="s">
        <v>3977</v>
      </c>
      <c r="O539" s="1226">
        <v>6</v>
      </c>
      <c r="P539" s="1120">
        <v>1000</v>
      </c>
    </row>
    <row r="540" spans="1:16" ht="24" x14ac:dyDescent="0.2">
      <c r="A540" s="60" t="s">
        <v>1543</v>
      </c>
      <c r="B540" s="416" t="s">
        <v>3973</v>
      </c>
      <c r="C540" s="60" t="s">
        <v>3950</v>
      </c>
      <c r="D540" s="416" t="s">
        <v>3978</v>
      </c>
      <c r="E540" s="564">
        <v>1000</v>
      </c>
      <c r="F540" s="416">
        <v>75730561</v>
      </c>
      <c r="G540" s="416" t="s">
        <v>3979</v>
      </c>
      <c r="H540" s="416"/>
      <c r="I540" s="415"/>
      <c r="J540" s="415" t="s">
        <v>3980</v>
      </c>
      <c r="K540" s="945" t="s">
        <v>3981</v>
      </c>
      <c r="L540" s="1226" t="s">
        <v>3604</v>
      </c>
      <c r="M540" s="1120">
        <v>1000</v>
      </c>
      <c r="N540" s="1226" t="s">
        <v>3982</v>
      </c>
      <c r="O540" s="1226">
        <v>6</v>
      </c>
      <c r="P540" s="1120">
        <v>1000</v>
      </c>
    </row>
    <row r="541" spans="1:16" ht="24" x14ac:dyDescent="0.2">
      <c r="A541" s="60" t="s">
        <v>1543</v>
      </c>
      <c r="B541" s="416" t="s">
        <v>3973</v>
      </c>
      <c r="C541" s="60" t="s">
        <v>3950</v>
      </c>
      <c r="D541" s="416" t="s">
        <v>3659</v>
      </c>
      <c r="E541" s="564">
        <v>1000</v>
      </c>
      <c r="F541" s="1228" t="s">
        <v>3983</v>
      </c>
      <c r="G541" s="416" t="s">
        <v>3984</v>
      </c>
      <c r="H541" s="416"/>
      <c r="I541" s="415"/>
      <c r="J541" s="415" t="s">
        <v>3962</v>
      </c>
      <c r="K541" s="945"/>
      <c r="L541" s="1143"/>
      <c r="M541" s="1120"/>
      <c r="N541" s="1226" t="s">
        <v>3985</v>
      </c>
      <c r="O541" s="1226">
        <v>6</v>
      </c>
      <c r="P541" s="1120">
        <v>1000</v>
      </c>
    </row>
    <row r="542" spans="1:16" ht="24" x14ac:dyDescent="0.2">
      <c r="A542" s="60" t="s">
        <v>1543</v>
      </c>
      <c r="B542" s="416" t="s">
        <v>3973</v>
      </c>
      <c r="C542" s="60" t="s">
        <v>3950</v>
      </c>
      <c r="D542" s="416" t="s">
        <v>3951</v>
      </c>
      <c r="E542" s="564">
        <v>1000</v>
      </c>
      <c r="F542" s="416">
        <v>45716746</v>
      </c>
      <c r="G542" s="416" t="s">
        <v>3986</v>
      </c>
      <c r="H542" s="416"/>
      <c r="I542" s="415"/>
      <c r="J542" s="415" t="s">
        <v>3987</v>
      </c>
      <c r="K542" s="945"/>
      <c r="L542" s="1143"/>
      <c r="M542" s="1120"/>
      <c r="N542" s="1226" t="s">
        <v>3988</v>
      </c>
      <c r="O542" s="1226">
        <v>6</v>
      </c>
      <c r="P542" s="1120">
        <v>1000</v>
      </c>
    </row>
    <row r="543" spans="1:16" ht="24" x14ac:dyDescent="0.2">
      <c r="A543" s="60" t="s">
        <v>1543</v>
      </c>
      <c r="B543" s="416" t="s">
        <v>3973</v>
      </c>
      <c r="C543" s="60" t="s">
        <v>3950</v>
      </c>
      <c r="D543" s="416" t="s">
        <v>3974</v>
      </c>
      <c r="E543" s="564">
        <v>1000</v>
      </c>
      <c r="F543" s="416">
        <v>70747727</v>
      </c>
      <c r="G543" s="416" t="s">
        <v>3989</v>
      </c>
      <c r="H543" s="416"/>
      <c r="I543" s="415"/>
      <c r="J543" s="415" t="s">
        <v>3953</v>
      </c>
      <c r="K543" s="945"/>
      <c r="L543" s="1143"/>
      <c r="M543" s="1120"/>
      <c r="N543" s="1226" t="s">
        <v>3990</v>
      </c>
      <c r="O543" s="1226">
        <v>6</v>
      </c>
      <c r="P543" s="1120">
        <v>1000</v>
      </c>
    </row>
    <row r="544" spans="1:16" ht="24" x14ac:dyDescent="0.2">
      <c r="A544" s="60" t="s">
        <v>1543</v>
      </c>
      <c r="B544" s="416" t="s">
        <v>3949</v>
      </c>
      <c r="C544" s="60" t="s">
        <v>3991</v>
      </c>
      <c r="D544" s="416" t="s">
        <v>3992</v>
      </c>
      <c r="E544" s="564">
        <v>400</v>
      </c>
      <c r="F544" s="1228" t="s">
        <v>3993</v>
      </c>
      <c r="G544" s="416" t="s">
        <v>3994</v>
      </c>
      <c r="H544" s="416"/>
      <c r="I544" s="415"/>
      <c r="J544" s="415" t="s">
        <v>3962</v>
      </c>
      <c r="K544" s="945" t="s">
        <v>3995</v>
      </c>
      <c r="L544" s="1226" t="s">
        <v>3604</v>
      </c>
      <c r="M544" s="1120">
        <v>400</v>
      </c>
      <c r="N544" s="1226" t="s">
        <v>3995</v>
      </c>
      <c r="O544" s="1226">
        <v>6</v>
      </c>
      <c r="P544" s="1120">
        <v>400</v>
      </c>
    </row>
    <row r="545" spans="1:16" x14ac:dyDescent="0.2">
      <c r="A545" s="1529" t="s">
        <v>169</v>
      </c>
      <c r="B545" s="1529"/>
      <c r="C545" s="1529"/>
      <c r="D545" s="1154"/>
      <c r="E545" s="565"/>
      <c r="F545" s="433"/>
      <c r="G545" s="1154"/>
      <c r="H545" s="1154"/>
      <c r="I545" s="433"/>
      <c r="J545" s="433"/>
      <c r="K545" s="1353"/>
      <c r="L545" s="1155"/>
      <c r="M545" s="1229">
        <f>SUM(M533:M544)</f>
        <v>4900</v>
      </c>
      <c r="N545" s="1155"/>
      <c r="O545" s="1155"/>
      <c r="P545" s="1156">
        <f>SUM(P533:P544)</f>
        <v>11900</v>
      </c>
    </row>
    <row r="546" spans="1:16" x14ac:dyDescent="0.2">
      <c r="A546" s="63"/>
      <c r="C546" s="63"/>
      <c r="E546" s="63"/>
      <c r="I546" s="63"/>
      <c r="J546" s="63"/>
      <c r="L546" s="63"/>
      <c r="M546" s="63"/>
      <c r="P546" s="63"/>
    </row>
    <row r="547" spans="1:16" x14ac:dyDescent="0.2">
      <c r="A547" s="63"/>
      <c r="C547" s="63"/>
      <c r="E547" s="63"/>
      <c r="I547" s="63"/>
      <c r="J547" s="63"/>
      <c r="L547" s="63"/>
      <c r="M547" s="63"/>
      <c r="P547" s="63"/>
    </row>
    <row r="548" spans="1:16" ht="36" x14ac:dyDescent="0.2">
      <c r="A548" s="1237" t="s">
        <v>3996</v>
      </c>
      <c r="B548" s="1230"/>
      <c r="C548" s="1231"/>
      <c r="D548" s="1230"/>
      <c r="E548" s="1232"/>
      <c r="F548" s="1230"/>
      <c r="G548" s="1230"/>
      <c r="H548" s="1230"/>
      <c r="I548" s="1233"/>
      <c r="J548" s="1233"/>
      <c r="K548" s="1368"/>
      <c r="L548" s="1234"/>
      <c r="M548" s="1235"/>
      <c r="N548" s="1230"/>
      <c r="O548" s="1230"/>
      <c r="P548" s="1235"/>
    </row>
    <row r="549" spans="1:16" x14ac:dyDescent="0.2">
      <c r="A549" s="1237" t="s">
        <v>3075</v>
      </c>
      <c r="B549" s="1236"/>
      <c r="C549" s="1237"/>
      <c r="D549" s="1236"/>
      <c r="E549" s="1238"/>
      <c r="F549" s="1543" t="s">
        <v>3076</v>
      </c>
      <c r="G549" s="1543"/>
      <c r="H549" s="1543"/>
      <c r="I549" s="1543"/>
      <c r="J549" s="1543"/>
      <c r="K549" s="1544" t="s">
        <v>3077</v>
      </c>
      <c r="L549" s="1544"/>
      <c r="M549" s="1544"/>
      <c r="N549" s="1544" t="s">
        <v>3078</v>
      </c>
      <c r="O549" s="1544"/>
      <c r="P549" s="1544"/>
    </row>
    <row r="550" spans="1:16" ht="90" customHeight="1" x14ac:dyDescent="0.2">
      <c r="A550" s="1237" t="s">
        <v>2829</v>
      </c>
      <c r="B550" s="1239" t="s">
        <v>3079</v>
      </c>
      <c r="C550" s="1237" t="s">
        <v>3080</v>
      </c>
      <c r="D550" s="1239" t="s">
        <v>3081</v>
      </c>
      <c r="E550" s="1240" t="s">
        <v>3082</v>
      </c>
      <c r="F550" s="1239" t="s">
        <v>3083</v>
      </c>
      <c r="G550" s="1239" t="s">
        <v>3084</v>
      </c>
      <c r="H550" s="1239" t="s">
        <v>3085</v>
      </c>
      <c r="I550" s="1239" t="s">
        <v>3086</v>
      </c>
      <c r="J550" s="1239" t="s">
        <v>3087</v>
      </c>
      <c r="K550" s="1369" t="s">
        <v>3088</v>
      </c>
      <c r="L550" s="1241" t="s">
        <v>3089</v>
      </c>
      <c r="M550" s="1242" t="s">
        <v>3090</v>
      </c>
      <c r="N550" s="1241" t="s">
        <v>3088</v>
      </c>
      <c r="O550" s="1241" t="s">
        <v>3089</v>
      </c>
      <c r="P550" s="1242" t="s">
        <v>3090</v>
      </c>
    </row>
    <row r="551" spans="1:16" ht="24" x14ac:dyDescent="0.2">
      <c r="A551" s="916" t="s">
        <v>3997</v>
      </c>
      <c r="B551" s="898" t="s">
        <v>3998</v>
      </c>
      <c r="C551" s="916" t="s">
        <v>3999</v>
      </c>
      <c r="D551" s="898" t="s">
        <v>4000</v>
      </c>
      <c r="E551" s="1243">
        <v>1500</v>
      </c>
      <c r="F551" s="1244">
        <v>44657849</v>
      </c>
      <c r="G551" s="1245" t="s">
        <v>4001</v>
      </c>
      <c r="H551" s="1245" t="s">
        <v>4002</v>
      </c>
      <c r="I551" s="1147" t="s">
        <v>4003</v>
      </c>
      <c r="J551" s="943" t="s">
        <v>4004</v>
      </c>
      <c r="K551" s="944" t="s">
        <v>4005</v>
      </c>
      <c r="L551" s="1244" t="s">
        <v>3604</v>
      </c>
      <c r="M551" s="1246">
        <f t="shared" ref="M551:M566" si="30">+E551*12</f>
        <v>18000</v>
      </c>
      <c r="N551" s="1244" t="s">
        <v>3601</v>
      </c>
      <c r="O551" s="1244" t="s">
        <v>430</v>
      </c>
      <c r="P551" s="1246">
        <f t="shared" ref="P551:P566" si="31">+E551*6</f>
        <v>9000</v>
      </c>
    </row>
    <row r="552" spans="1:16" x14ac:dyDescent="0.2">
      <c r="A552" s="916" t="s">
        <v>3997</v>
      </c>
      <c r="B552" s="898" t="s">
        <v>3998</v>
      </c>
      <c r="C552" s="916" t="s">
        <v>3999</v>
      </c>
      <c r="D552" s="898" t="s">
        <v>4006</v>
      </c>
      <c r="E552" s="1243">
        <v>1400</v>
      </c>
      <c r="F552" s="1244">
        <v>46264992</v>
      </c>
      <c r="G552" s="898" t="s">
        <v>4007</v>
      </c>
      <c r="H552" s="898" t="s">
        <v>4008</v>
      </c>
      <c r="I552" s="943" t="s">
        <v>4009</v>
      </c>
      <c r="J552" s="943" t="s">
        <v>4004</v>
      </c>
      <c r="K552" s="944" t="s">
        <v>4005</v>
      </c>
      <c r="L552" s="1244" t="s">
        <v>3604</v>
      </c>
      <c r="M552" s="1246">
        <f t="shared" si="30"/>
        <v>16800</v>
      </c>
      <c r="N552" s="1244" t="s">
        <v>3601</v>
      </c>
      <c r="O552" s="1244" t="s">
        <v>430</v>
      </c>
      <c r="P552" s="1246">
        <f t="shared" si="31"/>
        <v>8400</v>
      </c>
    </row>
    <row r="553" spans="1:16" x14ac:dyDescent="0.2">
      <c r="A553" s="916" t="s">
        <v>3997</v>
      </c>
      <c r="B553" s="898" t="s">
        <v>3998</v>
      </c>
      <c r="C553" s="916" t="s">
        <v>3999</v>
      </c>
      <c r="D553" s="898" t="s">
        <v>4006</v>
      </c>
      <c r="E553" s="1243">
        <v>1400</v>
      </c>
      <c r="F553" s="1244" t="s">
        <v>4010</v>
      </c>
      <c r="G553" s="898" t="s">
        <v>4011</v>
      </c>
      <c r="H553" s="898" t="s">
        <v>4012</v>
      </c>
      <c r="I553" s="943" t="s">
        <v>3292</v>
      </c>
      <c r="J553" s="943" t="s">
        <v>3292</v>
      </c>
      <c r="K553" s="944" t="s">
        <v>4005</v>
      </c>
      <c r="L553" s="1244">
        <v>12</v>
      </c>
      <c r="M553" s="1246">
        <f t="shared" si="30"/>
        <v>16800</v>
      </c>
      <c r="N553" s="1244" t="s">
        <v>3601</v>
      </c>
      <c r="O553" s="1244" t="s">
        <v>430</v>
      </c>
      <c r="P553" s="1246">
        <f t="shared" si="31"/>
        <v>8400</v>
      </c>
    </row>
    <row r="554" spans="1:16" ht="24" x14ac:dyDescent="0.2">
      <c r="A554" s="916" t="s">
        <v>3997</v>
      </c>
      <c r="B554" s="898" t="s">
        <v>3998</v>
      </c>
      <c r="C554" s="916" t="s">
        <v>3999</v>
      </c>
      <c r="D554" s="898" t="s">
        <v>4013</v>
      </c>
      <c r="E554" s="1243">
        <v>3000</v>
      </c>
      <c r="F554" s="1244" t="s">
        <v>4014</v>
      </c>
      <c r="G554" s="898" t="s">
        <v>4015</v>
      </c>
      <c r="H554" s="898" t="s">
        <v>4016</v>
      </c>
      <c r="I554" s="943" t="s">
        <v>4003</v>
      </c>
      <c r="J554" s="943" t="s">
        <v>4004</v>
      </c>
      <c r="K554" s="944" t="s">
        <v>4005</v>
      </c>
      <c r="L554" s="1244" t="s">
        <v>3604</v>
      </c>
      <c r="M554" s="1246">
        <f t="shared" si="30"/>
        <v>36000</v>
      </c>
      <c r="N554" s="1244" t="s">
        <v>3601</v>
      </c>
      <c r="O554" s="1244" t="s">
        <v>430</v>
      </c>
      <c r="P554" s="1246">
        <f t="shared" si="31"/>
        <v>18000</v>
      </c>
    </row>
    <row r="555" spans="1:16" x14ac:dyDescent="0.2">
      <c r="A555" s="916" t="s">
        <v>3997</v>
      </c>
      <c r="B555" s="898" t="s">
        <v>3998</v>
      </c>
      <c r="C555" s="916" t="s">
        <v>3999</v>
      </c>
      <c r="D555" s="898" t="s">
        <v>4017</v>
      </c>
      <c r="E555" s="1243">
        <v>2500</v>
      </c>
      <c r="F555" s="1244" t="s">
        <v>4018</v>
      </c>
      <c r="G555" s="898" t="s">
        <v>4019</v>
      </c>
      <c r="H555" s="898" t="s">
        <v>4020</v>
      </c>
      <c r="I555" s="943" t="s">
        <v>4021</v>
      </c>
      <c r="J555" s="943" t="s">
        <v>4004</v>
      </c>
      <c r="K555" s="944" t="s">
        <v>4005</v>
      </c>
      <c r="L555" s="1244" t="s">
        <v>3604</v>
      </c>
      <c r="M555" s="1246">
        <f t="shared" si="30"/>
        <v>30000</v>
      </c>
      <c r="N555" s="1244" t="s">
        <v>3601</v>
      </c>
      <c r="O555" s="1244" t="s">
        <v>430</v>
      </c>
      <c r="P555" s="1246">
        <f t="shared" si="31"/>
        <v>15000</v>
      </c>
    </row>
    <row r="556" spans="1:16" x14ac:dyDescent="0.2">
      <c r="A556" s="916" t="s">
        <v>3997</v>
      </c>
      <c r="B556" s="898" t="s">
        <v>3998</v>
      </c>
      <c r="C556" s="916" t="s">
        <v>3999</v>
      </c>
      <c r="D556" s="898" t="s">
        <v>4006</v>
      </c>
      <c r="E556" s="1243">
        <v>1200</v>
      </c>
      <c r="F556" s="1244" t="s">
        <v>4022</v>
      </c>
      <c r="G556" s="898" t="s">
        <v>4023</v>
      </c>
      <c r="H556" s="898" t="s">
        <v>3552</v>
      </c>
      <c r="I556" s="943" t="s">
        <v>4021</v>
      </c>
      <c r="J556" s="943" t="s">
        <v>4004</v>
      </c>
      <c r="K556" s="944" t="s">
        <v>4005</v>
      </c>
      <c r="L556" s="1244" t="s">
        <v>3604</v>
      </c>
      <c r="M556" s="1246">
        <f t="shared" si="30"/>
        <v>14400</v>
      </c>
      <c r="N556" s="1244" t="s">
        <v>3601</v>
      </c>
      <c r="O556" s="1244" t="s">
        <v>430</v>
      </c>
      <c r="P556" s="1246">
        <f t="shared" si="31"/>
        <v>7200</v>
      </c>
    </row>
    <row r="557" spans="1:16" x14ac:dyDescent="0.2">
      <c r="A557" s="916" t="s">
        <v>3997</v>
      </c>
      <c r="B557" s="898" t="s">
        <v>3998</v>
      </c>
      <c r="C557" s="916" t="s">
        <v>3999</v>
      </c>
      <c r="D557" s="898" t="s">
        <v>4024</v>
      </c>
      <c r="E557" s="1243">
        <v>1830</v>
      </c>
      <c r="F557" s="1244" t="s">
        <v>4025</v>
      </c>
      <c r="G557" s="898" t="s">
        <v>4026</v>
      </c>
      <c r="H557" s="898" t="s">
        <v>3552</v>
      </c>
      <c r="I557" s="943" t="s">
        <v>4021</v>
      </c>
      <c r="J557" s="943" t="s">
        <v>4004</v>
      </c>
      <c r="K557" s="944" t="s">
        <v>4005</v>
      </c>
      <c r="L557" s="1244" t="s">
        <v>3604</v>
      </c>
      <c r="M557" s="1246">
        <f t="shared" si="30"/>
        <v>21960</v>
      </c>
      <c r="N557" s="1244" t="s">
        <v>3601</v>
      </c>
      <c r="O557" s="1244" t="s">
        <v>430</v>
      </c>
      <c r="P557" s="1246">
        <f t="shared" si="31"/>
        <v>10980</v>
      </c>
    </row>
    <row r="558" spans="1:16" x14ac:dyDescent="0.2">
      <c r="A558" s="916" t="s">
        <v>3997</v>
      </c>
      <c r="B558" s="898" t="s">
        <v>3998</v>
      </c>
      <c r="C558" s="916" t="s">
        <v>3999</v>
      </c>
      <c r="D558" s="898" t="s">
        <v>4027</v>
      </c>
      <c r="E558" s="1243">
        <v>1400</v>
      </c>
      <c r="F558" s="1244" t="s">
        <v>4028</v>
      </c>
      <c r="G558" s="898" t="s">
        <v>4029</v>
      </c>
      <c r="H558" s="898" t="s">
        <v>4030</v>
      </c>
      <c r="I558" s="943" t="s">
        <v>3292</v>
      </c>
      <c r="J558" s="943" t="s">
        <v>3292</v>
      </c>
      <c r="K558" s="944" t="s">
        <v>4005</v>
      </c>
      <c r="L558" s="1244" t="s">
        <v>3604</v>
      </c>
      <c r="M558" s="1246">
        <f t="shared" si="30"/>
        <v>16800</v>
      </c>
      <c r="N558" s="1244" t="s">
        <v>3601</v>
      </c>
      <c r="O558" s="1244" t="s">
        <v>430</v>
      </c>
      <c r="P558" s="1246">
        <f t="shared" si="31"/>
        <v>8400</v>
      </c>
    </row>
    <row r="559" spans="1:16" x14ac:dyDescent="0.2">
      <c r="A559" s="916" t="s">
        <v>3997</v>
      </c>
      <c r="B559" s="898" t="s">
        <v>3998</v>
      </c>
      <c r="C559" s="916" t="s">
        <v>3999</v>
      </c>
      <c r="D559" s="898" t="s">
        <v>4006</v>
      </c>
      <c r="E559" s="1243">
        <v>1200</v>
      </c>
      <c r="F559" s="1244" t="s">
        <v>4031</v>
      </c>
      <c r="G559" s="898" t="s">
        <v>4032</v>
      </c>
      <c r="H559" s="898" t="s">
        <v>4033</v>
      </c>
      <c r="I559" s="943" t="s">
        <v>3292</v>
      </c>
      <c r="J559" s="943" t="s">
        <v>3292</v>
      </c>
      <c r="K559" s="944" t="s">
        <v>4005</v>
      </c>
      <c r="L559" s="1244" t="s">
        <v>3604</v>
      </c>
      <c r="M559" s="1246">
        <f t="shared" si="30"/>
        <v>14400</v>
      </c>
      <c r="N559" s="1244" t="s">
        <v>3601</v>
      </c>
      <c r="O559" s="1244" t="s">
        <v>430</v>
      </c>
      <c r="P559" s="1246">
        <f t="shared" si="31"/>
        <v>7200</v>
      </c>
    </row>
    <row r="560" spans="1:16" x14ac:dyDescent="0.2">
      <c r="A560" s="916" t="s">
        <v>3997</v>
      </c>
      <c r="B560" s="898" t="s">
        <v>3998</v>
      </c>
      <c r="C560" s="916" t="s">
        <v>3999</v>
      </c>
      <c r="D560" s="898" t="s">
        <v>4006</v>
      </c>
      <c r="E560" s="1243">
        <v>1400</v>
      </c>
      <c r="F560" s="1244" t="s">
        <v>4034</v>
      </c>
      <c r="G560" s="898" t="s">
        <v>4035</v>
      </c>
      <c r="H560" s="898" t="s">
        <v>4036</v>
      </c>
      <c r="I560" s="943" t="s">
        <v>3292</v>
      </c>
      <c r="J560" s="943" t="s">
        <v>3292</v>
      </c>
      <c r="K560" s="944" t="s">
        <v>4005</v>
      </c>
      <c r="L560" s="1244" t="s">
        <v>3604</v>
      </c>
      <c r="M560" s="1246">
        <f t="shared" si="30"/>
        <v>16800</v>
      </c>
      <c r="N560" s="1244" t="s">
        <v>3601</v>
      </c>
      <c r="O560" s="1244" t="s">
        <v>430</v>
      </c>
      <c r="P560" s="1246">
        <f t="shared" si="31"/>
        <v>8400</v>
      </c>
    </row>
    <row r="561" spans="1:16" x14ac:dyDescent="0.2">
      <c r="A561" s="916" t="s">
        <v>3997</v>
      </c>
      <c r="B561" s="898" t="s">
        <v>3998</v>
      </c>
      <c r="C561" s="916" t="s">
        <v>3999</v>
      </c>
      <c r="D561" s="898" t="s">
        <v>4037</v>
      </c>
      <c r="E561" s="1243">
        <v>2000</v>
      </c>
      <c r="F561" s="1244" t="s">
        <v>4038</v>
      </c>
      <c r="G561" s="898" t="s">
        <v>4039</v>
      </c>
      <c r="H561" s="898" t="s">
        <v>3552</v>
      </c>
      <c r="I561" s="943" t="s">
        <v>4021</v>
      </c>
      <c r="J561" s="943" t="s">
        <v>4004</v>
      </c>
      <c r="K561" s="944" t="s">
        <v>4005</v>
      </c>
      <c r="L561" s="1244" t="s">
        <v>3604</v>
      </c>
      <c r="M561" s="1246">
        <f t="shared" si="30"/>
        <v>24000</v>
      </c>
      <c r="N561" s="1244" t="s">
        <v>3601</v>
      </c>
      <c r="O561" s="1244" t="s">
        <v>430</v>
      </c>
      <c r="P561" s="1246">
        <f t="shared" si="31"/>
        <v>12000</v>
      </c>
    </row>
    <row r="562" spans="1:16" x14ac:dyDescent="0.2">
      <c r="A562" s="916" t="s">
        <v>3997</v>
      </c>
      <c r="B562" s="898" t="s">
        <v>3998</v>
      </c>
      <c r="C562" s="916" t="s">
        <v>3999</v>
      </c>
      <c r="D562" s="898" t="s">
        <v>4040</v>
      </c>
      <c r="E562" s="1243">
        <v>1200</v>
      </c>
      <c r="F562" s="1244" t="s">
        <v>4041</v>
      </c>
      <c r="G562" s="898" t="s">
        <v>4042</v>
      </c>
      <c r="H562" s="898" t="s">
        <v>4033</v>
      </c>
      <c r="I562" s="943" t="s">
        <v>3292</v>
      </c>
      <c r="J562" s="943" t="s">
        <v>3292</v>
      </c>
      <c r="K562" s="944" t="s">
        <v>4005</v>
      </c>
      <c r="L562" s="1244" t="s">
        <v>3604</v>
      </c>
      <c r="M562" s="1246">
        <f t="shared" si="30"/>
        <v>14400</v>
      </c>
      <c r="N562" s="1244" t="s">
        <v>3601</v>
      </c>
      <c r="O562" s="1244" t="s">
        <v>430</v>
      </c>
      <c r="P562" s="1246">
        <f t="shared" si="31"/>
        <v>7200</v>
      </c>
    </row>
    <row r="563" spans="1:16" x14ac:dyDescent="0.2">
      <c r="A563" s="916" t="s">
        <v>3997</v>
      </c>
      <c r="B563" s="898" t="s">
        <v>3998</v>
      </c>
      <c r="C563" s="916" t="s">
        <v>3999</v>
      </c>
      <c r="D563" s="898" t="s">
        <v>4043</v>
      </c>
      <c r="E563" s="1243">
        <v>2500</v>
      </c>
      <c r="F563" s="1244" t="s">
        <v>4044</v>
      </c>
      <c r="G563" s="898" t="s">
        <v>4045</v>
      </c>
      <c r="H563" s="898" t="s">
        <v>4046</v>
      </c>
      <c r="I563" s="943" t="s">
        <v>4021</v>
      </c>
      <c r="J563" s="943" t="s">
        <v>4004</v>
      </c>
      <c r="K563" s="944" t="s">
        <v>4005</v>
      </c>
      <c r="L563" s="1244" t="s">
        <v>3604</v>
      </c>
      <c r="M563" s="1246">
        <f t="shared" si="30"/>
        <v>30000</v>
      </c>
      <c r="N563" s="1244" t="s">
        <v>3601</v>
      </c>
      <c r="O563" s="1244" t="s">
        <v>430</v>
      </c>
      <c r="P563" s="1246">
        <f t="shared" si="31"/>
        <v>15000</v>
      </c>
    </row>
    <row r="564" spans="1:16" x14ac:dyDescent="0.2">
      <c r="A564" s="916" t="s">
        <v>3997</v>
      </c>
      <c r="B564" s="898" t="s">
        <v>3998</v>
      </c>
      <c r="C564" s="916" t="s">
        <v>3999</v>
      </c>
      <c r="D564" s="898" t="s">
        <v>4047</v>
      </c>
      <c r="E564" s="1243">
        <v>1200</v>
      </c>
      <c r="F564" s="1244" t="s">
        <v>4048</v>
      </c>
      <c r="G564" s="898" t="s">
        <v>4049</v>
      </c>
      <c r="H564" s="898" t="s">
        <v>3292</v>
      </c>
      <c r="I564" s="943" t="s">
        <v>3292</v>
      </c>
      <c r="J564" s="943" t="s">
        <v>3292</v>
      </c>
      <c r="K564" s="944" t="s">
        <v>4005</v>
      </c>
      <c r="L564" s="1244" t="s">
        <v>3604</v>
      </c>
      <c r="M564" s="1246">
        <f t="shared" si="30"/>
        <v>14400</v>
      </c>
      <c r="N564" s="1244" t="s">
        <v>3601</v>
      </c>
      <c r="O564" s="1244" t="s">
        <v>430</v>
      </c>
      <c r="P564" s="1246">
        <f t="shared" si="31"/>
        <v>7200</v>
      </c>
    </row>
    <row r="565" spans="1:16" x14ac:dyDescent="0.2">
      <c r="A565" s="916" t="s">
        <v>3997</v>
      </c>
      <c r="B565" s="898" t="s">
        <v>3998</v>
      </c>
      <c r="C565" s="916" t="s">
        <v>3999</v>
      </c>
      <c r="D565" s="898" t="s">
        <v>4050</v>
      </c>
      <c r="E565" s="1243">
        <v>1630</v>
      </c>
      <c r="F565" s="1244" t="s">
        <v>4051</v>
      </c>
      <c r="G565" s="898" t="s">
        <v>4052</v>
      </c>
      <c r="H565" s="898" t="s">
        <v>3292</v>
      </c>
      <c r="I565" s="943" t="s">
        <v>3292</v>
      </c>
      <c r="J565" s="943" t="s">
        <v>3292</v>
      </c>
      <c r="K565" s="944" t="s">
        <v>4005</v>
      </c>
      <c r="L565" s="1244" t="s">
        <v>3604</v>
      </c>
      <c r="M565" s="1246">
        <f t="shared" si="30"/>
        <v>19560</v>
      </c>
      <c r="N565" s="1244" t="s">
        <v>3601</v>
      </c>
      <c r="O565" s="1244" t="s">
        <v>430</v>
      </c>
      <c r="P565" s="1246">
        <f t="shared" si="31"/>
        <v>9780</v>
      </c>
    </row>
    <row r="566" spans="1:16" x14ac:dyDescent="0.2">
      <c r="A566" s="916" t="s">
        <v>3997</v>
      </c>
      <c r="B566" s="898" t="s">
        <v>3998</v>
      </c>
      <c r="C566" s="916" t="s">
        <v>3999</v>
      </c>
      <c r="D566" s="898" t="s">
        <v>4053</v>
      </c>
      <c r="E566" s="1243">
        <v>1500</v>
      </c>
      <c r="F566" s="1244" t="s">
        <v>4054</v>
      </c>
      <c r="G566" s="898" t="s">
        <v>4055</v>
      </c>
      <c r="H566" s="898" t="s">
        <v>3292</v>
      </c>
      <c r="I566" s="943" t="s">
        <v>3292</v>
      </c>
      <c r="J566" s="943" t="s">
        <v>3292</v>
      </c>
      <c r="K566" s="944" t="s">
        <v>4005</v>
      </c>
      <c r="L566" s="1244" t="s">
        <v>3604</v>
      </c>
      <c r="M566" s="1246">
        <f t="shared" si="30"/>
        <v>18000</v>
      </c>
      <c r="N566" s="1244" t="s">
        <v>3601</v>
      </c>
      <c r="O566" s="1244" t="s">
        <v>430</v>
      </c>
      <c r="P566" s="1246">
        <f t="shared" si="31"/>
        <v>9000</v>
      </c>
    </row>
    <row r="567" spans="1:16" x14ac:dyDescent="0.2">
      <c r="A567" s="1248"/>
      <c r="B567" s="1247"/>
      <c r="C567" s="1248"/>
      <c r="D567" s="898"/>
      <c r="E567" s="1144">
        <f>SUM(E551:E566)</f>
        <v>26860</v>
      </c>
      <c r="F567" s="1247"/>
      <c r="G567" s="898"/>
      <c r="H567" s="898"/>
      <c r="I567" s="943"/>
      <c r="J567" s="943"/>
      <c r="K567" s="944"/>
      <c r="L567" s="1249"/>
      <c r="M567" s="899">
        <f>SUM(M551:M566)</f>
        <v>322320</v>
      </c>
      <c r="N567" s="1249"/>
      <c r="O567" s="1249"/>
      <c r="P567" s="899">
        <f>SUM(P551:P566)</f>
        <v>161160</v>
      </c>
    </row>
    <row r="568" spans="1:16" ht="24" x14ac:dyDescent="0.2">
      <c r="A568" s="916" t="s">
        <v>3997</v>
      </c>
      <c r="B568" s="1111" t="s">
        <v>3998</v>
      </c>
      <c r="C568" s="1102" t="s">
        <v>4056</v>
      </c>
      <c r="D568" s="1110" t="s">
        <v>4057</v>
      </c>
      <c r="E568" s="1135">
        <v>2500</v>
      </c>
      <c r="F568" s="1110" t="s">
        <v>4058</v>
      </c>
      <c r="G568" s="1111" t="s">
        <v>4059</v>
      </c>
      <c r="H568" s="1111" t="s">
        <v>3352</v>
      </c>
      <c r="I568" s="1112" t="s">
        <v>3352</v>
      </c>
      <c r="J568" s="1112"/>
      <c r="K568" s="1370"/>
      <c r="L568" s="1110" t="s">
        <v>3683</v>
      </c>
      <c r="M568" s="1136">
        <v>17500</v>
      </c>
      <c r="N568" s="1110"/>
      <c r="O568" s="1110" t="s">
        <v>3683</v>
      </c>
      <c r="P568" s="1137">
        <v>17500</v>
      </c>
    </row>
    <row r="569" spans="1:16" ht="24" x14ac:dyDescent="0.2">
      <c r="A569" s="916" t="s">
        <v>3997</v>
      </c>
      <c r="B569" s="1111" t="s">
        <v>3998</v>
      </c>
      <c r="C569" s="1102" t="s">
        <v>4056</v>
      </c>
      <c r="D569" s="1111" t="s">
        <v>4006</v>
      </c>
      <c r="E569" s="1135">
        <v>1200</v>
      </c>
      <c r="F569" s="1110" t="s">
        <v>4060</v>
      </c>
      <c r="G569" s="1111" t="s">
        <v>4061</v>
      </c>
      <c r="H569" s="1111" t="s">
        <v>3100</v>
      </c>
      <c r="I569" s="1112" t="s">
        <v>4062</v>
      </c>
      <c r="J569" s="1112"/>
      <c r="K569" s="1370"/>
      <c r="L569" s="1110" t="s">
        <v>638</v>
      </c>
      <c r="M569" s="1136">
        <v>9600</v>
      </c>
      <c r="N569" s="1110"/>
      <c r="O569" s="1110" t="s">
        <v>638</v>
      </c>
      <c r="P569" s="1137">
        <v>9600</v>
      </c>
    </row>
    <row r="570" spans="1:16" ht="24" x14ac:dyDescent="0.2">
      <c r="A570" s="916" t="s">
        <v>3997</v>
      </c>
      <c r="B570" s="1111" t="s">
        <v>3998</v>
      </c>
      <c r="C570" s="1102" t="s">
        <v>4056</v>
      </c>
      <c r="D570" s="1111" t="s">
        <v>4063</v>
      </c>
      <c r="E570" s="1135">
        <v>1200</v>
      </c>
      <c r="F570" s="1110" t="s">
        <v>4064</v>
      </c>
      <c r="G570" s="1111" t="s">
        <v>4065</v>
      </c>
      <c r="H570" s="1111" t="s">
        <v>4066</v>
      </c>
      <c r="I570" s="1112" t="s">
        <v>4066</v>
      </c>
      <c r="J570" s="1112"/>
      <c r="K570" s="1370"/>
      <c r="L570" s="1110" t="s">
        <v>3626</v>
      </c>
      <c r="M570" s="1136">
        <v>3600</v>
      </c>
      <c r="N570" s="1110"/>
      <c r="O570" s="1110"/>
      <c r="P570" s="1137">
        <v>0</v>
      </c>
    </row>
    <row r="571" spans="1:16" x14ac:dyDescent="0.2">
      <c r="A571" s="916" t="s">
        <v>3997</v>
      </c>
      <c r="B571" s="1111" t="s">
        <v>3998</v>
      </c>
      <c r="C571" s="1102" t="s">
        <v>4056</v>
      </c>
      <c r="D571" s="1111" t="s">
        <v>4067</v>
      </c>
      <c r="E571" s="1135">
        <v>2500</v>
      </c>
      <c r="F571" s="1110" t="s">
        <v>4018</v>
      </c>
      <c r="G571" s="1111" t="s">
        <v>4019</v>
      </c>
      <c r="H571" s="1111" t="s">
        <v>4008</v>
      </c>
      <c r="I571" s="1112" t="s">
        <v>3153</v>
      </c>
      <c r="J571" s="1112"/>
      <c r="K571" s="1370"/>
      <c r="L571" s="1110" t="s">
        <v>3683</v>
      </c>
      <c r="M571" s="1136">
        <v>17500</v>
      </c>
      <c r="N571" s="1110"/>
      <c r="O571" s="1110"/>
      <c r="P571" s="1137">
        <v>0</v>
      </c>
    </row>
    <row r="572" spans="1:16" ht="24" x14ac:dyDescent="0.2">
      <c r="A572" s="916" t="s">
        <v>3997</v>
      </c>
      <c r="B572" s="1111" t="s">
        <v>3998</v>
      </c>
      <c r="C572" s="1102" t="s">
        <v>4056</v>
      </c>
      <c r="D572" s="1111" t="s">
        <v>4006</v>
      </c>
      <c r="E572" s="1135">
        <v>1200</v>
      </c>
      <c r="F572" s="1110" t="s">
        <v>4068</v>
      </c>
      <c r="G572" s="1111" t="s">
        <v>4069</v>
      </c>
      <c r="H572" s="1111" t="s">
        <v>3100</v>
      </c>
      <c r="I572" s="1112" t="s">
        <v>4062</v>
      </c>
      <c r="J572" s="1112"/>
      <c r="K572" s="1370"/>
      <c r="L572" s="1110" t="s">
        <v>3626</v>
      </c>
      <c r="M572" s="1136">
        <v>3600</v>
      </c>
      <c r="N572" s="1110"/>
      <c r="O572" s="1110"/>
      <c r="P572" s="1137">
        <v>0</v>
      </c>
    </row>
    <row r="573" spans="1:16" x14ac:dyDescent="0.2">
      <c r="A573" s="916" t="s">
        <v>3997</v>
      </c>
      <c r="B573" s="1111" t="s">
        <v>3998</v>
      </c>
      <c r="C573" s="1102" t="s">
        <v>4056</v>
      </c>
      <c r="D573" s="1111" t="s">
        <v>4070</v>
      </c>
      <c r="E573" s="1135">
        <v>1200</v>
      </c>
      <c r="F573" s="1110" t="s">
        <v>4071</v>
      </c>
      <c r="G573" s="1111" t="s">
        <v>4072</v>
      </c>
      <c r="H573" s="1111" t="s">
        <v>4073</v>
      </c>
      <c r="I573" s="1112" t="s">
        <v>4073</v>
      </c>
      <c r="J573" s="1112"/>
      <c r="K573" s="1370"/>
      <c r="L573" s="1110" t="s">
        <v>430</v>
      </c>
      <c r="M573" s="1136">
        <v>7200</v>
      </c>
      <c r="N573" s="1110"/>
      <c r="O573" s="1110" t="s">
        <v>638</v>
      </c>
      <c r="P573" s="1137">
        <v>9600</v>
      </c>
    </row>
    <row r="574" spans="1:16" ht="36" x14ac:dyDescent="0.2">
      <c r="A574" s="916" t="s">
        <v>3997</v>
      </c>
      <c r="B574" s="1111" t="s">
        <v>3998</v>
      </c>
      <c r="C574" s="1102" t="s">
        <v>4056</v>
      </c>
      <c r="D574" s="1111" t="s">
        <v>4074</v>
      </c>
      <c r="E574" s="1135">
        <v>2000</v>
      </c>
      <c r="F574" s="1110" t="s">
        <v>4075</v>
      </c>
      <c r="G574" s="1111" t="s">
        <v>4076</v>
      </c>
      <c r="H574" s="1111" t="s">
        <v>4077</v>
      </c>
      <c r="I574" s="1112" t="s">
        <v>4077</v>
      </c>
      <c r="J574" s="1112"/>
      <c r="K574" s="1370"/>
      <c r="L574" s="1110" t="s">
        <v>638</v>
      </c>
      <c r="M574" s="1136">
        <v>16000</v>
      </c>
      <c r="N574" s="1110"/>
      <c r="O574" s="1110" t="s">
        <v>638</v>
      </c>
      <c r="P574" s="1137">
        <v>16000</v>
      </c>
    </row>
    <row r="575" spans="1:16" ht="24" x14ac:dyDescent="0.2">
      <c r="A575" s="916" t="s">
        <v>3997</v>
      </c>
      <c r="B575" s="1111" t="s">
        <v>3998</v>
      </c>
      <c r="C575" s="1102" t="s">
        <v>4056</v>
      </c>
      <c r="D575" s="1111" t="s">
        <v>4078</v>
      </c>
      <c r="E575" s="1135">
        <v>1500</v>
      </c>
      <c r="F575" s="1110" t="s">
        <v>4079</v>
      </c>
      <c r="G575" s="1111" t="s">
        <v>4080</v>
      </c>
      <c r="H575" s="1111" t="s">
        <v>4081</v>
      </c>
      <c r="I575" s="1112" t="s">
        <v>4082</v>
      </c>
      <c r="J575" s="1112"/>
      <c r="K575" s="1370"/>
      <c r="L575" s="1110" t="s">
        <v>4083</v>
      </c>
      <c r="M575" s="1136">
        <v>16500</v>
      </c>
      <c r="N575" s="1110"/>
      <c r="O575" s="1110"/>
      <c r="P575" s="1137">
        <v>0</v>
      </c>
    </row>
    <row r="576" spans="1:16" ht="24" x14ac:dyDescent="0.2">
      <c r="A576" s="916" t="s">
        <v>3997</v>
      </c>
      <c r="B576" s="1111" t="s">
        <v>3998</v>
      </c>
      <c r="C576" s="1102" t="s">
        <v>4056</v>
      </c>
      <c r="D576" s="1111" t="s">
        <v>4006</v>
      </c>
      <c r="E576" s="1135">
        <v>1200</v>
      </c>
      <c r="F576" s="1110" t="s">
        <v>4084</v>
      </c>
      <c r="G576" s="1111" t="s">
        <v>4085</v>
      </c>
      <c r="H576" s="1111" t="s">
        <v>3100</v>
      </c>
      <c r="I576" s="1112" t="s">
        <v>4062</v>
      </c>
      <c r="J576" s="1112"/>
      <c r="K576" s="1370"/>
      <c r="L576" s="1110" t="s">
        <v>3626</v>
      </c>
      <c r="M576" s="1136">
        <v>3600</v>
      </c>
      <c r="N576" s="1110"/>
      <c r="O576" s="1110"/>
      <c r="P576" s="1137">
        <v>0</v>
      </c>
    </row>
    <row r="577" spans="1:16" ht="24" x14ac:dyDescent="0.2">
      <c r="A577" s="916" t="s">
        <v>3997</v>
      </c>
      <c r="B577" s="1111" t="s">
        <v>3998</v>
      </c>
      <c r="C577" s="1102" t="s">
        <v>4056</v>
      </c>
      <c r="D577" s="1111" t="s">
        <v>4086</v>
      </c>
      <c r="E577" s="1135">
        <v>1200</v>
      </c>
      <c r="F577" s="1110" t="s">
        <v>4087</v>
      </c>
      <c r="G577" s="1111" t="s">
        <v>4088</v>
      </c>
      <c r="H577" s="1111" t="s">
        <v>3112</v>
      </c>
      <c r="I577" s="1112" t="s">
        <v>3112</v>
      </c>
      <c r="J577" s="1112"/>
      <c r="K577" s="1370"/>
      <c r="L577" s="1110" t="s">
        <v>3626</v>
      </c>
      <c r="M577" s="1136">
        <v>3600</v>
      </c>
      <c r="N577" s="1110"/>
      <c r="O577" s="1110"/>
      <c r="P577" s="1137">
        <v>0</v>
      </c>
    </row>
    <row r="578" spans="1:16" ht="24" x14ac:dyDescent="0.2">
      <c r="A578" s="916" t="s">
        <v>3997</v>
      </c>
      <c r="B578" s="1111" t="s">
        <v>3998</v>
      </c>
      <c r="C578" s="1102" t="s">
        <v>4056</v>
      </c>
      <c r="D578" s="1111" t="s">
        <v>4089</v>
      </c>
      <c r="E578" s="1135">
        <v>2000</v>
      </c>
      <c r="F578" s="1110" t="s">
        <v>4090</v>
      </c>
      <c r="G578" s="1111" t="s">
        <v>4091</v>
      </c>
      <c r="H578" s="1111" t="s">
        <v>4092</v>
      </c>
      <c r="I578" s="1112" t="s">
        <v>4092</v>
      </c>
      <c r="J578" s="1112"/>
      <c r="K578" s="1370"/>
      <c r="L578" s="1110" t="s">
        <v>3626</v>
      </c>
      <c r="M578" s="1136">
        <v>6000</v>
      </c>
      <c r="N578" s="1110"/>
      <c r="O578" s="1110"/>
      <c r="P578" s="1137">
        <v>0</v>
      </c>
    </row>
    <row r="579" spans="1:16" ht="24" x14ac:dyDescent="0.2">
      <c r="A579" s="916" t="s">
        <v>3997</v>
      </c>
      <c r="B579" s="1111" t="s">
        <v>3998</v>
      </c>
      <c r="C579" s="1102" t="s">
        <v>4056</v>
      </c>
      <c r="D579" s="1111" t="s">
        <v>4006</v>
      </c>
      <c r="E579" s="1135">
        <v>1200</v>
      </c>
      <c r="F579" s="1110" t="s">
        <v>4093</v>
      </c>
      <c r="G579" s="1111" t="s">
        <v>4094</v>
      </c>
      <c r="H579" s="1111" t="s">
        <v>4095</v>
      </c>
      <c r="I579" s="1112" t="s">
        <v>4062</v>
      </c>
      <c r="J579" s="1112"/>
      <c r="K579" s="1370"/>
      <c r="L579" s="1110" t="s">
        <v>3683</v>
      </c>
      <c r="M579" s="1136">
        <v>8400</v>
      </c>
      <c r="N579" s="1110"/>
      <c r="O579" s="1110" t="s">
        <v>638</v>
      </c>
      <c r="P579" s="1137">
        <v>9600</v>
      </c>
    </row>
    <row r="580" spans="1:16" ht="24" x14ac:dyDescent="0.2">
      <c r="A580" s="916" t="s">
        <v>3997</v>
      </c>
      <c r="B580" s="1111" t="s">
        <v>3998</v>
      </c>
      <c r="C580" s="1102" t="s">
        <v>4056</v>
      </c>
      <c r="D580" s="1111" t="s">
        <v>4096</v>
      </c>
      <c r="E580" s="1135">
        <v>1200</v>
      </c>
      <c r="F580" s="1110" t="s">
        <v>4054</v>
      </c>
      <c r="G580" s="1111" t="s">
        <v>4055</v>
      </c>
      <c r="H580" s="1111" t="s">
        <v>4097</v>
      </c>
      <c r="I580" s="1112" t="s">
        <v>4098</v>
      </c>
      <c r="J580" s="1112"/>
      <c r="K580" s="1370"/>
      <c r="L580" s="1110" t="s">
        <v>430</v>
      </c>
      <c r="M580" s="1136">
        <v>7200</v>
      </c>
      <c r="N580" s="1110"/>
      <c r="O580" s="1110"/>
      <c r="P580" s="1137">
        <v>0</v>
      </c>
    </row>
    <row r="581" spans="1:16" ht="48" x14ac:dyDescent="0.2">
      <c r="A581" s="916" t="s">
        <v>3997</v>
      </c>
      <c r="B581" s="1111" t="s">
        <v>3998</v>
      </c>
      <c r="C581" s="1102" t="s">
        <v>4056</v>
      </c>
      <c r="D581" s="1111" t="s">
        <v>4099</v>
      </c>
      <c r="E581" s="1135">
        <v>1200</v>
      </c>
      <c r="F581" s="1110" t="s">
        <v>4100</v>
      </c>
      <c r="G581" s="1111" t="s">
        <v>4101</v>
      </c>
      <c r="H581" s="1111" t="s">
        <v>4102</v>
      </c>
      <c r="I581" s="1112" t="s">
        <v>4102</v>
      </c>
      <c r="J581" s="1112"/>
      <c r="K581" s="1370"/>
      <c r="L581" s="1110" t="s">
        <v>639</v>
      </c>
      <c r="M581" s="1136">
        <v>10800</v>
      </c>
      <c r="N581" s="1110"/>
      <c r="O581" s="1110" t="s">
        <v>638</v>
      </c>
      <c r="P581" s="1137">
        <v>9600</v>
      </c>
    </row>
    <row r="582" spans="1:16" ht="24" x14ac:dyDescent="0.2">
      <c r="A582" s="916" t="s">
        <v>3997</v>
      </c>
      <c r="B582" s="1111" t="s">
        <v>3998</v>
      </c>
      <c r="C582" s="1102" t="s">
        <v>4056</v>
      </c>
      <c r="D582" s="1111" t="s">
        <v>4006</v>
      </c>
      <c r="E582" s="1135">
        <v>2000</v>
      </c>
      <c r="F582" s="1110" t="s">
        <v>4044</v>
      </c>
      <c r="G582" s="1111" t="s">
        <v>4045</v>
      </c>
      <c r="H582" s="1111" t="s">
        <v>4095</v>
      </c>
      <c r="I582" s="1112" t="s">
        <v>3100</v>
      </c>
      <c r="J582" s="1112"/>
      <c r="K582" s="1370"/>
      <c r="L582" s="1110" t="s">
        <v>430</v>
      </c>
      <c r="M582" s="1136">
        <v>12000</v>
      </c>
      <c r="N582" s="1110"/>
      <c r="O582" s="1110"/>
      <c r="P582" s="1137">
        <v>0</v>
      </c>
    </row>
    <row r="583" spans="1:16" ht="24" x14ac:dyDescent="0.2">
      <c r="A583" s="916" t="s">
        <v>3997</v>
      </c>
      <c r="B583" s="1111" t="s">
        <v>3998</v>
      </c>
      <c r="C583" s="1102" t="s">
        <v>4056</v>
      </c>
      <c r="D583" s="1111" t="s">
        <v>4006</v>
      </c>
      <c r="E583" s="1135">
        <v>1200</v>
      </c>
      <c r="F583" s="1110" t="s">
        <v>4103</v>
      </c>
      <c r="G583" s="1111" t="s">
        <v>4104</v>
      </c>
      <c r="H583" s="1111" t="s">
        <v>4095</v>
      </c>
      <c r="I583" s="1112" t="s">
        <v>4105</v>
      </c>
      <c r="J583" s="1112"/>
      <c r="K583" s="1370"/>
      <c r="L583" s="1110" t="s">
        <v>3662</v>
      </c>
      <c r="M583" s="1136">
        <v>4800</v>
      </c>
      <c r="N583" s="1110"/>
      <c r="O583" s="1110"/>
      <c r="P583" s="1137">
        <v>0</v>
      </c>
    </row>
    <row r="584" spans="1:16" ht="36" x14ac:dyDescent="0.2">
      <c r="A584" s="916" t="s">
        <v>3997</v>
      </c>
      <c r="B584" s="1111" t="s">
        <v>3998</v>
      </c>
      <c r="C584" s="1102" t="s">
        <v>4056</v>
      </c>
      <c r="D584" s="1111" t="s">
        <v>4106</v>
      </c>
      <c r="E584" s="1135">
        <v>1000</v>
      </c>
      <c r="F584" s="1110" t="s">
        <v>4107</v>
      </c>
      <c r="G584" s="1111" t="s">
        <v>4108</v>
      </c>
      <c r="H584" s="1111" t="s">
        <v>4109</v>
      </c>
      <c r="I584" s="1112" t="s">
        <v>4109</v>
      </c>
      <c r="J584" s="1112"/>
      <c r="K584" s="1370"/>
      <c r="L584" s="1110" t="s">
        <v>429</v>
      </c>
      <c r="M584" s="1136">
        <v>1000</v>
      </c>
      <c r="N584" s="1110"/>
      <c r="O584" s="1110"/>
      <c r="P584" s="1137">
        <v>0</v>
      </c>
    </row>
    <row r="585" spans="1:16" x14ac:dyDescent="0.2">
      <c r="A585" s="916" t="s">
        <v>3997</v>
      </c>
      <c r="B585" s="1111" t="s">
        <v>3998</v>
      </c>
      <c r="C585" s="1102" t="s">
        <v>4056</v>
      </c>
      <c r="D585" s="1111" t="s">
        <v>4110</v>
      </c>
      <c r="E585" s="1135">
        <v>1600</v>
      </c>
      <c r="F585" s="1110" t="s">
        <v>4111</v>
      </c>
      <c r="G585" s="1111" t="s">
        <v>4112</v>
      </c>
      <c r="H585" s="1111" t="s">
        <v>3164</v>
      </c>
      <c r="I585" s="1112" t="s">
        <v>3164</v>
      </c>
      <c r="J585" s="1112"/>
      <c r="K585" s="1370"/>
      <c r="L585" s="1110" t="s">
        <v>3683</v>
      </c>
      <c r="M585" s="1136">
        <v>11200</v>
      </c>
      <c r="N585" s="1110"/>
      <c r="O585" s="1110" t="s">
        <v>430</v>
      </c>
      <c r="P585" s="1137">
        <v>9600</v>
      </c>
    </row>
    <row r="586" spans="1:16" ht="24" x14ac:dyDescent="0.2">
      <c r="A586" s="916" t="s">
        <v>3997</v>
      </c>
      <c r="B586" s="1111" t="s">
        <v>3998</v>
      </c>
      <c r="C586" s="1102" t="s">
        <v>4056</v>
      </c>
      <c r="D586" s="1111" t="s">
        <v>4113</v>
      </c>
      <c r="E586" s="1135">
        <v>1600</v>
      </c>
      <c r="F586" s="1110" t="s">
        <v>4114</v>
      </c>
      <c r="G586" s="1111" t="s">
        <v>4115</v>
      </c>
      <c r="H586" s="1111" t="s">
        <v>4116</v>
      </c>
      <c r="I586" s="1112" t="s">
        <v>4116</v>
      </c>
      <c r="J586" s="1112"/>
      <c r="K586" s="1370"/>
      <c r="L586" s="1110" t="s">
        <v>639</v>
      </c>
      <c r="M586" s="1136">
        <v>14400</v>
      </c>
      <c r="N586" s="1110"/>
      <c r="O586" s="1110"/>
      <c r="P586" s="1137">
        <v>0</v>
      </c>
    </row>
    <row r="587" spans="1:16" x14ac:dyDescent="0.2">
      <c r="A587" s="916" t="s">
        <v>3997</v>
      </c>
      <c r="B587" s="1111" t="s">
        <v>3998</v>
      </c>
      <c r="C587" s="1102" t="s">
        <v>4056</v>
      </c>
      <c r="D587" s="1111" t="s">
        <v>4117</v>
      </c>
      <c r="E587" s="1135">
        <v>1600</v>
      </c>
      <c r="F587" s="1110" t="s">
        <v>4118</v>
      </c>
      <c r="G587" s="1111" t="s">
        <v>4119</v>
      </c>
      <c r="H587" s="1111" t="s">
        <v>4116</v>
      </c>
      <c r="I587" s="1112" t="s">
        <v>4116</v>
      </c>
      <c r="J587" s="1112"/>
      <c r="K587" s="1370"/>
      <c r="L587" s="1110" t="s">
        <v>3626</v>
      </c>
      <c r="M587" s="1136">
        <v>4800</v>
      </c>
      <c r="N587" s="1110"/>
      <c r="O587" s="1110" t="s">
        <v>430</v>
      </c>
      <c r="P587" s="1137">
        <v>9600</v>
      </c>
    </row>
    <row r="588" spans="1:16" x14ac:dyDescent="0.2">
      <c r="A588" s="916" t="s">
        <v>3997</v>
      </c>
      <c r="B588" s="1111" t="s">
        <v>3998</v>
      </c>
      <c r="C588" s="1102" t="s">
        <v>4056</v>
      </c>
      <c r="D588" s="1111" t="s">
        <v>4120</v>
      </c>
      <c r="E588" s="1135">
        <v>1600</v>
      </c>
      <c r="F588" s="1110" t="s">
        <v>4121</v>
      </c>
      <c r="G588" s="1111" t="s">
        <v>4122</v>
      </c>
      <c r="H588" s="1111" t="s">
        <v>4116</v>
      </c>
      <c r="I588" s="1112" t="s">
        <v>4116</v>
      </c>
      <c r="J588" s="1112"/>
      <c r="K588" s="1370"/>
      <c r="L588" s="1110" t="s">
        <v>3601</v>
      </c>
      <c r="M588" s="1136">
        <v>3200</v>
      </c>
      <c r="N588" s="1110"/>
      <c r="O588" s="1110" t="s">
        <v>3601</v>
      </c>
      <c r="P588" s="1137">
        <v>3200</v>
      </c>
    </row>
    <row r="589" spans="1:16" ht="24" x14ac:dyDescent="0.2">
      <c r="A589" s="916" t="s">
        <v>3997</v>
      </c>
      <c r="B589" s="1111" t="s">
        <v>3998</v>
      </c>
      <c r="C589" s="1102" t="s">
        <v>4056</v>
      </c>
      <c r="D589" s="1111" t="s">
        <v>4123</v>
      </c>
      <c r="E589" s="1135">
        <v>1500</v>
      </c>
      <c r="F589" s="1110" t="s">
        <v>4124</v>
      </c>
      <c r="G589" s="1111" t="s">
        <v>4125</v>
      </c>
      <c r="H589" s="1111" t="s">
        <v>4126</v>
      </c>
      <c r="I589" s="1112" t="s">
        <v>4116</v>
      </c>
      <c r="J589" s="1112"/>
      <c r="K589" s="1370"/>
      <c r="L589" s="1110" t="s">
        <v>3601</v>
      </c>
      <c r="M589" s="1136">
        <v>3000</v>
      </c>
      <c r="N589" s="1110"/>
      <c r="O589" s="1110" t="s">
        <v>3662</v>
      </c>
      <c r="P589" s="1137">
        <v>6000</v>
      </c>
    </row>
    <row r="590" spans="1:16" ht="24" x14ac:dyDescent="0.2">
      <c r="A590" s="916" t="s">
        <v>3997</v>
      </c>
      <c r="B590" s="1111" t="s">
        <v>3998</v>
      </c>
      <c r="C590" s="1102" t="s">
        <v>4056</v>
      </c>
      <c r="D590" s="1111" t="s">
        <v>4127</v>
      </c>
      <c r="E590" s="1135">
        <v>1600</v>
      </c>
      <c r="F590" s="1110" t="s">
        <v>4128</v>
      </c>
      <c r="G590" s="1111" t="s">
        <v>4129</v>
      </c>
      <c r="H590" s="1111" t="s">
        <v>3164</v>
      </c>
      <c r="I590" s="1112" t="s">
        <v>3164</v>
      </c>
      <c r="J590" s="1112"/>
      <c r="K590" s="1370"/>
      <c r="L590" s="1110" t="s">
        <v>432</v>
      </c>
      <c r="M590" s="1136">
        <v>16000</v>
      </c>
      <c r="N590" s="1110"/>
      <c r="O590" s="1110" t="s">
        <v>430</v>
      </c>
      <c r="P590" s="1137">
        <v>9600</v>
      </c>
    </row>
    <row r="591" spans="1:16" x14ac:dyDescent="0.2">
      <c r="A591" s="916" t="s">
        <v>3997</v>
      </c>
      <c r="B591" s="1111" t="s">
        <v>3998</v>
      </c>
      <c r="C591" s="1102" t="s">
        <v>4056</v>
      </c>
      <c r="D591" s="1111" t="s">
        <v>4130</v>
      </c>
      <c r="E591" s="1135">
        <v>1600</v>
      </c>
      <c r="F591" s="1110" t="s">
        <v>4131</v>
      </c>
      <c r="G591" s="1111" t="s">
        <v>4132</v>
      </c>
      <c r="H591" s="1111" t="s">
        <v>3164</v>
      </c>
      <c r="I591" s="1112" t="s">
        <v>3164</v>
      </c>
      <c r="J591" s="1112"/>
      <c r="K591" s="1370"/>
      <c r="L591" s="1110" t="s">
        <v>639</v>
      </c>
      <c r="M591" s="1136">
        <v>14400</v>
      </c>
      <c r="N591" s="1110"/>
      <c r="O591" s="1110" t="s">
        <v>430</v>
      </c>
      <c r="P591" s="1137">
        <v>9600</v>
      </c>
    </row>
    <row r="592" spans="1:16" x14ac:dyDescent="0.2">
      <c r="A592" s="916" t="s">
        <v>3997</v>
      </c>
      <c r="B592" s="1111" t="s">
        <v>3998</v>
      </c>
      <c r="C592" s="1102" t="s">
        <v>4056</v>
      </c>
      <c r="D592" s="1111" t="s">
        <v>4133</v>
      </c>
      <c r="E592" s="1135">
        <v>1200</v>
      </c>
      <c r="F592" s="1110" t="s">
        <v>4134</v>
      </c>
      <c r="G592" s="1111" t="s">
        <v>4135</v>
      </c>
      <c r="H592" s="1111" t="s">
        <v>4136</v>
      </c>
      <c r="I592" s="1112" t="s">
        <v>3187</v>
      </c>
      <c r="J592" s="1112"/>
      <c r="K592" s="1370"/>
      <c r="L592" s="1110" t="s">
        <v>3604</v>
      </c>
      <c r="M592" s="1136">
        <v>14400</v>
      </c>
      <c r="N592" s="1110"/>
      <c r="O592" s="1110" t="s">
        <v>430</v>
      </c>
      <c r="P592" s="1137">
        <v>7200</v>
      </c>
    </row>
    <row r="593" spans="1:16" ht="24" x14ac:dyDescent="0.2">
      <c r="A593" s="916" t="s">
        <v>3997</v>
      </c>
      <c r="B593" s="1111" t="s">
        <v>3998</v>
      </c>
      <c r="C593" s="1102" t="s">
        <v>4056</v>
      </c>
      <c r="D593" s="1111" t="s">
        <v>4137</v>
      </c>
      <c r="E593" s="1135">
        <v>1800</v>
      </c>
      <c r="F593" s="1110" t="s">
        <v>4138</v>
      </c>
      <c r="G593" s="1111" t="s">
        <v>4139</v>
      </c>
      <c r="H593" s="1111" t="s">
        <v>4140</v>
      </c>
      <c r="I593" s="1112" t="s">
        <v>4140</v>
      </c>
      <c r="J593" s="1112"/>
      <c r="K593" s="1370"/>
      <c r="L593" s="1110" t="s">
        <v>3601</v>
      </c>
      <c r="M593" s="1136">
        <v>3600</v>
      </c>
      <c r="N593" s="1110"/>
      <c r="O593" s="1110"/>
      <c r="P593" s="1137">
        <v>0</v>
      </c>
    </row>
    <row r="594" spans="1:16" ht="24" x14ac:dyDescent="0.2">
      <c r="A594" s="916" t="s">
        <v>3997</v>
      </c>
      <c r="B594" s="1111" t="s">
        <v>3998</v>
      </c>
      <c r="C594" s="1102" t="s">
        <v>4056</v>
      </c>
      <c r="D594" s="1111" t="s">
        <v>4141</v>
      </c>
      <c r="E594" s="1135">
        <v>1000</v>
      </c>
      <c r="F594" s="1110" t="s">
        <v>4142</v>
      </c>
      <c r="G594" s="1111" t="s">
        <v>4143</v>
      </c>
      <c r="H594" s="1111" t="s">
        <v>4144</v>
      </c>
      <c r="I594" s="1112" t="s">
        <v>4144</v>
      </c>
      <c r="J594" s="1112"/>
      <c r="K594" s="1370"/>
      <c r="L594" s="1110" t="s">
        <v>3604</v>
      </c>
      <c r="M594" s="1136">
        <v>12000</v>
      </c>
      <c r="N594" s="1110"/>
      <c r="O594" s="1110" t="s">
        <v>3683</v>
      </c>
      <c r="P594" s="1137">
        <v>7000</v>
      </c>
    </row>
    <row r="595" spans="1:16" x14ac:dyDescent="0.2">
      <c r="A595" s="916" t="s">
        <v>3997</v>
      </c>
      <c r="B595" s="1111" t="s">
        <v>3998</v>
      </c>
      <c r="C595" s="1102" t="s">
        <v>4056</v>
      </c>
      <c r="D595" s="1111" t="s">
        <v>4145</v>
      </c>
      <c r="E595" s="1135">
        <v>1000</v>
      </c>
      <c r="F595" s="1110" t="s">
        <v>4146</v>
      </c>
      <c r="G595" s="1111" t="s">
        <v>4147</v>
      </c>
      <c r="H595" s="1111" t="s">
        <v>4148</v>
      </c>
      <c r="I595" s="1112" t="s">
        <v>4148</v>
      </c>
      <c r="J595" s="1112"/>
      <c r="K595" s="1370"/>
      <c r="L595" s="1110" t="s">
        <v>3604</v>
      </c>
      <c r="M595" s="1136">
        <v>12000</v>
      </c>
      <c r="N595" s="1110"/>
      <c r="O595" s="1110" t="s">
        <v>638</v>
      </c>
      <c r="P595" s="1137">
        <v>8000</v>
      </c>
    </row>
    <row r="596" spans="1:16" x14ac:dyDescent="0.2">
      <c r="A596" s="916" t="s">
        <v>3997</v>
      </c>
      <c r="B596" s="1111" t="s">
        <v>3998</v>
      </c>
      <c r="C596" s="1102" t="s">
        <v>4056</v>
      </c>
      <c r="D596" s="1111" t="s">
        <v>4145</v>
      </c>
      <c r="E596" s="1135">
        <v>1000</v>
      </c>
      <c r="F596" s="1110" t="s">
        <v>4149</v>
      </c>
      <c r="G596" s="1111" t="s">
        <v>4150</v>
      </c>
      <c r="H596" s="1111" t="s">
        <v>4148</v>
      </c>
      <c r="I596" s="1112" t="s">
        <v>4148</v>
      </c>
      <c r="J596" s="1112"/>
      <c r="K596" s="1370"/>
      <c r="L596" s="1110" t="s">
        <v>3604</v>
      </c>
      <c r="M596" s="1136">
        <v>12000</v>
      </c>
      <c r="N596" s="1110"/>
      <c r="O596" s="1110" t="s">
        <v>3683</v>
      </c>
      <c r="P596" s="1137">
        <v>7000</v>
      </c>
    </row>
    <row r="597" spans="1:16" x14ac:dyDescent="0.2">
      <c r="A597" s="916" t="s">
        <v>3997</v>
      </c>
      <c r="B597" s="1111" t="s">
        <v>3998</v>
      </c>
      <c r="C597" s="1102" t="s">
        <v>4056</v>
      </c>
      <c r="D597" s="1111" t="s">
        <v>4145</v>
      </c>
      <c r="E597" s="1135">
        <v>1000</v>
      </c>
      <c r="F597" s="1110" t="s">
        <v>4151</v>
      </c>
      <c r="G597" s="1111" t="s">
        <v>4152</v>
      </c>
      <c r="H597" s="1111" t="s">
        <v>4148</v>
      </c>
      <c r="I597" s="1112" t="s">
        <v>4148</v>
      </c>
      <c r="J597" s="1112"/>
      <c r="K597" s="1370"/>
      <c r="L597" s="1110" t="s">
        <v>3604</v>
      </c>
      <c r="M597" s="1136">
        <v>12000</v>
      </c>
      <c r="N597" s="1110"/>
      <c r="O597" s="1110" t="s">
        <v>638</v>
      </c>
      <c r="P597" s="1137">
        <v>8000</v>
      </c>
    </row>
    <row r="598" spans="1:16" x14ac:dyDescent="0.2">
      <c r="A598" s="916" t="s">
        <v>3997</v>
      </c>
      <c r="B598" s="1111" t="s">
        <v>3998</v>
      </c>
      <c r="C598" s="1102" t="s">
        <v>4056</v>
      </c>
      <c r="D598" s="1111" t="s">
        <v>4145</v>
      </c>
      <c r="E598" s="1135">
        <v>1000</v>
      </c>
      <c r="F598" s="1110" t="s">
        <v>4153</v>
      </c>
      <c r="G598" s="1111" t="s">
        <v>4154</v>
      </c>
      <c r="H598" s="1111" t="s">
        <v>4148</v>
      </c>
      <c r="I598" s="1112" t="s">
        <v>4148</v>
      </c>
      <c r="J598" s="1112"/>
      <c r="K598" s="1370"/>
      <c r="L598" s="1110" t="s">
        <v>3604</v>
      </c>
      <c r="M598" s="1136">
        <v>12000</v>
      </c>
      <c r="N598" s="1110"/>
      <c r="O598" s="1110" t="s">
        <v>638</v>
      </c>
      <c r="P598" s="1137">
        <v>8000</v>
      </c>
    </row>
    <row r="599" spans="1:16" x14ac:dyDescent="0.2">
      <c r="A599" s="916" t="s">
        <v>3997</v>
      </c>
      <c r="B599" s="1111" t="s">
        <v>3998</v>
      </c>
      <c r="C599" s="1102" t="s">
        <v>4056</v>
      </c>
      <c r="D599" s="1111" t="s">
        <v>4145</v>
      </c>
      <c r="E599" s="1135">
        <v>1000</v>
      </c>
      <c r="F599" s="1110" t="s">
        <v>4155</v>
      </c>
      <c r="G599" s="1111" t="s">
        <v>4156</v>
      </c>
      <c r="H599" s="1111" t="s">
        <v>4148</v>
      </c>
      <c r="I599" s="1112" t="s">
        <v>4148</v>
      </c>
      <c r="J599" s="1112"/>
      <c r="K599" s="1370"/>
      <c r="L599" s="1110" t="s">
        <v>3604</v>
      </c>
      <c r="M599" s="1136">
        <v>12000</v>
      </c>
      <c r="N599" s="1110"/>
      <c r="O599" s="1110" t="s">
        <v>3683</v>
      </c>
      <c r="P599" s="1137">
        <v>7000</v>
      </c>
    </row>
    <row r="600" spans="1:16" x14ac:dyDescent="0.2">
      <c r="A600" s="916" t="s">
        <v>3997</v>
      </c>
      <c r="B600" s="1111" t="s">
        <v>3998</v>
      </c>
      <c r="C600" s="1102" t="s">
        <v>4056</v>
      </c>
      <c r="D600" s="1111" t="s">
        <v>4145</v>
      </c>
      <c r="E600" s="1135">
        <v>1000</v>
      </c>
      <c r="F600" s="1110" t="s">
        <v>4157</v>
      </c>
      <c r="G600" s="1111" t="s">
        <v>4158</v>
      </c>
      <c r="H600" s="1111" t="s">
        <v>4148</v>
      </c>
      <c r="I600" s="1112" t="s">
        <v>4148</v>
      </c>
      <c r="J600" s="1112"/>
      <c r="K600" s="1370"/>
      <c r="L600" s="1110" t="s">
        <v>3604</v>
      </c>
      <c r="M600" s="1136">
        <v>12000</v>
      </c>
      <c r="N600" s="1110"/>
      <c r="O600" s="1110" t="s">
        <v>3683</v>
      </c>
      <c r="P600" s="1137">
        <v>7000</v>
      </c>
    </row>
    <row r="601" spans="1:16" x14ac:dyDescent="0.2">
      <c r="A601" s="916" t="s">
        <v>3997</v>
      </c>
      <c r="B601" s="1111" t="s">
        <v>3998</v>
      </c>
      <c r="C601" s="1102" t="s">
        <v>4056</v>
      </c>
      <c r="D601" s="1111" t="s">
        <v>4145</v>
      </c>
      <c r="E601" s="1135">
        <v>1000</v>
      </c>
      <c r="F601" s="1110" t="s">
        <v>4159</v>
      </c>
      <c r="G601" s="1111" t="s">
        <v>4160</v>
      </c>
      <c r="H601" s="1111" t="s">
        <v>4148</v>
      </c>
      <c r="I601" s="1112" t="s">
        <v>4161</v>
      </c>
      <c r="J601" s="1112"/>
      <c r="K601" s="1370"/>
      <c r="L601" s="1110" t="s">
        <v>3604</v>
      </c>
      <c r="M601" s="1136">
        <v>12000</v>
      </c>
      <c r="N601" s="1110"/>
      <c r="O601" s="1110" t="s">
        <v>638</v>
      </c>
      <c r="P601" s="1137">
        <v>8000</v>
      </c>
    </row>
    <row r="602" spans="1:16" ht="24" x14ac:dyDescent="0.2">
      <c r="A602" s="916" t="s">
        <v>3997</v>
      </c>
      <c r="B602" s="1111" t="s">
        <v>3998</v>
      </c>
      <c r="C602" s="1102" t="s">
        <v>4056</v>
      </c>
      <c r="D602" s="1111" t="s">
        <v>4162</v>
      </c>
      <c r="E602" s="1135">
        <v>1000</v>
      </c>
      <c r="F602" s="1110" t="s">
        <v>4163</v>
      </c>
      <c r="G602" s="1111" t="s">
        <v>4164</v>
      </c>
      <c r="H602" s="1111" t="s">
        <v>4165</v>
      </c>
      <c r="I602" s="1112" t="s">
        <v>4165</v>
      </c>
      <c r="J602" s="1112"/>
      <c r="K602" s="1370"/>
      <c r="L602" s="1110" t="s">
        <v>3683</v>
      </c>
      <c r="M602" s="1136">
        <v>7000</v>
      </c>
      <c r="N602" s="1110"/>
      <c r="O602" s="1110" t="s">
        <v>638</v>
      </c>
      <c r="P602" s="1137">
        <v>8000</v>
      </c>
    </row>
    <row r="603" spans="1:16" ht="24" x14ac:dyDescent="0.2">
      <c r="A603" s="916" t="s">
        <v>3997</v>
      </c>
      <c r="B603" s="1111" t="s">
        <v>3998</v>
      </c>
      <c r="C603" s="1102" t="s">
        <v>4056</v>
      </c>
      <c r="D603" s="1111" t="s">
        <v>4162</v>
      </c>
      <c r="E603" s="1135">
        <v>1000</v>
      </c>
      <c r="F603" s="1110" t="s">
        <v>4166</v>
      </c>
      <c r="G603" s="1111" t="s">
        <v>4167</v>
      </c>
      <c r="H603" s="1111" t="s">
        <v>4165</v>
      </c>
      <c r="I603" s="1112" t="s">
        <v>4165</v>
      </c>
      <c r="J603" s="1112"/>
      <c r="K603" s="1370"/>
      <c r="L603" s="1110" t="s">
        <v>3683</v>
      </c>
      <c r="M603" s="1136">
        <v>7000</v>
      </c>
      <c r="N603" s="1110"/>
      <c r="O603" s="1110"/>
      <c r="P603" s="1137">
        <v>0</v>
      </c>
    </row>
    <row r="604" spans="1:16" ht="24" x14ac:dyDescent="0.2">
      <c r="A604" s="916" t="s">
        <v>3997</v>
      </c>
      <c r="B604" s="1111" t="s">
        <v>3998</v>
      </c>
      <c r="C604" s="1102" t="s">
        <v>4056</v>
      </c>
      <c r="D604" s="1111" t="s">
        <v>4168</v>
      </c>
      <c r="E604" s="1135">
        <v>1200</v>
      </c>
      <c r="F604" s="1110" t="s">
        <v>4169</v>
      </c>
      <c r="G604" s="1111" t="s">
        <v>4170</v>
      </c>
      <c r="H604" s="1111" t="s">
        <v>4171</v>
      </c>
      <c r="I604" s="1112" t="s">
        <v>4172</v>
      </c>
      <c r="J604" s="1112"/>
      <c r="K604" s="1370"/>
      <c r="L604" s="1110" t="s">
        <v>3626</v>
      </c>
      <c r="M604" s="1136">
        <v>3600</v>
      </c>
      <c r="N604" s="1110"/>
      <c r="O604" s="1110" t="s">
        <v>638</v>
      </c>
      <c r="P604" s="1137">
        <v>9600</v>
      </c>
    </row>
    <row r="605" spans="1:16" ht="36" x14ac:dyDescent="0.2">
      <c r="A605" s="916" t="s">
        <v>3997</v>
      </c>
      <c r="B605" s="1111" t="s">
        <v>3998</v>
      </c>
      <c r="C605" s="1102" t="s">
        <v>4056</v>
      </c>
      <c r="D605" s="1111" t="s">
        <v>4173</v>
      </c>
      <c r="E605" s="1135">
        <v>1200</v>
      </c>
      <c r="F605" s="1110" t="s">
        <v>4174</v>
      </c>
      <c r="G605" s="1111" t="s">
        <v>1319</v>
      </c>
      <c r="H605" s="1111" t="s">
        <v>4175</v>
      </c>
      <c r="I605" s="1112" t="s">
        <v>4175</v>
      </c>
      <c r="J605" s="1112"/>
      <c r="K605" s="1370"/>
      <c r="L605" s="1110" t="s">
        <v>3626</v>
      </c>
      <c r="M605" s="1136">
        <v>3600</v>
      </c>
      <c r="N605" s="1110"/>
      <c r="O605" s="1110"/>
      <c r="P605" s="1137">
        <v>0</v>
      </c>
    </row>
    <row r="606" spans="1:16" ht="24" x14ac:dyDescent="0.2">
      <c r="A606" s="916" t="s">
        <v>3997</v>
      </c>
      <c r="B606" s="1111" t="s">
        <v>3998</v>
      </c>
      <c r="C606" s="1102" t="s">
        <v>4056</v>
      </c>
      <c r="D606" s="1111" t="s">
        <v>4168</v>
      </c>
      <c r="E606" s="1135">
        <v>1150</v>
      </c>
      <c r="F606" s="1110" t="s">
        <v>4048</v>
      </c>
      <c r="G606" s="1111" t="s">
        <v>4049</v>
      </c>
      <c r="H606" s="1111" t="s">
        <v>4171</v>
      </c>
      <c r="I606" s="1112" t="s">
        <v>4171</v>
      </c>
      <c r="J606" s="1112"/>
      <c r="K606" s="1370"/>
      <c r="L606" s="1110" t="s">
        <v>639</v>
      </c>
      <c r="M606" s="1136">
        <v>10350</v>
      </c>
      <c r="N606" s="1110"/>
      <c r="O606" s="1110" t="s">
        <v>638</v>
      </c>
      <c r="P606" s="1137">
        <v>9200</v>
      </c>
    </row>
    <row r="607" spans="1:16" x14ac:dyDescent="0.2">
      <c r="A607" s="916" t="s">
        <v>3997</v>
      </c>
      <c r="B607" s="1111" t="s">
        <v>3998</v>
      </c>
      <c r="C607" s="1102" t="s">
        <v>4056</v>
      </c>
      <c r="D607" s="1111" t="s">
        <v>4176</v>
      </c>
      <c r="E607" s="1135">
        <v>1200</v>
      </c>
      <c r="F607" s="1110" t="s">
        <v>4177</v>
      </c>
      <c r="G607" s="1111" t="s">
        <v>4178</v>
      </c>
      <c r="H607" s="1111" t="s">
        <v>4179</v>
      </c>
      <c r="I607" s="1112" t="s">
        <v>3134</v>
      </c>
      <c r="J607" s="1112"/>
      <c r="K607" s="1370"/>
      <c r="L607" s="1110" t="s">
        <v>3662</v>
      </c>
      <c r="M607" s="1136">
        <v>4800</v>
      </c>
      <c r="N607" s="1110"/>
      <c r="O607" s="1110" t="s">
        <v>638</v>
      </c>
      <c r="P607" s="1137">
        <v>9600</v>
      </c>
    </row>
    <row r="608" spans="1:16" ht="24" x14ac:dyDescent="0.2">
      <c r="A608" s="916" t="s">
        <v>3997</v>
      </c>
      <c r="B608" s="1111" t="s">
        <v>3998</v>
      </c>
      <c r="C608" s="1102" t="s">
        <v>4056</v>
      </c>
      <c r="D608" s="1111" t="s">
        <v>4006</v>
      </c>
      <c r="E608" s="1135">
        <v>1200</v>
      </c>
      <c r="F608" s="1110" t="s">
        <v>4180</v>
      </c>
      <c r="G608" s="1111" t="s">
        <v>4181</v>
      </c>
      <c r="H608" s="1111" t="s">
        <v>3100</v>
      </c>
      <c r="I608" s="1112" t="s">
        <v>3100</v>
      </c>
      <c r="J608" s="1112"/>
      <c r="K608" s="1370"/>
      <c r="L608" s="1110" t="s">
        <v>430</v>
      </c>
      <c r="M608" s="1136">
        <v>7200</v>
      </c>
      <c r="N608" s="1110"/>
      <c r="O608" s="1110" t="s">
        <v>638</v>
      </c>
      <c r="P608" s="1137">
        <v>9600</v>
      </c>
    </row>
    <row r="609" spans="1:16" ht="48" x14ac:dyDescent="0.2">
      <c r="A609" s="916" t="s">
        <v>3997</v>
      </c>
      <c r="B609" s="1111" t="s">
        <v>3998</v>
      </c>
      <c r="C609" s="1102" t="s">
        <v>4056</v>
      </c>
      <c r="D609" s="1111" t="s">
        <v>4182</v>
      </c>
      <c r="E609" s="1135">
        <v>4639</v>
      </c>
      <c r="F609" s="1110" t="s">
        <v>4014</v>
      </c>
      <c r="G609" s="1111" t="s">
        <v>4015</v>
      </c>
      <c r="H609" s="1111" t="s">
        <v>4183</v>
      </c>
      <c r="I609" s="1112" t="s">
        <v>4183</v>
      </c>
      <c r="J609" s="1112"/>
      <c r="K609" s="1370"/>
      <c r="L609" s="1110" t="s">
        <v>3683</v>
      </c>
      <c r="M609" s="1136">
        <v>32473</v>
      </c>
      <c r="N609" s="1110"/>
      <c r="O609" s="1110" t="s">
        <v>638</v>
      </c>
      <c r="P609" s="1137">
        <v>37112</v>
      </c>
    </row>
    <row r="610" spans="1:16" ht="24" x14ac:dyDescent="0.2">
      <c r="A610" s="916" t="s">
        <v>3997</v>
      </c>
      <c r="B610" s="1111" t="s">
        <v>3998</v>
      </c>
      <c r="C610" s="1102" t="s">
        <v>4056</v>
      </c>
      <c r="D610" s="1111" t="s">
        <v>4184</v>
      </c>
      <c r="E610" s="1135">
        <v>1200</v>
      </c>
      <c r="F610" s="1110" t="s">
        <v>4185</v>
      </c>
      <c r="G610" s="1111" t="s">
        <v>4001</v>
      </c>
      <c r="H610" s="1111" t="s">
        <v>4186</v>
      </c>
      <c r="I610" s="1112" t="s">
        <v>4186</v>
      </c>
      <c r="J610" s="1112"/>
      <c r="K610" s="1370"/>
      <c r="L610" s="1110" t="s">
        <v>3683</v>
      </c>
      <c r="M610" s="1136">
        <v>8400</v>
      </c>
      <c r="N610" s="1110"/>
      <c r="O610" s="1110" t="s">
        <v>638</v>
      </c>
      <c r="P610" s="1137">
        <v>9600</v>
      </c>
    </row>
    <row r="611" spans="1:16" ht="36" x14ac:dyDescent="0.2">
      <c r="A611" s="916" t="s">
        <v>3997</v>
      </c>
      <c r="B611" s="1111" t="s">
        <v>3998</v>
      </c>
      <c r="C611" s="1102" t="s">
        <v>4056</v>
      </c>
      <c r="D611" s="1111" t="s">
        <v>4187</v>
      </c>
      <c r="E611" s="1135">
        <v>4400</v>
      </c>
      <c r="F611" s="1110" t="s">
        <v>4188</v>
      </c>
      <c r="G611" s="1111" t="s">
        <v>4189</v>
      </c>
      <c r="H611" s="1111" t="s">
        <v>4190</v>
      </c>
      <c r="I611" s="1112" t="s">
        <v>4190</v>
      </c>
      <c r="J611" s="1112"/>
      <c r="K611" s="1370"/>
      <c r="L611" s="1110" t="s">
        <v>3662</v>
      </c>
      <c r="M611" s="1136">
        <v>17600</v>
      </c>
      <c r="N611" s="1110"/>
      <c r="O611" s="1110"/>
      <c r="P611" s="1137">
        <v>0</v>
      </c>
    </row>
    <row r="612" spans="1:16" ht="36" x14ac:dyDescent="0.2">
      <c r="A612" s="916" t="s">
        <v>3997</v>
      </c>
      <c r="B612" s="1111" t="s">
        <v>3998</v>
      </c>
      <c r="C612" s="1102" t="s">
        <v>4056</v>
      </c>
      <c r="D612" s="1111" t="s">
        <v>4191</v>
      </c>
      <c r="E612" s="1135">
        <v>1300</v>
      </c>
      <c r="F612" s="1110" t="s">
        <v>4192</v>
      </c>
      <c r="G612" s="1111" t="s">
        <v>4193</v>
      </c>
      <c r="H612" s="1111" t="s">
        <v>4194</v>
      </c>
      <c r="I612" s="1112" t="s">
        <v>4194</v>
      </c>
      <c r="J612" s="1112"/>
      <c r="K612" s="1370"/>
      <c r="L612" s="1110" t="s">
        <v>3626</v>
      </c>
      <c r="M612" s="1136">
        <v>3900</v>
      </c>
      <c r="N612" s="1110"/>
      <c r="O612" s="1110"/>
      <c r="P612" s="1137">
        <v>0</v>
      </c>
    </row>
    <row r="613" spans="1:16" ht="36" x14ac:dyDescent="0.2">
      <c r="A613" s="916" t="s">
        <v>3997</v>
      </c>
      <c r="B613" s="1111" t="s">
        <v>3998</v>
      </c>
      <c r="C613" s="1102" t="s">
        <v>4056</v>
      </c>
      <c r="D613" s="1111" t="s">
        <v>4195</v>
      </c>
      <c r="E613" s="1135">
        <v>1600</v>
      </c>
      <c r="F613" s="1110" t="s">
        <v>4196</v>
      </c>
      <c r="G613" s="1111" t="s">
        <v>4197</v>
      </c>
      <c r="H613" s="1111" t="s">
        <v>4198</v>
      </c>
      <c r="I613" s="1112" t="s">
        <v>4198</v>
      </c>
      <c r="J613" s="1112"/>
      <c r="K613" s="1370"/>
      <c r="L613" s="1110" t="s">
        <v>3604</v>
      </c>
      <c r="M613" s="1136">
        <v>19200</v>
      </c>
      <c r="N613" s="1110"/>
      <c r="O613" s="1110" t="s">
        <v>3672</v>
      </c>
      <c r="P613" s="1137">
        <v>8000</v>
      </c>
    </row>
    <row r="614" spans="1:16" ht="24" x14ac:dyDescent="0.2">
      <c r="A614" s="916" t="s">
        <v>3997</v>
      </c>
      <c r="B614" s="1111" t="s">
        <v>3998</v>
      </c>
      <c r="C614" s="1102" t="s">
        <v>4056</v>
      </c>
      <c r="D614" s="1111" t="s">
        <v>4199</v>
      </c>
      <c r="E614" s="1135">
        <v>1600</v>
      </c>
      <c r="F614" s="1110" t="s">
        <v>4200</v>
      </c>
      <c r="G614" s="1111" t="s">
        <v>4201</v>
      </c>
      <c r="H614" s="1111" t="s">
        <v>4202</v>
      </c>
      <c r="I614" s="1112" t="s">
        <v>4202</v>
      </c>
      <c r="J614" s="1112"/>
      <c r="K614" s="1370"/>
      <c r="L614" s="1110" t="s">
        <v>3604</v>
      </c>
      <c r="M614" s="1136">
        <v>19200</v>
      </c>
      <c r="N614" s="1110"/>
      <c r="O614" s="1110" t="s">
        <v>638</v>
      </c>
      <c r="P614" s="1137">
        <v>12800</v>
      </c>
    </row>
    <row r="615" spans="1:16" ht="24" x14ac:dyDescent="0.2">
      <c r="A615" s="916" t="s">
        <v>3997</v>
      </c>
      <c r="B615" s="1111" t="s">
        <v>3998</v>
      </c>
      <c r="C615" s="1102" t="s">
        <v>4056</v>
      </c>
      <c r="D615" s="1111" t="s">
        <v>4203</v>
      </c>
      <c r="E615" s="1135">
        <v>4140</v>
      </c>
      <c r="F615" s="1110" t="s">
        <v>4204</v>
      </c>
      <c r="G615" s="1111" t="s">
        <v>4205</v>
      </c>
      <c r="H615" s="1111" t="s">
        <v>4206</v>
      </c>
      <c r="I615" s="1112" t="s">
        <v>4207</v>
      </c>
      <c r="J615" s="1112"/>
      <c r="K615" s="1370"/>
      <c r="L615" s="1110" t="s">
        <v>3626</v>
      </c>
      <c r="M615" s="1136">
        <v>12420</v>
      </c>
      <c r="N615" s="1110"/>
      <c r="O615" s="1110"/>
      <c r="P615" s="1137">
        <v>0</v>
      </c>
    </row>
    <row r="616" spans="1:16" x14ac:dyDescent="0.2">
      <c r="A616" s="916" t="s">
        <v>3997</v>
      </c>
      <c r="B616" s="1111" t="s">
        <v>3998</v>
      </c>
      <c r="C616" s="1102" t="s">
        <v>4056</v>
      </c>
      <c r="D616" s="1111" t="s">
        <v>4208</v>
      </c>
      <c r="E616" s="1135">
        <v>1600</v>
      </c>
      <c r="F616" s="1110" t="s">
        <v>4209</v>
      </c>
      <c r="G616" s="1111" t="s">
        <v>4210</v>
      </c>
      <c r="H616" s="1111" t="s">
        <v>4211</v>
      </c>
      <c r="I616" s="1112" t="s">
        <v>4212</v>
      </c>
      <c r="J616" s="1112"/>
      <c r="K616" s="1370"/>
      <c r="L616" s="1110" t="s">
        <v>3626</v>
      </c>
      <c r="M616" s="1136">
        <v>4800</v>
      </c>
      <c r="N616" s="1110"/>
      <c r="O616" s="1110"/>
      <c r="P616" s="1137">
        <v>0</v>
      </c>
    </row>
    <row r="617" spans="1:16" x14ac:dyDescent="0.2">
      <c r="A617" s="916" t="s">
        <v>3997</v>
      </c>
      <c r="B617" s="1111" t="s">
        <v>3998</v>
      </c>
      <c r="C617" s="1102" t="s">
        <v>4056</v>
      </c>
      <c r="D617" s="1111" t="s">
        <v>4213</v>
      </c>
      <c r="E617" s="1135">
        <v>1300</v>
      </c>
      <c r="F617" s="1110" t="s">
        <v>4214</v>
      </c>
      <c r="G617" s="1111" t="s">
        <v>4215</v>
      </c>
      <c r="H617" s="1111" t="s">
        <v>4216</v>
      </c>
      <c r="I617" s="1112" t="s">
        <v>4216</v>
      </c>
      <c r="J617" s="1112"/>
      <c r="K617" s="1370"/>
      <c r="L617" s="1110" t="s">
        <v>3604</v>
      </c>
      <c r="M617" s="1136">
        <v>15600</v>
      </c>
      <c r="N617" s="1110"/>
      <c r="O617" s="1110" t="s">
        <v>430</v>
      </c>
      <c r="P617" s="1137">
        <v>7800</v>
      </c>
    </row>
    <row r="618" spans="1:16" ht="24" x14ac:dyDescent="0.2">
      <c r="A618" s="916" t="s">
        <v>3997</v>
      </c>
      <c r="B618" s="1111" t="s">
        <v>3998</v>
      </c>
      <c r="C618" s="1102" t="s">
        <v>4056</v>
      </c>
      <c r="D618" s="1111" t="s">
        <v>4217</v>
      </c>
      <c r="E618" s="1135">
        <v>1200</v>
      </c>
      <c r="F618" s="1110" t="s">
        <v>4218</v>
      </c>
      <c r="G618" s="1111" t="s">
        <v>4219</v>
      </c>
      <c r="H618" s="1111" t="s">
        <v>4220</v>
      </c>
      <c r="I618" s="1112" t="s">
        <v>4220</v>
      </c>
      <c r="J618" s="1112"/>
      <c r="K618" s="1370"/>
      <c r="L618" s="1110" t="s">
        <v>3604</v>
      </c>
      <c r="M618" s="1136">
        <v>14400</v>
      </c>
      <c r="N618" s="1110"/>
      <c r="O618" s="1110" t="s">
        <v>638</v>
      </c>
      <c r="P618" s="1137">
        <v>9600</v>
      </c>
    </row>
    <row r="619" spans="1:16" ht="24" x14ac:dyDescent="0.2">
      <c r="A619" s="916" t="s">
        <v>3997</v>
      </c>
      <c r="B619" s="1111" t="s">
        <v>3998</v>
      </c>
      <c r="C619" s="1102" t="s">
        <v>4056</v>
      </c>
      <c r="D619" s="1111" t="s">
        <v>4221</v>
      </c>
      <c r="E619" s="1135">
        <v>1200</v>
      </c>
      <c r="F619" s="1110" t="s">
        <v>4051</v>
      </c>
      <c r="G619" s="1111" t="s">
        <v>4052</v>
      </c>
      <c r="H619" s="1111" t="s">
        <v>4222</v>
      </c>
      <c r="I619" s="1112" t="s">
        <v>4222</v>
      </c>
      <c r="J619" s="1112"/>
      <c r="K619" s="1370"/>
      <c r="L619" s="1110" t="s">
        <v>3604</v>
      </c>
      <c r="M619" s="1136">
        <v>14400</v>
      </c>
      <c r="N619" s="1110"/>
      <c r="O619" s="1110" t="s">
        <v>638</v>
      </c>
      <c r="P619" s="1137">
        <v>9600</v>
      </c>
    </row>
    <row r="620" spans="1:16" ht="36" x14ac:dyDescent="0.2">
      <c r="A620" s="916" t="s">
        <v>3997</v>
      </c>
      <c r="B620" s="1111" t="s">
        <v>3998</v>
      </c>
      <c r="C620" s="1102" t="s">
        <v>4056</v>
      </c>
      <c r="D620" s="1111" t="s">
        <v>4223</v>
      </c>
      <c r="E620" s="1135">
        <v>1300</v>
      </c>
      <c r="F620" s="1110" t="s">
        <v>4224</v>
      </c>
      <c r="G620" s="1111" t="s">
        <v>4225</v>
      </c>
      <c r="H620" s="1111" t="s">
        <v>4226</v>
      </c>
      <c r="I620" s="1112" t="s">
        <v>4226</v>
      </c>
      <c r="J620" s="1112"/>
      <c r="K620" s="1370"/>
      <c r="L620" s="1110" t="s">
        <v>3604</v>
      </c>
      <c r="M620" s="1136">
        <v>15600</v>
      </c>
      <c r="N620" s="1110"/>
      <c r="O620" s="1110" t="s">
        <v>638</v>
      </c>
      <c r="P620" s="1137">
        <v>10400</v>
      </c>
    </row>
    <row r="621" spans="1:16" x14ac:dyDescent="0.2">
      <c r="A621" s="916" t="s">
        <v>3997</v>
      </c>
      <c r="B621" s="1111" t="s">
        <v>3998</v>
      </c>
      <c r="C621" s="1102" t="s">
        <v>4056</v>
      </c>
      <c r="D621" s="1111" t="s">
        <v>4227</v>
      </c>
      <c r="E621" s="1135">
        <v>2500</v>
      </c>
      <c r="F621" s="1110" t="s">
        <v>4228</v>
      </c>
      <c r="G621" s="1111" t="s">
        <v>4229</v>
      </c>
      <c r="H621" s="1111" t="s">
        <v>4230</v>
      </c>
      <c r="I621" s="1112" t="s">
        <v>4230</v>
      </c>
      <c r="J621" s="1112"/>
      <c r="K621" s="1370"/>
      <c r="L621" s="1110" t="s">
        <v>3604</v>
      </c>
      <c r="M621" s="1136">
        <v>30000</v>
      </c>
      <c r="N621" s="1110"/>
      <c r="O621" s="1110" t="s">
        <v>638</v>
      </c>
      <c r="P621" s="1137">
        <v>20000</v>
      </c>
    </row>
    <row r="622" spans="1:16" ht="36" x14ac:dyDescent="0.2">
      <c r="A622" s="916" t="s">
        <v>3997</v>
      </c>
      <c r="B622" s="1111" t="s">
        <v>3998</v>
      </c>
      <c r="C622" s="1102" t="s">
        <v>4056</v>
      </c>
      <c r="D622" s="1111" t="s">
        <v>4231</v>
      </c>
      <c r="E622" s="1135">
        <v>2500</v>
      </c>
      <c r="F622" s="1110" t="s">
        <v>4232</v>
      </c>
      <c r="G622" s="1111" t="s">
        <v>4233</v>
      </c>
      <c r="H622" s="1111" t="s">
        <v>4234</v>
      </c>
      <c r="I622" s="1112" t="s">
        <v>4234</v>
      </c>
      <c r="J622" s="1112"/>
      <c r="K622" s="1370"/>
      <c r="L622" s="1110" t="s">
        <v>3626</v>
      </c>
      <c r="M622" s="1136">
        <v>7500</v>
      </c>
      <c r="N622" s="1110"/>
      <c r="O622" s="1110"/>
      <c r="P622" s="1137">
        <v>0</v>
      </c>
    </row>
    <row r="623" spans="1:16" ht="24" x14ac:dyDescent="0.2">
      <c r="A623" s="916" t="s">
        <v>3997</v>
      </c>
      <c r="B623" s="1111" t="s">
        <v>3998</v>
      </c>
      <c r="C623" s="1102" t="s">
        <v>4056</v>
      </c>
      <c r="D623" s="1111" t="s">
        <v>4235</v>
      </c>
      <c r="E623" s="1135">
        <v>2000</v>
      </c>
      <c r="F623" s="1110" t="s">
        <v>4236</v>
      </c>
      <c r="G623" s="1111" t="s">
        <v>4237</v>
      </c>
      <c r="H623" s="1111" t="s">
        <v>4238</v>
      </c>
      <c r="I623" s="1112" t="s">
        <v>4239</v>
      </c>
      <c r="J623" s="1112"/>
      <c r="K623" s="1370"/>
      <c r="L623" s="1110" t="s">
        <v>3683</v>
      </c>
      <c r="M623" s="1136">
        <v>14000</v>
      </c>
      <c r="N623" s="1110"/>
      <c r="O623" s="1110" t="s">
        <v>430</v>
      </c>
      <c r="P623" s="1137">
        <v>12000</v>
      </c>
    </row>
    <row r="624" spans="1:16" ht="36" x14ac:dyDescent="0.2">
      <c r="A624" s="916" t="s">
        <v>3997</v>
      </c>
      <c r="B624" s="1111" t="s">
        <v>3998</v>
      </c>
      <c r="C624" s="1102" t="s">
        <v>4056</v>
      </c>
      <c r="D624" s="1111" t="s">
        <v>4096</v>
      </c>
      <c r="E624" s="1135">
        <v>1200</v>
      </c>
      <c r="F624" s="1110" t="s">
        <v>4240</v>
      </c>
      <c r="G624" s="1111" t="s">
        <v>4241</v>
      </c>
      <c r="H624" s="1111" t="s">
        <v>4097</v>
      </c>
      <c r="I624" s="1112" t="s">
        <v>4097</v>
      </c>
      <c r="J624" s="1112"/>
      <c r="K624" s="1370"/>
      <c r="L624" s="1110" t="s">
        <v>3604</v>
      </c>
      <c r="M624" s="1136">
        <v>14400</v>
      </c>
      <c r="N624" s="1110"/>
      <c r="O624" s="1110" t="s">
        <v>638</v>
      </c>
      <c r="P624" s="1137">
        <v>9600</v>
      </c>
    </row>
    <row r="625" spans="1:17" ht="36" x14ac:dyDescent="0.2">
      <c r="A625" s="916" t="s">
        <v>3997</v>
      </c>
      <c r="B625" s="1111" t="s">
        <v>3998</v>
      </c>
      <c r="C625" s="1102" t="s">
        <v>4056</v>
      </c>
      <c r="D625" s="1111" t="s">
        <v>4242</v>
      </c>
      <c r="E625" s="1135">
        <v>1400</v>
      </c>
      <c r="F625" s="1110" t="s">
        <v>4243</v>
      </c>
      <c r="G625" s="1111" t="s">
        <v>4244</v>
      </c>
      <c r="H625" s="1111" t="s">
        <v>4245</v>
      </c>
      <c r="I625" s="1112" t="s">
        <v>4245</v>
      </c>
      <c r="J625" s="1112"/>
      <c r="K625" s="1370"/>
      <c r="L625" s="1110" t="s">
        <v>3626</v>
      </c>
      <c r="M625" s="1136">
        <v>4200</v>
      </c>
      <c r="N625" s="1110"/>
      <c r="O625" s="1110"/>
      <c r="P625" s="1137">
        <v>0</v>
      </c>
    </row>
    <row r="626" spans="1:17" ht="36" x14ac:dyDescent="0.2">
      <c r="A626" s="916" t="s">
        <v>3997</v>
      </c>
      <c r="B626" s="1111" t="s">
        <v>3998</v>
      </c>
      <c r="C626" s="1102" t="s">
        <v>4056</v>
      </c>
      <c r="D626" s="1111" t="s">
        <v>4246</v>
      </c>
      <c r="E626" s="1135">
        <v>1500</v>
      </c>
      <c r="F626" s="1110" t="s">
        <v>4247</v>
      </c>
      <c r="G626" s="1111" t="s">
        <v>4248</v>
      </c>
      <c r="H626" s="1111" t="s">
        <v>4249</v>
      </c>
      <c r="I626" s="1112" t="s">
        <v>4249</v>
      </c>
      <c r="J626" s="1112"/>
      <c r="K626" s="1370"/>
      <c r="L626" s="1110" t="s">
        <v>3604</v>
      </c>
      <c r="M626" s="1136">
        <v>18000</v>
      </c>
      <c r="N626" s="1110"/>
      <c r="O626" s="1110" t="s">
        <v>638</v>
      </c>
      <c r="P626" s="1137">
        <v>12000</v>
      </c>
    </row>
    <row r="627" spans="1:17" ht="24" x14ac:dyDescent="0.2">
      <c r="A627" s="916" t="s">
        <v>3997</v>
      </c>
      <c r="B627" s="1111" t="s">
        <v>3998</v>
      </c>
      <c r="C627" s="1102" t="s">
        <v>4056</v>
      </c>
      <c r="D627" s="1111" t="s">
        <v>4250</v>
      </c>
      <c r="E627" s="1135">
        <v>560</v>
      </c>
      <c r="F627" s="1110" t="s">
        <v>4251</v>
      </c>
      <c r="G627" s="1111" t="s">
        <v>4252</v>
      </c>
      <c r="H627" s="1111" t="s">
        <v>4253</v>
      </c>
      <c r="I627" s="1112" t="s">
        <v>4253</v>
      </c>
      <c r="J627" s="1112"/>
      <c r="K627" s="1370"/>
      <c r="L627" s="1110" t="s">
        <v>429</v>
      </c>
      <c r="M627" s="1136">
        <v>560</v>
      </c>
      <c r="N627" s="1110"/>
      <c r="O627" s="1110"/>
      <c r="P627" s="1137">
        <v>0</v>
      </c>
    </row>
    <row r="628" spans="1:17" x14ac:dyDescent="0.2">
      <c r="A628" s="916" t="s">
        <v>3997</v>
      </c>
      <c r="B628" s="1111" t="s">
        <v>3998</v>
      </c>
      <c r="C628" s="1102" t="s">
        <v>4056</v>
      </c>
      <c r="D628" s="1111" t="s">
        <v>4254</v>
      </c>
      <c r="E628" s="1135">
        <v>700</v>
      </c>
      <c r="F628" s="1110" t="s">
        <v>4255</v>
      </c>
      <c r="G628" s="1111" t="s">
        <v>4256</v>
      </c>
      <c r="H628" s="1111" t="s">
        <v>4257</v>
      </c>
      <c r="I628" s="1112" t="s">
        <v>3164</v>
      </c>
      <c r="J628" s="1112"/>
      <c r="K628" s="1370"/>
      <c r="L628" s="1110" t="s">
        <v>429</v>
      </c>
      <c r="M628" s="1136">
        <v>700</v>
      </c>
      <c r="N628" s="1110"/>
      <c r="O628" s="1110"/>
      <c r="P628" s="1137">
        <v>0</v>
      </c>
    </row>
    <row r="629" spans="1:17" ht="36" x14ac:dyDescent="0.2">
      <c r="A629" s="916" t="s">
        <v>3997</v>
      </c>
      <c r="B629" s="1111" t="s">
        <v>3998</v>
      </c>
      <c r="C629" s="1102" t="s">
        <v>4056</v>
      </c>
      <c r="D629" s="1111" t="s">
        <v>4258</v>
      </c>
      <c r="E629" s="1135">
        <v>4000</v>
      </c>
      <c r="F629" s="1110" t="s">
        <v>4259</v>
      </c>
      <c r="G629" s="1111" t="s">
        <v>4260</v>
      </c>
      <c r="H629" s="1111" t="s">
        <v>4261</v>
      </c>
      <c r="I629" s="1112" t="s">
        <v>4262</v>
      </c>
      <c r="J629" s="1112"/>
      <c r="K629" s="1370"/>
      <c r="L629" s="1110" t="s">
        <v>639</v>
      </c>
      <c r="M629" s="1136">
        <v>36000</v>
      </c>
      <c r="N629" s="1110"/>
      <c r="O629" s="1110" t="s">
        <v>3672</v>
      </c>
      <c r="P629" s="1137">
        <v>20000</v>
      </c>
    </row>
    <row r="630" spans="1:17" ht="36" x14ac:dyDescent="0.2">
      <c r="A630" s="916" t="s">
        <v>3997</v>
      </c>
      <c r="B630" s="1111" t="s">
        <v>3998</v>
      </c>
      <c r="C630" s="1102" t="s">
        <v>4056</v>
      </c>
      <c r="D630" s="1111" t="s">
        <v>4263</v>
      </c>
      <c r="E630" s="1135">
        <v>3000</v>
      </c>
      <c r="F630" s="1110" t="s">
        <v>4264</v>
      </c>
      <c r="G630" s="1111" t="s">
        <v>4265</v>
      </c>
      <c r="H630" s="1111" t="s">
        <v>4266</v>
      </c>
      <c r="I630" s="1112" t="s">
        <v>4266</v>
      </c>
      <c r="J630" s="1112"/>
      <c r="K630" s="1370"/>
      <c r="L630" s="1110" t="s">
        <v>3604</v>
      </c>
      <c r="M630" s="1136">
        <v>36000</v>
      </c>
      <c r="N630" s="1110"/>
      <c r="O630" s="1110" t="s">
        <v>638</v>
      </c>
      <c r="P630" s="1137">
        <v>24000</v>
      </c>
    </row>
    <row r="631" spans="1:17" ht="24" x14ac:dyDescent="0.2">
      <c r="A631" s="916" t="s">
        <v>3997</v>
      </c>
      <c r="B631" s="1111" t="s">
        <v>3998</v>
      </c>
      <c r="C631" s="1102" t="s">
        <v>4056</v>
      </c>
      <c r="D631" s="1111" t="s">
        <v>4106</v>
      </c>
      <c r="E631" s="1135">
        <v>1165</v>
      </c>
      <c r="F631" s="1110" t="s">
        <v>4267</v>
      </c>
      <c r="G631" s="1111" t="s">
        <v>4268</v>
      </c>
      <c r="H631" s="1111" t="s">
        <v>4269</v>
      </c>
      <c r="I631" s="1112"/>
      <c r="J631" s="1112"/>
      <c r="K631" s="1370"/>
      <c r="L631" s="1110" t="s">
        <v>639</v>
      </c>
      <c r="M631" s="1136">
        <v>10485</v>
      </c>
      <c r="N631" s="1110"/>
      <c r="O631" s="1110" t="s">
        <v>3626</v>
      </c>
      <c r="P631" s="1137">
        <v>3495</v>
      </c>
    </row>
    <row r="632" spans="1:17" ht="48" x14ac:dyDescent="0.2">
      <c r="A632" s="916" t="s">
        <v>3997</v>
      </c>
      <c r="B632" s="1111" t="s">
        <v>3998</v>
      </c>
      <c r="C632" s="1102" t="s">
        <v>4056</v>
      </c>
      <c r="D632" s="1111" t="s">
        <v>4117</v>
      </c>
      <c r="E632" s="1135">
        <v>1600</v>
      </c>
      <c r="F632" s="1110" t="s">
        <v>4270</v>
      </c>
      <c r="G632" s="1111" t="s">
        <v>4271</v>
      </c>
      <c r="H632" s="1111" t="s">
        <v>4272</v>
      </c>
      <c r="I632" s="1112" t="s">
        <v>4272</v>
      </c>
      <c r="J632" s="1112"/>
      <c r="K632" s="1370"/>
      <c r="L632" s="1110" t="s">
        <v>3683</v>
      </c>
      <c r="M632" s="1136">
        <v>11200</v>
      </c>
      <c r="N632" s="1110"/>
      <c r="O632" s="1110" t="s">
        <v>430</v>
      </c>
      <c r="P632" s="1137">
        <v>9600</v>
      </c>
    </row>
    <row r="633" spans="1:17" ht="24" x14ac:dyDescent="0.2">
      <c r="A633" s="916" t="s">
        <v>3997</v>
      </c>
      <c r="B633" s="1111" t="s">
        <v>3998</v>
      </c>
      <c r="C633" s="1102" t="s">
        <v>4056</v>
      </c>
      <c r="D633" s="1111" t="s">
        <v>4273</v>
      </c>
      <c r="E633" s="1135">
        <v>1200</v>
      </c>
      <c r="F633" s="1110" t="s">
        <v>4274</v>
      </c>
      <c r="G633" s="1111" t="s">
        <v>4275</v>
      </c>
      <c r="H633" s="1111" t="s">
        <v>4276</v>
      </c>
      <c r="I633" s="1112" t="s">
        <v>4276</v>
      </c>
      <c r="J633" s="1112"/>
      <c r="K633" s="1370"/>
      <c r="L633" s="1110" t="s">
        <v>4083</v>
      </c>
      <c r="M633" s="1136">
        <v>13200</v>
      </c>
      <c r="N633" s="1110"/>
      <c r="O633" s="1110" t="s">
        <v>638</v>
      </c>
      <c r="P633" s="1137">
        <v>9600</v>
      </c>
    </row>
    <row r="634" spans="1:17" ht="24" x14ac:dyDescent="0.2">
      <c r="A634" s="916" t="s">
        <v>3997</v>
      </c>
      <c r="B634" s="1111" t="s">
        <v>3998</v>
      </c>
      <c r="C634" s="1102" t="s">
        <v>4056</v>
      </c>
      <c r="D634" s="1111" t="s">
        <v>4277</v>
      </c>
      <c r="E634" s="1135">
        <v>3500</v>
      </c>
      <c r="F634" s="1110" t="s">
        <v>4278</v>
      </c>
      <c r="G634" s="1111" t="s">
        <v>4279</v>
      </c>
      <c r="H634" s="1111" t="s">
        <v>4280</v>
      </c>
      <c r="I634" s="1112" t="s">
        <v>4280</v>
      </c>
      <c r="J634" s="1112"/>
      <c r="K634" s="1370"/>
      <c r="L634" s="1110" t="s">
        <v>3672</v>
      </c>
      <c r="M634" s="1136">
        <v>17500</v>
      </c>
      <c r="N634" s="1110"/>
      <c r="O634" s="1110" t="s">
        <v>3672</v>
      </c>
      <c r="P634" s="1137">
        <v>17500</v>
      </c>
    </row>
    <row r="635" spans="1:17" ht="48" x14ac:dyDescent="0.2">
      <c r="A635" s="916" t="s">
        <v>3997</v>
      </c>
      <c r="B635" s="1111" t="s">
        <v>3998</v>
      </c>
      <c r="C635" s="1102" t="s">
        <v>4056</v>
      </c>
      <c r="D635" s="1111" t="s">
        <v>4281</v>
      </c>
      <c r="E635" s="1135">
        <v>1600</v>
      </c>
      <c r="F635" s="1110" t="s">
        <v>4282</v>
      </c>
      <c r="G635" s="1111" t="s">
        <v>4283</v>
      </c>
      <c r="H635" s="1111" t="s">
        <v>4284</v>
      </c>
      <c r="I635" s="1112" t="s">
        <v>4284</v>
      </c>
      <c r="J635" s="1112"/>
      <c r="K635" s="1370"/>
      <c r="L635" s="1110" t="s">
        <v>3672</v>
      </c>
      <c r="M635" s="1136">
        <v>8000</v>
      </c>
      <c r="N635" s="1110"/>
      <c r="O635" s="1110" t="s">
        <v>430</v>
      </c>
      <c r="P635" s="1137">
        <v>9600</v>
      </c>
    </row>
    <row r="636" spans="1:17" ht="24" x14ac:dyDescent="0.2">
      <c r="A636" s="916" t="s">
        <v>3997</v>
      </c>
      <c r="B636" s="1111" t="s">
        <v>3998</v>
      </c>
      <c r="C636" s="1102" t="s">
        <v>4056</v>
      </c>
      <c r="D636" s="1111" t="s">
        <v>4285</v>
      </c>
      <c r="E636" s="1135">
        <v>2000</v>
      </c>
      <c r="F636" s="1110" t="s">
        <v>4286</v>
      </c>
      <c r="G636" s="1111" t="s">
        <v>4287</v>
      </c>
      <c r="H636" s="1111" t="s">
        <v>4288</v>
      </c>
      <c r="I636" s="1112" t="s">
        <v>4288</v>
      </c>
      <c r="J636" s="1112"/>
      <c r="K636" s="1370"/>
      <c r="L636" s="1110" t="s">
        <v>430</v>
      </c>
      <c r="M636" s="1136">
        <v>12000</v>
      </c>
      <c r="N636" s="1110"/>
      <c r="O636" s="1110"/>
      <c r="P636" s="1137"/>
    </row>
    <row r="637" spans="1:17" ht="48" x14ac:dyDescent="0.2">
      <c r="A637" s="916" t="s">
        <v>3997</v>
      </c>
      <c r="B637" s="1111" t="s">
        <v>3998</v>
      </c>
      <c r="C637" s="1102" t="s">
        <v>4056</v>
      </c>
      <c r="D637" s="1111" t="s">
        <v>4117</v>
      </c>
      <c r="E637" s="1135">
        <v>1600</v>
      </c>
      <c r="F637" s="1110" t="s">
        <v>4289</v>
      </c>
      <c r="G637" s="1111" t="s">
        <v>4290</v>
      </c>
      <c r="H637" s="1111" t="s">
        <v>4272</v>
      </c>
      <c r="I637" s="1112" t="s">
        <v>4272</v>
      </c>
      <c r="J637" s="1112"/>
      <c r="K637" s="1370"/>
      <c r="L637" s="1110" t="s">
        <v>3626</v>
      </c>
      <c r="M637" s="1136">
        <v>4800</v>
      </c>
      <c r="N637" s="1110"/>
      <c r="O637" s="1110"/>
      <c r="P637" s="1137"/>
    </row>
    <row r="638" spans="1:17" x14ac:dyDescent="0.2">
      <c r="A638" s="916" t="s">
        <v>3997</v>
      </c>
      <c r="B638" s="1111" t="s">
        <v>3998</v>
      </c>
      <c r="C638" s="1102" t="s">
        <v>4056</v>
      </c>
      <c r="D638" s="1111"/>
      <c r="E638" s="1135"/>
      <c r="F638" s="1110"/>
      <c r="G638" s="1111"/>
      <c r="H638" s="1111"/>
      <c r="I638" s="1112"/>
      <c r="J638" s="1112"/>
      <c r="K638" s="1370"/>
      <c r="L638" s="1110"/>
      <c r="M638" s="1136"/>
      <c r="N638" s="1110"/>
      <c r="O638" s="1110"/>
      <c r="P638" s="1137"/>
    </row>
    <row r="639" spans="1:17" x14ac:dyDescent="0.2">
      <c r="A639" s="916" t="s">
        <v>3997</v>
      </c>
      <c r="B639" s="1111" t="s">
        <v>3998</v>
      </c>
      <c r="C639" s="1102" t="s">
        <v>4056</v>
      </c>
      <c r="D639" s="1111"/>
      <c r="E639" s="1135"/>
      <c r="F639" s="1110"/>
      <c r="G639" s="1111"/>
      <c r="H639" s="1111"/>
      <c r="I639" s="1112"/>
      <c r="J639" s="1112"/>
      <c r="K639" s="1370"/>
      <c r="L639" s="1110"/>
      <c r="M639" s="1136"/>
      <c r="N639" s="1110"/>
      <c r="O639" s="1110"/>
      <c r="P639" s="1137"/>
    </row>
    <row r="640" spans="1:17" x14ac:dyDescent="0.2">
      <c r="A640" s="902"/>
      <c r="B640" s="1095"/>
      <c r="C640" s="1250" t="s">
        <v>3485</v>
      </c>
      <c r="D640" s="1251"/>
      <c r="E640" s="1252">
        <f>SUM(E568:E639)</f>
        <v>113054</v>
      </c>
      <c r="F640" s="1253"/>
      <c r="G640" s="1254"/>
      <c r="H640" s="1254"/>
      <c r="I640" s="1255"/>
      <c r="J640" s="1255"/>
      <c r="K640" s="1371"/>
      <c r="L640" s="1256"/>
      <c r="M640" s="1257">
        <v>1052808</v>
      </c>
      <c r="N640" s="1256"/>
      <c r="O640" s="1256"/>
      <c r="P640" s="1258">
        <v>646167</v>
      </c>
      <c r="Q640" s="1138"/>
    </row>
    <row r="641" spans="1:16" x14ac:dyDescent="0.2">
      <c r="A641" s="1231"/>
      <c r="B641" s="1230"/>
      <c r="C641" s="1259"/>
      <c r="D641" s="1260"/>
      <c r="E641" s="1261">
        <f>+E567+E640</f>
        <v>139914</v>
      </c>
      <c r="F641" s="1260"/>
      <c r="G641" s="1262"/>
      <c r="H641" s="1262"/>
      <c r="I641" s="1263"/>
      <c r="J641" s="1263"/>
      <c r="K641" s="1372"/>
      <c r="L641" s="1264"/>
      <c r="M641" s="1265">
        <f>+M567+M640</f>
        <v>1375128</v>
      </c>
      <c r="N641" s="1264"/>
      <c r="O641" s="1264"/>
      <c r="P641" s="1265">
        <f>+P567+P640</f>
        <v>807327</v>
      </c>
    </row>
    <row r="642" spans="1:16" x14ac:dyDescent="0.2">
      <c r="A642" s="63"/>
      <c r="C642" s="63"/>
      <c r="E642" s="63"/>
      <c r="I642" s="63"/>
      <c r="J642" s="63"/>
      <c r="L642" s="63"/>
      <c r="M642" s="63"/>
      <c r="P642" s="63"/>
    </row>
    <row r="643" spans="1:16" x14ac:dyDescent="0.2">
      <c r="A643" s="63"/>
      <c r="C643" s="63"/>
      <c r="E643" s="63"/>
      <c r="I643" s="63"/>
      <c r="J643" s="63"/>
      <c r="L643" s="63"/>
      <c r="M643" s="63"/>
      <c r="P643" s="63"/>
    </row>
    <row r="644" spans="1:16" x14ac:dyDescent="0.2">
      <c r="A644" s="1485" t="s">
        <v>624</v>
      </c>
      <c r="B644" s="1485"/>
      <c r="C644" s="1485"/>
      <c r="D644" s="1176"/>
      <c r="E644" s="1177"/>
      <c r="F644" s="1176"/>
      <c r="G644" s="1176"/>
      <c r="H644" s="1176"/>
      <c r="I644" s="1178"/>
      <c r="J644" s="1178"/>
      <c r="K644" s="1358"/>
      <c r="L644" s="1179"/>
      <c r="M644" s="1180"/>
      <c r="N644" s="1176"/>
      <c r="O644" s="1176"/>
      <c r="P644" s="1180"/>
    </row>
    <row r="645" spans="1:16" x14ac:dyDescent="0.2">
      <c r="A645" s="1529"/>
      <c r="B645" s="1529"/>
      <c r="C645" s="1529"/>
      <c r="D645" s="1529"/>
      <c r="E645" s="1529"/>
      <c r="F645" s="1529" t="s">
        <v>3076</v>
      </c>
      <c r="G645" s="1529"/>
      <c r="H645" s="1529"/>
      <c r="I645" s="1529"/>
      <c r="J645" s="1529"/>
      <c r="K645" s="1528" t="s">
        <v>3077</v>
      </c>
      <c r="L645" s="1528"/>
      <c r="M645" s="1528"/>
      <c r="N645" s="1528" t="s">
        <v>3078</v>
      </c>
      <c r="O645" s="1528"/>
      <c r="P645" s="1528"/>
    </row>
    <row r="646" spans="1:16" ht="90" customHeight="1" x14ac:dyDescent="0.2">
      <c r="A646" s="869" t="s">
        <v>2829</v>
      </c>
      <c r="B646" s="433" t="s">
        <v>3079</v>
      </c>
      <c r="C646" s="869" t="s">
        <v>3080</v>
      </c>
      <c r="D646" s="433" t="s">
        <v>3081</v>
      </c>
      <c r="E646" s="699" t="s">
        <v>3082</v>
      </c>
      <c r="F646" s="433" t="s">
        <v>3083</v>
      </c>
      <c r="G646" s="433" t="s">
        <v>3084</v>
      </c>
      <c r="H646" s="433" t="s">
        <v>3085</v>
      </c>
      <c r="I646" s="433" t="s">
        <v>3086</v>
      </c>
      <c r="J646" s="433" t="s">
        <v>3087</v>
      </c>
      <c r="K646" s="1354" t="s">
        <v>3088</v>
      </c>
      <c r="L646" s="1157" t="s">
        <v>3089</v>
      </c>
      <c r="M646" s="698" t="s">
        <v>3090</v>
      </c>
      <c r="N646" s="1157" t="s">
        <v>3088</v>
      </c>
      <c r="O646" s="1157" t="s">
        <v>3089</v>
      </c>
      <c r="P646" s="698" t="s">
        <v>3090</v>
      </c>
    </row>
    <row r="647" spans="1:16" ht="36" x14ac:dyDescent="0.2">
      <c r="A647" s="1141">
        <v>300</v>
      </c>
      <c r="B647" s="1103" t="s">
        <v>4291</v>
      </c>
      <c r="C647" s="1141" t="s">
        <v>398</v>
      </c>
      <c r="D647" s="1103" t="s">
        <v>4292</v>
      </c>
      <c r="E647" s="1139">
        <v>1200</v>
      </c>
      <c r="F647" s="1140" t="s">
        <v>4293</v>
      </c>
      <c r="G647" s="1141" t="s">
        <v>4294</v>
      </c>
      <c r="H647" s="1081" t="s">
        <v>3124</v>
      </c>
      <c r="I647" s="1082"/>
      <c r="J647" s="1082" t="s">
        <v>4295</v>
      </c>
      <c r="K647" s="1373" t="s">
        <v>4296</v>
      </c>
      <c r="L647" s="1085">
        <v>12</v>
      </c>
      <c r="M647" s="1139">
        <f>+L647*E647</f>
        <v>14400</v>
      </c>
      <c r="N647" s="1142" t="s">
        <v>4297</v>
      </c>
      <c r="O647" s="1085">
        <v>6</v>
      </c>
      <c r="P647" s="1139">
        <f>+O647*E647</f>
        <v>7200</v>
      </c>
    </row>
    <row r="648" spans="1:16" ht="24" x14ac:dyDescent="0.2">
      <c r="A648" s="1141">
        <v>300</v>
      </c>
      <c r="B648" s="1103" t="s">
        <v>4291</v>
      </c>
      <c r="C648" s="1141" t="s">
        <v>398</v>
      </c>
      <c r="D648" s="1103" t="s">
        <v>4292</v>
      </c>
      <c r="E648" s="1139">
        <v>1360</v>
      </c>
      <c r="F648" s="1081">
        <v>45122827</v>
      </c>
      <c r="G648" s="1141" t="s">
        <v>4298</v>
      </c>
      <c r="H648" s="1081" t="s">
        <v>4299</v>
      </c>
      <c r="I648" s="1081"/>
      <c r="J648" s="1081" t="s">
        <v>4300</v>
      </c>
      <c r="K648" s="1373" t="s">
        <v>4301</v>
      </c>
      <c r="L648" s="1085">
        <v>12</v>
      </c>
      <c r="M648" s="1139">
        <f>+L648*E648</f>
        <v>16320</v>
      </c>
      <c r="N648" s="1142" t="s">
        <v>4302</v>
      </c>
      <c r="O648" s="1085">
        <v>6</v>
      </c>
      <c r="P648" s="1139">
        <f>+O648*E648</f>
        <v>8160</v>
      </c>
    </row>
    <row r="649" spans="1:16" ht="24" x14ac:dyDescent="0.2">
      <c r="A649" s="1141">
        <v>300</v>
      </c>
      <c r="B649" s="1103" t="s">
        <v>4291</v>
      </c>
      <c r="C649" s="1141" t="s">
        <v>398</v>
      </c>
      <c r="D649" s="1103" t="s">
        <v>4292</v>
      </c>
      <c r="E649" s="1139">
        <v>1300</v>
      </c>
      <c r="F649" s="1081">
        <v>45209954</v>
      </c>
      <c r="G649" s="1141" t="s">
        <v>4303</v>
      </c>
      <c r="H649" s="1081"/>
      <c r="I649" s="1083" t="s">
        <v>4304</v>
      </c>
      <c r="J649" s="1081"/>
      <c r="K649" s="1373" t="s">
        <v>4305</v>
      </c>
      <c r="L649" s="1142" t="s">
        <v>4306</v>
      </c>
      <c r="M649" s="1139">
        <v>563</v>
      </c>
      <c r="N649" s="1084"/>
      <c r="O649" s="1084"/>
      <c r="P649" s="1266"/>
    </row>
    <row r="650" spans="1:16" ht="36" x14ac:dyDescent="0.2">
      <c r="A650" s="1141">
        <v>300</v>
      </c>
      <c r="B650" s="1103" t="s">
        <v>4291</v>
      </c>
      <c r="C650" s="1141" t="s">
        <v>398</v>
      </c>
      <c r="D650" s="1103" t="s">
        <v>4292</v>
      </c>
      <c r="E650" s="1139">
        <v>1000</v>
      </c>
      <c r="F650" s="1081">
        <v>41516438</v>
      </c>
      <c r="G650" s="1141" t="s">
        <v>4307</v>
      </c>
      <c r="H650" s="1081" t="s">
        <v>3124</v>
      </c>
      <c r="I650" s="1081"/>
      <c r="J650" s="1081" t="s">
        <v>4308</v>
      </c>
      <c r="K650" s="1373" t="s">
        <v>4309</v>
      </c>
      <c r="L650" s="1085">
        <v>12</v>
      </c>
      <c r="M650" s="1139">
        <f t="shared" ref="M650:M692" si="32">+L650*E650</f>
        <v>12000</v>
      </c>
      <c r="N650" s="1142" t="s">
        <v>4310</v>
      </c>
      <c r="O650" s="1085">
        <v>6</v>
      </c>
      <c r="P650" s="1139">
        <f>+O650*E650</f>
        <v>6000</v>
      </c>
    </row>
    <row r="651" spans="1:16" ht="36" x14ac:dyDescent="0.2">
      <c r="A651" s="1141">
        <v>300</v>
      </c>
      <c r="B651" s="1103" t="s">
        <v>4291</v>
      </c>
      <c r="C651" s="1141" t="s">
        <v>398</v>
      </c>
      <c r="D651" s="1104" t="s">
        <v>4292</v>
      </c>
      <c r="E651" s="1139">
        <v>1270</v>
      </c>
      <c r="F651" s="1140" t="s">
        <v>4311</v>
      </c>
      <c r="G651" s="1141" t="s">
        <v>4312</v>
      </c>
      <c r="H651" s="1082" t="s">
        <v>4313</v>
      </c>
      <c r="I651" s="1081"/>
      <c r="J651" s="1082" t="s">
        <v>4313</v>
      </c>
      <c r="K651" s="1373" t="s">
        <v>4314</v>
      </c>
      <c r="L651" s="1085">
        <v>12</v>
      </c>
      <c r="M651" s="1139">
        <f t="shared" si="32"/>
        <v>15240</v>
      </c>
      <c r="N651" s="1142" t="s">
        <v>3963</v>
      </c>
      <c r="O651" s="1085">
        <v>6</v>
      </c>
      <c r="P651" s="1139">
        <f>+O651*E651</f>
        <v>7620</v>
      </c>
    </row>
    <row r="652" spans="1:16" ht="24" x14ac:dyDescent="0.2">
      <c r="A652" s="1141">
        <v>300</v>
      </c>
      <c r="B652" s="1103" t="s">
        <v>4291</v>
      </c>
      <c r="C652" s="1141" t="s">
        <v>398</v>
      </c>
      <c r="D652" s="1104" t="s">
        <v>4315</v>
      </c>
      <c r="E652" s="1139">
        <v>2500</v>
      </c>
      <c r="F652" s="1081">
        <v>43604002</v>
      </c>
      <c r="G652" s="1141" t="s">
        <v>4316</v>
      </c>
      <c r="H652" s="1081" t="s">
        <v>3153</v>
      </c>
      <c r="I652" s="1083" t="s">
        <v>4317</v>
      </c>
      <c r="J652" s="1081" t="s">
        <v>3575</v>
      </c>
      <c r="K652" s="1373" t="s">
        <v>4318</v>
      </c>
      <c r="L652" s="1085">
        <v>5</v>
      </c>
      <c r="M652" s="1139">
        <f t="shared" si="32"/>
        <v>12500</v>
      </c>
      <c r="N652" s="1084"/>
      <c r="O652" s="1084"/>
      <c r="P652" s="1266"/>
    </row>
    <row r="653" spans="1:16" ht="36" x14ac:dyDescent="0.2">
      <c r="A653" s="1141">
        <v>300</v>
      </c>
      <c r="B653" s="1103" t="s">
        <v>4291</v>
      </c>
      <c r="C653" s="1141" t="s">
        <v>398</v>
      </c>
      <c r="D653" s="1104" t="s">
        <v>4319</v>
      </c>
      <c r="E653" s="1139">
        <v>2500</v>
      </c>
      <c r="F653" s="1081" t="s">
        <v>4320</v>
      </c>
      <c r="G653" s="1141" t="s">
        <v>4321</v>
      </c>
      <c r="H653" s="1081" t="s">
        <v>3153</v>
      </c>
      <c r="I653" s="1083" t="s">
        <v>4322</v>
      </c>
      <c r="J653" s="1081" t="s">
        <v>3575</v>
      </c>
      <c r="K653" s="1373" t="s">
        <v>4323</v>
      </c>
      <c r="L653" s="1085">
        <v>8</v>
      </c>
      <c r="M653" s="1139">
        <f t="shared" si="32"/>
        <v>20000</v>
      </c>
      <c r="N653" s="1084"/>
      <c r="O653" s="1084"/>
      <c r="P653" s="1266"/>
    </row>
    <row r="654" spans="1:16" ht="36" x14ac:dyDescent="0.2">
      <c r="A654" s="1141">
        <v>300</v>
      </c>
      <c r="B654" s="1103" t="s">
        <v>4291</v>
      </c>
      <c r="C654" s="1141" t="s">
        <v>398</v>
      </c>
      <c r="D654" s="1104" t="s">
        <v>4315</v>
      </c>
      <c r="E654" s="1139">
        <v>2500</v>
      </c>
      <c r="F654" s="1081">
        <v>72905201</v>
      </c>
      <c r="G654" s="1141" t="s">
        <v>4324</v>
      </c>
      <c r="H654" s="1081" t="s">
        <v>3153</v>
      </c>
      <c r="I654" s="1083" t="s">
        <v>4325</v>
      </c>
      <c r="J654" s="1081" t="s">
        <v>3575</v>
      </c>
      <c r="K654" s="1373" t="s">
        <v>4326</v>
      </c>
      <c r="L654" s="1085">
        <v>12</v>
      </c>
      <c r="M654" s="1139">
        <f t="shared" si="32"/>
        <v>30000</v>
      </c>
      <c r="N654" s="1084"/>
      <c r="O654" s="1084"/>
      <c r="P654" s="1266"/>
    </row>
    <row r="655" spans="1:16" ht="24" x14ac:dyDescent="0.2">
      <c r="A655" s="1141">
        <v>300</v>
      </c>
      <c r="B655" s="1103" t="s">
        <v>4291</v>
      </c>
      <c r="C655" s="1141" t="s">
        <v>398</v>
      </c>
      <c r="D655" s="1104" t="s">
        <v>4327</v>
      </c>
      <c r="E655" s="1139">
        <v>1200</v>
      </c>
      <c r="F655" s="1081">
        <v>76696951</v>
      </c>
      <c r="G655" s="1141" t="s">
        <v>4328</v>
      </c>
      <c r="H655" s="1081" t="s">
        <v>4329</v>
      </c>
      <c r="I655" s="1081"/>
      <c r="J655" s="1081" t="s">
        <v>3575</v>
      </c>
      <c r="K655" s="1373" t="s">
        <v>4330</v>
      </c>
      <c r="L655" s="1085">
        <v>12</v>
      </c>
      <c r="M655" s="1139">
        <f t="shared" si="32"/>
        <v>14400</v>
      </c>
      <c r="N655" s="1142" t="s">
        <v>4331</v>
      </c>
      <c r="O655" s="1085">
        <v>6</v>
      </c>
      <c r="P655" s="1139">
        <f>+O655*E655</f>
        <v>7200</v>
      </c>
    </row>
    <row r="656" spans="1:16" ht="36" x14ac:dyDescent="0.2">
      <c r="A656" s="1141">
        <v>300</v>
      </c>
      <c r="B656" s="1103" t="s">
        <v>4291</v>
      </c>
      <c r="C656" s="1141" t="s">
        <v>398</v>
      </c>
      <c r="D656" s="1104" t="s">
        <v>4332</v>
      </c>
      <c r="E656" s="1139">
        <v>2400</v>
      </c>
      <c r="F656" s="1140" t="s">
        <v>4333</v>
      </c>
      <c r="G656" s="1141" t="s">
        <v>4334</v>
      </c>
      <c r="H656" s="1081" t="s">
        <v>4335</v>
      </c>
      <c r="I656" s="1081"/>
      <c r="J656" s="1082" t="s">
        <v>4313</v>
      </c>
      <c r="K656" s="1373" t="s">
        <v>4336</v>
      </c>
      <c r="L656" s="1085">
        <v>12</v>
      </c>
      <c r="M656" s="1139">
        <f t="shared" si="32"/>
        <v>28800</v>
      </c>
      <c r="N656" s="1142" t="s">
        <v>4337</v>
      </c>
      <c r="O656" s="1085">
        <v>6</v>
      </c>
      <c r="P656" s="1139">
        <f>+O656*E656</f>
        <v>14400</v>
      </c>
    </row>
    <row r="657" spans="1:16" ht="24" x14ac:dyDescent="0.2">
      <c r="A657" s="1141">
        <v>300</v>
      </c>
      <c r="B657" s="1103" t="s">
        <v>4291</v>
      </c>
      <c r="C657" s="1141" t="s">
        <v>398</v>
      </c>
      <c r="D657" s="1104" t="s">
        <v>4327</v>
      </c>
      <c r="E657" s="1139">
        <v>1500</v>
      </c>
      <c r="F657" s="1140">
        <v>72792250</v>
      </c>
      <c r="G657" s="1141" t="s">
        <v>4338</v>
      </c>
      <c r="H657" s="1082" t="s">
        <v>3131</v>
      </c>
      <c r="I657" s="1081"/>
      <c r="J657" s="1081" t="s">
        <v>3575</v>
      </c>
      <c r="K657" s="1373" t="s">
        <v>4339</v>
      </c>
      <c r="L657" s="1085">
        <v>12</v>
      </c>
      <c r="M657" s="1139">
        <f t="shared" si="32"/>
        <v>18000</v>
      </c>
      <c r="N657" s="1142" t="s">
        <v>4340</v>
      </c>
      <c r="O657" s="1085">
        <v>6</v>
      </c>
      <c r="P657" s="1139">
        <f>+O657*E657</f>
        <v>9000</v>
      </c>
    </row>
    <row r="658" spans="1:16" ht="36" x14ac:dyDescent="0.2">
      <c r="A658" s="1141">
        <v>300</v>
      </c>
      <c r="B658" s="1103" t="s">
        <v>4291</v>
      </c>
      <c r="C658" s="1141" t="s">
        <v>398</v>
      </c>
      <c r="D658" s="1104" t="s">
        <v>4341</v>
      </c>
      <c r="E658" s="1139">
        <v>2400</v>
      </c>
      <c r="F658" s="1081">
        <v>44614608</v>
      </c>
      <c r="G658" s="1141" t="s">
        <v>4342</v>
      </c>
      <c r="H658" s="1081" t="s">
        <v>3129</v>
      </c>
      <c r="I658" s="1083" t="s">
        <v>4343</v>
      </c>
      <c r="J658" s="1081" t="s">
        <v>3575</v>
      </c>
      <c r="K658" s="1373" t="s">
        <v>4344</v>
      </c>
      <c r="L658" s="1085">
        <v>12</v>
      </c>
      <c r="M658" s="1139">
        <f t="shared" si="32"/>
        <v>28800</v>
      </c>
      <c r="N658" s="1142" t="s">
        <v>3995</v>
      </c>
      <c r="O658" s="1085">
        <v>2</v>
      </c>
      <c r="P658" s="1139">
        <f>+O658*E658</f>
        <v>4800</v>
      </c>
    </row>
    <row r="659" spans="1:16" ht="24" x14ac:dyDescent="0.2">
      <c r="A659" s="1141">
        <v>300</v>
      </c>
      <c r="B659" s="1103" t="s">
        <v>4291</v>
      </c>
      <c r="C659" s="1141" t="s">
        <v>398</v>
      </c>
      <c r="D659" s="1104" t="s">
        <v>4327</v>
      </c>
      <c r="E659" s="1139">
        <v>1300</v>
      </c>
      <c r="F659" s="1140" t="s">
        <v>4345</v>
      </c>
      <c r="G659" s="1141" t="s">
        <v>4346</v>
      </c>
      <c r="H659" s="1081" t="s">
        <v>3129</v>
      </c>
      <c r="I659" s="1081"/>
      <c r="J659" s="1081" t="s">
        <v>3575</v>
      </c>
      <c r="K659" s="1373" t="s">
        <v>4347</v>
      </c>
      <c r="L659" s="1085">
        <v>12</v>
      </c>
      <c r="M659" s="1139">
        <f t="shared" si="32"/>
        <v>15600</v>
      </c>
      <c r="N659" s="1142" t="s">
        <v>4348</v>
      </c>
      <c r="O659" s="1085">
        <v>6</v>
      </c>
      <c r="P659" s="1139">
        <f>+O659*E659</f>
        <v>7800</v>
      </c>
    </row>
    <row r="660" spans="1:16" ht="36" x14ac:dyDescent="0.2">
      <c r="A660" s="1141">
        <v>300</v>
      </c>
      <c r="B660" s="1103" t="s">
        <v>4291</v>
      </c>
      <c r="C660" s="1141" t="s">
        <v>398</v>
      </c>
      <c r="D660" s="1104" t="s">
        <v>4327</v>
      </c>
      <c r="E660" s="1139">
        <v>1400</v>
      </c>
      <c r="F660" s="1081">
        <v>71039723</v>
      </c>
      <c r="G660" s="1141" t="s">
        <v>4349</v>
      </c>
      <c r="H660" s="1081" t="s">
        <v>4335</v>
      </c>
      <c r="I660" s="1083" t="s">
        <v>4350</v>
      </c>
      <c r="J660" s="1081" t="s">
        <v>4351</v>
      </c>
      <c r="K660" s="1373" t="s">
        <v>4352</v>
      </c>
      <c r="L660" s="1085">
        <v>10</v>
      </c>
      <c r="M660" s="1139">
        <f t="shared" si="32"/>
        <v>14000</v>
      </c>
      <c r="N660" s="1084"/>
      <c r="O660" s="1084"/>
      <c r="P660" s="1266"/>
    </row>
    <row r="661" spans="1:16" ht="36" x14ac:dyDescent="0.2">
      <c r="A661" s="1141">
        <v>300</v>
      </c>
      <c r="B661" s="1103" t="s">
        <v>4291</v>
      </c>
      <c r="C661" s="1141" t="s">
        <v>398</v>
      </c>
      <c r="D661" s="1104" t="s">
        <v>4327</v>
      </c>
      <c r="E661" s="1139">
        <v>1400</v>
      </c>
      <c r="F661" s="1081">
        <v>70137645</v>
      </c>
      <c r="G661" s="1141" t="s">
        <v>4353</v>
      </c>
      <c r="H661" s="1081" t="s">
        <v>2729</v>
      </c>
      <c r="I661" s="1083" t="s">
        <v>4354</v>
      </c>
      <c r="J661" s="1081" t="s">
        <v>4355</v>
      </c>
      <c r="K661" s="1373" t="s">
        <v>4356</v>
      </c>
      <c r="L661" s="1085">
        <v>12</v>
      </c>
      <c r="M661" s="1139">
        <f t="shared" si="32"/>
        <v>16800</v>
      </c>
      <c r="N661" s="1084"/>
      <c r="O661" s="1084"/>
      <c r="P661" s="1266"/>
    </row>
    <row r="662" spans="1:16" ht="24" x14ac:dyDescent="0.2">
      <c r="A662" s="1141">
        <v>300</v>
      </c>
      <c r="B662" s="1103" t="s">
        <v>4291</v>
      </c>
      <c r="C662" s="1141" t="s">
        <v>398</v>
      </c>
      <c r="D662" s="1104" t="s">
        <v>4006</v>
      </c>
      <c r="E662" s="1139">
        <v>1200</v>
      </c>
      <c r="F662" s="1081">
        <v>10037432</v>
      </c>
      <c r="G662" s="1141" t="s">
        <v>4357</v>
      </c>
      <c r="H662" s="1081" t="s">
        <v>3124</v>
      </c>
      <c r="I662" s="1081"/>
      <c r="J662" s="1081" t="s">
        <v>4355</v>
      </c>
      <c r="K662" s="1373" t="s">
        <v>4358</v>
      </c>
      <c r="L662" s="1085">
        <v>12</v>
      </c>
      <c r="M662" s="1139">
        <f t="shared" si="32"/>
        <v>14400</v>
      </c>
      <c r="N662" s="1142" t="s">
        <v>4359</v>
      </c>
      <c r="O662" s="1085">
        <v>6</v>
      </c>
      <c r="P662" s="1139">
        <f>+O662*E662</f>
        <v>7200</v>
      </c>
    </row>
    <row r="663" spans="1:16" ht="24" x14ac:dyDescent="0.2">
      <c r="A663" s="1141">
        <v>300</v>
      </c>
      <c r="B663" s="1103" t="s">
        <v>4291</v>
      </c>
      <c r="C663" s="1141" t="s">
        <v>398</v>
      </c>
      <c r="D663" s="1104" t="s">
        <v>4047</v>
      </c>
      <c r="E663" s="1139">
        <v>1270</v>
      </c>
      <c r="F663" s="1081" t="s">
        <v>4360</v>
      </c>
      <c r="G663" s="1141" t="s">
        <v>4361</v>
      </c>
      <c r="H663" s="1081" t="s">
        <v>4362</v>
      </c>
      <c r="I663" s="1081"/>
      <c r="J663" s="1081" t="s">
        <v>4362</v>
      </c>
      <c r="K663" s="1373" t="s">
        <v>4363</v>
      </c>
      <c r="L663" s="1085">
        <v>12</v>
      </c>
      <c r="M663" s="1139">
        <f t="shared" si="32"/>
        <v>15240</v>
      </c>
      <c r="N663" s="1142" t="s">
        <v>4364</v>
      </c>
      <c r="O663" s="1085">
        <v>6</v>
      </c>
      <c r="P663" s="1139">
        <f>+O663*E663</f>
        <v>7620</v>
      </c>
    </row>
    <row r="664" spans="1:16" ht="24" x14ac:dyDescent="0.2">
      <c r="A664" s="1141">
        <v>300</v>
      </c>
      <c r="B664" s="1103" t="s">
        <v>4291</v>
      </c>
      <c r="C664" s="1141" t="s">
        <v>398</v>
      </c>
      <c r="D664" s="1104" t="s">
        <v>4365</v>
      </c>
      <c r="E664" s="1139">
        <v>1400</v>
      </c>
      <c r="F664" s="1081">
        <v>42310282</v>
      </c>
      <c r="G664" s="1141" t="s">
        <v>4366</v>
      </c>
      <c r="H664" s="1081"/>
      <c r="I664" s="1083" t="s">
        <v>4367</v>
      </c>
      <c r="J664" s="1081"/>
      <c r="K664" s="1373" t="s">
        <v>4368</v>
      </c>
      <c r="L664" s="1085">
        <v>8</v>
      </c>
      <c r="M664" s="1139">
        <f t="shared" si="32"/>
        <v>11200</v>
      </c>
      <c r="N664" s="1084"/>
      <c r="O664" s="1084"/>
      <c r="P664" s="1266"/>
    </row>
    <row r="665" spans="1:16" ht="24" x14ac:dyDescent="0.2">
      <c r="A665" s="1141">
        <v>300</v>
      </c>
      <c r="B665" s="1103" t="s">
        <v>4291</v>
      </c>
      <c r="C665" s="1141" t="s">
        <v>398</v>
      </c>
      <c r="D665" s="1104" t="s">
        <v>4369</v>
      </c>
      <c r="E665" s="1139">
        <v>1200</v>
      </c>
      <c r="F665" s="1081">
        <v>41673835</v>
      </c>
      <c r="G665" s="1141" t="s">
        <v>4370</v>
      </c>
      <c r="H665" s="1081" t="s">
        <v>2729</v>
      </c>
      <c r="I665" s="1081"/>
      <c r="J665" s="1081" t="s">
        <v>4355</v>
      </c>
      <c r="K665" s="1373" t="s">
        <v>4371</v>
      </c>
      <c r="L665" s="1085">
        <v>12</v>
      </c>
      <c r="M665" s="1139">
        <f t="shared" si="32"/>
        <v>14400</v>
      </c>
      <c r="N665" s="1142" t="s">
        <v>4372</v>
      </c>
      <c r="O665" s="1085">
        <v>6</v>
      </c>
      <c r="P665" s="1139">
        <f t="shared" ref="P665:P684" si="33">+O665*E665</f>
        <v>7200</v>
      </c>
    </row>
    <row r="666" spans="1:16" ht="24" x14ac:dyDescent="0.2">
      <c r="A666" s="1141">
        <v>300</v>
      </c>
      <c r="B666" s="1103" t="s">
        <v>4291</v>
      </c>
      <c r="C666" s="1141" t="s">
        <v>398</v>
      </c>
      <c r="D666" s="1104" t="s">
        <v>4369</v>
      </c>
      <c r="E666" s="1139">
        <v>1200</v>
      </c>
      <c r="F666" s="1081">
        <v>72205576</v>
      </c>
      <c r="G666" s="1141" t="s">
        <v>4373</v>
      </c>
      <c r="H666" s="1081" t="s">
        <v>2729</v>
      </c>
      <c r="I666" s="1081"/>
      <c r="J666" s="1081" t="s">
        <v>3121</v>
      </c>
      <c r="K666" s="1373" t="s">
        <v>4374</v>
      </c>
      <c r="L666" s="1085">
        <v>12</v>
      </c>
      <c r="M666" s="1139">
        <f t="shared" si="32"/>
        <v>14400</v>
      </c>
      <c r="N666" s="1142" t="s">
        <v>4375</v>
      </c>
      <c r="O666" s="1085">
        <v>6</v>
      </c>
      <c r="P666" s="1139">
        <f t="shared" si="33"/>
        <v>7200</v>
      </c>
    </row>
    <row r="667" spans="1:16" ht="36" x14ac:dyDescent="0.2">
      <c r="A667" s="1141">
        <v>300</v>
      </c>
      <c r="B667" s="1103" t="s">
        <v>4291</v>
      </c>
      <c r="C667" s="1141" t="s">
        <v>398</v>
      </c>
      <c r="D667" s="1104" t="s">
        <v>4369</v>
      </c>
      <c r="E667" s="1139">
        <v>1600</v>
      </c>
      <c r="F667" s="1081">
        <v>45936836</v>
      </c>
      <c r="G667" s="1141" t="s">
        <v>4376</v>
      </c>
      <c r="H667" s="1081" t="s">
        <v>4335</v>
      </c>
      <c r="I667" s="1081"/>
      <c r="J667" s="1081" t="s">
        <v>3595</v>
      </c>
      <c r="K667" s="1373" t="s">
        <v>4377</v>
      </c>
      <c r="L667" s="1085">
        <v>12</v>
      </c>
      <c r="M667" s="1139">
        <f t="shared" si="32"/>
        <v>19200</v>
      </c>
      <c r="N667" s="1142" t="s">
        <v>4378</v>
      </c>
      <c r="O667" s="1085">
        <v>6</v>
      </c>
      <c r="P667" s="1139">
        <f t="shared" si="33"/>
        <v>9600</v>
      </c>
    </row>
    <row r="668" spans="1:16" ht="36" x14ac:dyDescent="0.2">
      <c r="A668" s="1141">
        <v>300</v>
      </c>
      <c r="B668" s="1103" t="s">
        <v>4291</v>
      </c>
      <c r="C668" s="1141" t="s">
        <v>398</v>
      </c>
      <c r="D668" s="1104" t="s">
        <v>4369</v>
      </c>
      <c r="E668" s="1139">
        <v>1200</v>
      </c>
      <c r="F668" s="1081">
        <v>70970670</v>
      </c>
      <c r="G668" s="1141" t="s">
        <v>4379</v>
      </c>
      <c r="H668" s="1082" t="s">
        <v>3283</v>
      </c>
      <c r="I668" s="1081"/>
      <c r="J668" s="1082" t="s">
        <v>4355</v>
      </c>
      <c r="K668" s="1373" t="s">
        <v>4380</v>
      </c>
      <c r="L668" s="1085">
        <v>12</v>
      </c>
      <c r="M668" s="1139">
        <f t="shared" si="32"/>
        <v>14400</v>
      </c>
      <c r="N668" s="1142" t="s">
        <v>4381</v>
      </c>
      <c r="O668" s="1085">
        <v>6</v>
      </c>
      <c r="P668" s="1139">
        <f t="shared" si="33"/>
        <v>7200</v>
      </c>
    </row>
    <row r="669" spans="1:16" ht="24" x14ac:dyDescent="0.2">
      <c r="A669" s="1141">
        <v>300</v>
      </c>
      <c r="B669" s="1103" t="s">
        <v>4291</v>
      </c>
      <c r="C669" s="1141" t="s">
        <v>398</v>
      </c>
      <c r="D669" s="1104" t="s">
        <v>4369</v>
      </c>
      <c r="E669" s="1139">
        <v>1200</v>
      </c>
      <c r="F669" s="1081">
        <v>43813861</v>
      </c>
      <c r="G669" s="1141" t="s">
        <v>4382</v>
      </c>
      <c r="H669" s="1081" t="s">
        <v>4383</v>
      </c>
      <c r="I669" s="1081"/>
      <c r="J669" s="1081" t="s">
        <v>4355</v>
      </c>
      <c r="K669" s="1373" t="s">
        <v>4384</v>
      </c>
      <c r="L669" s="1085">
        <v>12</v>
      </c>
      <c r="M669" s="1139">
        <f t="shared" si="32"/>
        <v>14400</v>
      </c>
      <c r="N669" s="1142" t="s">
        <v>4385</v>
      </c>
      <c r="O669" s="1085">
        <v>6</v>
      </c>
      <c r="P669" s="1139">
        <f t="shared" si="33"/>
        <v>7200</v>
      </c>
    </row>
    <row r="670" spans="1:16" ht="36" x14ac:dyDescent="0.2">
      <c r="A670" s="1141">
        <v>300</v>
      </c>
      <c r="B670" s="1103" t="s">
        <v>4291</v>
      </c>
      <c r="C670" s="1141" t="s">
        <v>398</v>
      </c>
      <c r="D670" s="1104" t="s">
        <v>4369</v>
      </c>
      <c r="E670" s="1139">
        <v>1650</v>
      </c>
      <c r="F670" s="1081">
        <v>73701917</v>
      </c>
      <c r="G670" s="1141" t="s">
        <v>4386</v>
      </c>
      <c r="H670" s="1081" t="s">
        <v>4335</v>
      </c>
      <c r="I670" s="1081"/>
      <c r="J670" s="1081" t="s">
        <v>3595</v>
      </c>
      <c r="K670" s="1373" t="s">
        <v>4387</v>
      </c>
      <c r="L670" s="1085">
        <v>12</v>
      </c>
      <c r="M670" s="1139">
        <f t="shared" si="32"/>
        <v>19800</v>
      </c>
      <c r="N670" s="1142" t="s">
        <v>4388</v>
      </c>
      <c r="O670" s="1085">
        <v>6</v>
      </c>
      <c r="P670" s="1139">
        <f t="shared" si="33"/>
        <v>9900</v>
      </c>
    </row>
    <row r="671" spans="1:16" ht="24" x14ac:dyDescent="0.2">
      <c r="A671" s="1141">
        <v>300</v>
      </c>
      <c r="B671" s="1103" t="s">
        <v>4291</v>
      </c>
      <c r="C671" s="1141" t="s">
        <v>398</v>
      </c>
      <c r="D671" s="1104" t="s">
        <v>4389</v>
      </c>
      <c r="E671" s="1139">
        <v>2000</v>
      </c>
      <c r="F671" s="1081">
        <v>40783201</v>
      </c>
      <c r="G671" s="1141" t="s">
        <v>4390</v>
      </c>
      <c r="H671" s="1081" t="s">
        <v>3129</v>
      </c>
      <c r="I671" s="1081"/>
      <c r="J671" s="1081" t="s">
        <v>3575</v>
      </c>
      <c r="K671" s="1373" t="s">
        <v>4391</v>
      </c>
      <c r="L671" s="1085">
        <v>12</v>
      </c>
      <c r="M671" s="1139">
        <f t="shared" si="32"/>
        <v>24000</v>
      </c>
      <c r="N671" s="1142" t="s">
        <v>4392</v>
      </c>
      <c r="O671" s="1085">
        <v>6</v>
      </c>
      <c r="P671" s="1139">
        <f t="shared" si="33"/>
        <v>12000</v>
      </c>
    </row>
    <row r="672" spans="1:16" ht="36" x14ac:dyDescent="0.2">
      <c r="A672" s="1141">
        <v>300</v>
      </c>
      <c r="B672" s="1103" t="s">
        <v>4291</v>
      </c>
      <c r="C672" s="1141" t="s">
        <v>398</v>
      </c>
      <c r="D672" s="1104" t="s">
        <v>4369</v>
      </c>
      <c r="E672" s="1139">
        <v>1400</v>
      </c>
      <c r="F672" s="1081">
        <v>41720964</v>
      </c>
      <c r="G672" s="1141" t="s">
        <v>4393</v>
      </c>
      <c r="H672" s="1081" t="s">
        <v>4335</v>
      </c>
      <c r="I672" s="1081"/>
      <c r="J672" s="1081" t="s">
        <v>3595</v>
      </c>
      <c r="K672" s="1373" t="s">
        <v>4394</v>
      </c>
      <c r="L672" s="1085">
        <v>12</v>
      </c>
      <c r="M672" s="1139">
        <f t="shared" si="32"/>
        <v>16800</v>
      </c>
      <c r="N672" s="1142" t="s">
        <v>4395</v>
      </c>
      <c r="O672" s="1085">
        <v>6</v>
      </c>
      <c r="P672" s="1139">
        <f t="shared" si="33"/>
        <v>8400</v>
      </c>
    </row>
    <row r="673" spans="1:16" ht="24" x14ac:dyDescent="0.2">
      <c r="A673" s="1141">
        <v>300</v>
      </c>
      <c r="B673" s="1103" t="s">
        <v>4291</v>
      </c>
      <c r="C673" s="1141" t="s">
        <v>398</v>
      </c>
      <c r="D673" s="1104" t="s">
        <v>4396</v>
      </c>
      <c r="E673" s="1139">
        <v>1200</v>
      </c>
      <c r="F673" s="1081">
        <v>21141375</v>
      </c>
      <c r="G673" s="1141" t="s">
        <v>4397</v>
      </c>
      <c r="H673" s="1081" t="s">
        <v>4362</v>
      </c>
      <c r="I673" s="1081"/>
      <c r="J673" s="1081" t="s">
        <v>4362</v>
      </c>
      <c r="K673" s="1373" t="s">
        <v>4398</v>
      </c>
      <c r="L673" s="1085">
        <v>12</v>
      </c>
      <c r="M673" s="1139">
        <f t="shared" si="32"/>
        <v>14400</v>
      </c>
      <c r="N673" s="1142" t="s">
        <v>4399</v>
      </c>
      <c r="O673" s="1085">
        <v>6</v>
      </c>
      <c r="P673" s="1139">
        <f t="shared" si="33"/>
        <v>7200</v>
      </c>
    </row>
    <row r="674" spans="1:16" ht="24" x14ac:dyDescent="0.2">
      <c r="A674" s="1141">
        <v>300</v>
      </c>
      <c r="B674" s="1103" t="s">
        <v>4291</v>
      </c>
      <c r="C674" s="1141" t="s">
        <v>398</v>
      </c>
      <c r="D674" s="1104" t="s">
        <v>4400</v>
      </c>
      <c r="E674" s="1139">
        <v>1270</v>
      </c>
      <c r="F674" s="1081">
        <v>27752487</v>
      </c>
      <c r="G674" s="1141" t="s">
        <v>4401</v>
      </c>
      <c r="H674" s="1081" t="s">
        <v>4362</v>
      </c>
      <c r="I674" s="1081"/>
      <c r="J674" s="1081" t="s">
        <v>4362</v>
      </c>
      <c r="K674" s="1373" t="s">
        <v>4402</v>
      </c>
      <c r="L674" s="1085">
        <v>12</v>
      </c>
      <c r="M674" s="1139">
        <f t="shared" si="32"/>
        <v>15240</v>
      </c>
      <c r="N674" s="1142" t="s">
        <v>4323</v>
      </c>
      <c r="O674" s="1085">
        <v>6</v>
      </c>
      <c r="P674" s="1139">
        <f t="shared" si="33"/>
        <v>7620</v>
      </c>
    </row>
    <row r="675" spans="1:16" ht="24" x14ac:dyDescent="0.2">
      <c r="A675" s="1141">
        <v>300</v>
      </c>
      <c r="B675" s="1103" t="s">
        <v>4291</v>
      </c>
      <c r="C675" s="1141" t="s">
        <v>398</v>
      </c>
      <c r="D675" s="1104" t="s">
        <v>4400</v>
      </c>
      <c r="E675" s="1139">
        <v>1270</v>
      </c>
      <c r="F675" s="1081">
        <v>70770208</v>
      </c>
      <c r="G675" s="1141" t="s">
        <v>4403</v>
      </c>
      <c r="H675" s="1081"/>
      <c r="I675" s="1083" t="s">
        <v>4404</v>
      </c>
      <c r="J675" s="1081"/>
      <c r="K675" s="1373" t="s">
        <v>4405</v>
      </c>
      <c r="L675" s="1085">
        <v>10</v>
      </c>
      <c r="M675" s="1139">
        <f t="shared" si="32"/>
        <v>12700</v>
      </c>
      <c r="N675" s="1084"/>
      <c r="O675" s="1084"/>
      <c r="P675" s="1266"/>
    </row>
    <row r="676" spans="1:16" ht="24" x14ac:dyDescent="0.2">
      <c r="A676" s="1141">
        <v>300</v>
      </c>
      <c r="B676" s="1103" t="s">
        <v>4291</v>
      </c>
      <c r="C676" s="1141" t="s">
        <v>398</v>
      </c>
      <c r="D676" s="1104" t="s">
        <v>4400</v>
      </c>
      <c r="E676" s="1139">
        <v>1270</v>
      </c>
      <c r="F676" s="1140">
        <v>5381870</v>
      </c>
      <c r="G676" s="1141" t="s">
        <v>4406</v>
      </c>
      <c r="H676" s="1081" t="s">
        <v>4407</v>
      </c>
      <c r="I676" s="1081"/>
      <c r="J676" s="1081" t="s">
        <v>4355</v>
      </c>
      <c r="K676" s="1373" t="s">
        <v>4408</v>
      </c>
      <c r="L676" s="1085">
        <v>2</v>
      </c>
      <c r="M676" s="1139">
        <f t="shared" si="32"/>
        <v>2540</v>
      </c>
      <c r="N676" s="1142" t="s">
        <v>4409</v>
      </c>
      <c r="O676" s="1085">
        <v>6</v>
      </c>
      <c r="P676" s="1139">
        <f t="shared" si="33"/>
        <v>7620</v>
      </c>
    </row>
    <row r="677" spans="1:16" ht="24" x14ac:dyDescent="0.2">
      <c r="A677" s="1141">
        <v>300</v>
      </c>
      <c r="B677" s="1103" t="s">
        <v>4291</v>
      </c>
      <c r="C677" s="1141" t="s">
        <v>398</v>
      </c>
      <c r="D677" s="1104" t="s">
        <v>4410</v>
      </c>
      <c r="E677" s="1139">
        <v>1270</v>
      </c>
      <c r="F677" s="1140" t="s">
        <v>4411</v>
      </c>
      <c r="G677" s="1141" t="s">
        <v>4412</v>
      </c>
      <c r="H677" s="1081" t="s">
        <v>4413</v>
      </c>
      <c r="I677" s="1081"/>
      <c r="J677" s="1081" t="s">
        <v>4414</v>
      </c>
      <c r="K677" s="1373" t="s">
        <v>4415</v>
      </c>
      <c r="L677" s="1085">
        <v>12</v>
      </c>
      <c r="M677" s="1139">
        <f t="shared" si="32"/>
        <v>15240</v>
      </c>
      <c r="N677" s="1142" t="s">
        <v>4416</v>
      </c>
      <c r="O677" s="1085">
        <v>6</v>
      </c>
      <c r="P677" s="1139">
        <f t="shared" si="33"/>
        <v>7620</v>
      </c>
    </row>
    <row r="678" spans="1:16" ht="24" x14ac:dyDescent="0.2">
      <c r="A678" s="1141">
        <v>300</v>
      </c>
      <c r="B678" s="1103" t="s">
        <v>4291</v>
      </c>
      <c r="C678" s="1141" t="s">
        <v>398</v>
      </c>
      <c r="D678" s="1104" t="s">
        <v>4369</v>
      </c>
      <c r="E678" s="1139">
        <v>1300</v>
      </c>
      <c r="F678" s="1140" t="s">
        <v>4417</v>
      </c>
      <c r="G678" s="1141" t="s">
        <v>4418</v>
      </c>
      <c r="H678" s="1081" t="s">
        <v>3124</v>
      </c>
      <c r="I678" s="1081"/>
      <c r="J678" s="1081" t="s">
        <v>4355</v>
      </c>
      <c r="K678" s="1373" t="s">
        <v>4419</v>
      </c>
      <c r="L678" s="1085">
        <v>12</v>
      </c>
      <c r="M678" s="1139">
        <f t="shared" si="32"/>
        <v>15600</v>
      </c>
      <c r="N678" s="1142" t="s">
        <v>4356</v>
      </c>
      <c r="O678" s="1085">
        <v>6</v>
      </c>
      <c r="P678" s="1139">
        <f t="shared" si="33"/>
        <v>7800</v>
      </c>
    </row>
    <row r="679" spans="1:16" ht="24" x14ac:dyDescent="0.2">
      <c r="A679" s="1141">
        <v>300</v>
      </c>
      <c r="B679" s="1103" t="s">
        <v>4291</v>
      </c>
      <c r="C679" s="1141" t="s">
        <v>398</v>
      </c>
      <c r="D679" s="1104" t="s">
        <v>4006</v>
      </c>
      <c r="E679" s="1139">
        <v>1300</v>
      </c>
      <c r="F679" s="1081">
        <v>41085348</v>
      </c>
      <c r="G679" s="1141" t="s">
        <v>4420</v>
      </c>
      <c r="H679" s="1081" t="s">
        <v>3124</v>
      </c>
      <c r="I679" s="1081"/>
      <c r="J679" s="1081" t="s">
        <v>4355</v>
      </c>
      <c r="K679" s="1373" t="s">
        <v>4421</v>
      </c>
      <c r="L679" s="1085">
        <v>12</v>
      </c>
      <c r="M679" s="1139">
        <f t="shared" si="32"/>
        <v>15600</v>
      </c>
      <c r="N679" s="1142" t="s">
        <v>4422</v>
      </c>
      <c r="O679" s="1085">
        <v>6</v>
      </c>
      <c r="P679" s="1139">
        <f t="shared" si="33"/>
        <v>7800</v>
      </c>
    </row>
    <row r="680" spans="1:16" ht="36" x14ac:dyDescent="0.2">
      <c r="A680" s="1141">
        <v>300</v>
      </c>
      <c r="B680" s="1103" t="s">
        <v>4291</v>
      </c>
      <c r="C680" s="1141" t="s">
        <v>398</v>
      </c>
      <c r="D680" s="1104" t="s">
        <v>4423</v>
      </c>
      <c r="E680" s="1139">
        <v>1300</v>
      </c>
      <c r="F680" s="1081">
        <v>73306329</v>
      </c>
      <c r="G680" s="1141" t="s">
        <v>4424</v>
      </c>
      <c r="H680" s="1082" t="s">
        <v>4425</v>
      </c>
      <c r="I680" s="1083" t="s">
        <v>4426</v>
      </c>
      <c r="J680" s="1082" t="s">
        <v>4427</v>
      </c>
      <c r="K680" s="1373" t="s">
        <v>4428</v>
      </c>
      <c r="L680" s="1085">
        <v>12</v>
      </c>
      <c r="M680" s="1139">
        <f t="shared" si="32"/>
        <v>15600</v>
      </c>
      <c r="N680" s="1142" t="s">
        <v>4429</v>
      </c>
      <c r="O680" s="1085">
        <v>2</v>
      </c>
      <c r="P680" s="1139">
        <f t="shared" si="33"/>
        <v>2600</v>
      </c>
    </row>
    <row r="681" spans="1:16" ht="24" x14ac:dyDescent="0.2">
      <c r="A681" s="1141">
        <v>300</v>
      </c>
      <c r="B681" s="1103" t="s">
        <v>4291</v>
      </c>
      <c r="C681" s="1141" t="s">
        <v>398</v>
      </c>
      <c r="D681" s="1104" t="s">
        <v>4369</v>
      </c>
      <c r="E681" s="1139">
        <v>1300</v>
      </c>
      <c r="F681" s="1081">
        <v>46742424</v>
      </c>
      <c r="G681" s="1141" t="s">
        <v>4430</v>
      </c>
      <c r="H681" s="1081" t="s">
        <v>3171</v>
      </c>
      <c r="I681" s="1081"/>
      <c r="J681" s="1081" t="s">
        <v>4355</v>
      </c>
      <c r="K681" s="1373" t="s">
        <v>4431</v>
      </c>
      <c r="L681" s="1085">
        <v>12</v>
      </c>
      <c r="M681" s="1139">
        <f t="shared" si="32"/>
        <v>15600</v>
      </c>
      <c r="N681" s="1142" t="s">
        <v>4408</v>
      </c>
      <c r="O681" s="1085">
        <v>6</v>
      </c>
      <c r="P681" s="1139">
        <f t="shared" si="33"/>
        <v>7800</v>
      </c>
    </row>
    <row r="682" spans="1:16" ht="36" x14ac:dyDescent="0.2">
      <c r="A682" s="1141">
        <v>300</v>
      </c>
      <c r="B682" s="1103" t="s">
        <v>4291</v>
      </c>
      <c r="C682" s="1141" t="s">
        <v>398</v>
      </c>
      <c r="D682" s="1104" t="s">
        <v>4432</v>
      </c>
      <c r="E682" s="1139">
        <v>2400</v>
      </c>
      <c r="F682" s="1082" t="s">
        <v>4433</v>
      </c>
      <c r="G682" s="1141" t="s">
        <v>4434</v>
      </c>
      <c r="H682" s="1081" t="s">
        <v>3129</v>
      </c>
      <c r="I682" s="1081" t="s">
        <v>4435</v>
      </c>
      <c r="J682" s="1081" t="s">
        <v>3575</v>
      </c>
      <c r="K682" s="1373" t="s">
        <v>4436</v>
      </c>
      <c r="L682" s="1085">
        <v>12</v>
      </c>
      <c r="M682" s="1139">
        <f t="shared" si="32"/>
        <v>28800</v>
      </c>
      <c r="N682" s="1142" t="s">
        <v>4326</v>
      </c>
      <c r="O682" s="1085">
        <v>6</v>
      </c>
      <c r="P682" s="1139">
        <f t="shared" si="33"/>
        <v>14400</v>
      </c>
    </row>
    <row r="683" spans="1:16" ht="24" x14ac:dyDescent="0.2">
      <c r="A683" s="1141">
        <v>300</v>
      </c>
      <c r="B683" s="1103" t="s">
        <v>4291</v>
      </c>
      <c r="C683" s="1141" t="s">
        <v>398</v>
      </c>
      <c r="D683" s="1104" t="s">
        <v>4369</v>
      </c>
      <c r="E683" s="1139">
        <v>1200</v>
      </c>
      <c r="F683" s="1081">
        <v>72301183</v>
      </c>
      <c r="G683" s="1141" t="s">
        <v>4437</v>
      </c>
      <c r="H683" s="1081" t="s">
        <v>3129</v>
      </c>
      <c r="I683" s="1081"/>
      <c r="J683" s="1081" t="s">
        <v>3575</v>
      </c>
      <c r="K683" s="1373" t="s">
        <v>4438</v>
      </c>
      <c r="L683" s="1085">
        <v>12</v>
      </c>
      <c r="M683" s="1139">
        <f t="shared" si="32"/>
        <v>14400</v>
      </c>
      <c r="N683" s="1142" t="s">
        <v>4352</v>
      </c>
      <c r="O683" s="1085">
        <v>6</v>
      </c>
      <c r="P683" s="1139">
        <f t="shared" si="33"/>
        <v>7200</v>
      </c>
    </row>
    <row r="684" spans="1:16" ht="36" x14ac:dyDescent="0.2">
      <c r="A684" s="1141">
        <v>300</v>
      </c>
      <c r="B684" s="1103" t="s">
        <v>4291</v>
      </c>
      <c r="C684" s="1141" t="s">
        <v>398</v>
      </c>
      <c r="D684" s="1104" t="s">
        <v>4292</v>
      </c>
      <c r="E684" s="1139">
        <v>1200</v>
      </c>
      <c r="F684" s="1081">
        <v>73115494</v>
      </c>
      <c r="G684" s="1141" t="s">
        <v>4439</v>
      </c>
      <c r="H684" s="1082" t="s">
        <v>4425</v>
      </c>
      <c r="I684" s="1081"/>
      <c r="J684" s="1082" t="s">
        <v>4427</v>
      </c>
      <c r="K684" s="1373" t="s">
        <v>4440</v>
      </c>
      <c r="L684" s="1085">
        <v>12</v>
      </c>
      <c r="M684" s="1139">
        <f t="shared" si="32"/>
        <v>14400</v>
      </c>
      <c r="N684" s="1142" t="s">
        <v>4441</v>
      </c>
      <c r="O684" s="1085">
        <v>6</v>
      </c>
      <c r="P684" s="1139">
        <f t="shared" si="33"/>
        <v>7200</v>
      </c>
    </row>
    <row r="685" spans="1:16" ht="24" x14ac:dyDescent="0.2">
      <c r="A685" s="1141">
        <v>300</v>
      </c>
      <c r="B685" s="1103" t="s">
        <v>4291</v>
      </c>
      <c r="C685" s="1141" t="s">
        <v>398</v>
      </c>
      <c r="D685" s="1104" t="s">
        <v>4369</v>
      </c>
      <c r="E685" s="1139">
        <v>1200</v>
      </c>
      <c r="F685" s="1081" t="s">
        <v>4442</v>
      </c>
      <c r="G685" s="1141" t="s">
        <v>4443</v>
      </c>
      <c r="H685" s="1081"/>
      <c r="I685" s="1083" t="s">
        <v>4444</v>
      </c>
      <c r="J685" s="1081"/>
      <c r="K685" s="1373" t="s">
        <v>4445</v>
      </c>
      <c r="L685" s="1085">
        <v>8</v>
      </c>
      <c r="M685" s="1139">
        <f t="shared" si="32"/>
        <v>9600</v>
      </c>
      <c r="N685" s="1084"/>
      <c r="O685" s="1084"/>
      <c r="P685" s="1266"/>
    </row>
    <row r="686" spans="1:16" ht="36" x14ac:dyDescent="0.2">
      <c r="A686" s="1141">
        <v>300</v>
      </c>
      <c r="B686" s="1103" t="s">
        <v>4291</v>
      </c>
      <c r="C686" s="1141" t="s">
        <v>398</v>
      </c>
      <c r="D686" s="1104" t="s">
        <v>4369</v>
      </c>
      <c r="E686" s="1139">
        <v>1200</v>
      </c>
      <c r="F686" s="1140">
        <v>74296436</v>
      </c>
      <c r="G686" s="1141" t="s">
        <v>4446</v>
      </c>
      <c r="H686" s="1081" t="s">
        <v>2729</v>
      </c>
      <c r="I686" s="1083" t="s">
        <v>4354</v>
      </c>
      <c r="J686" s="1081" t="s">
        <v>4447</v>
      </c>
      <c r="K686" s="1373" t="s">
        <v>4441</v>
      </c>
      <c r="L686" s="1085">
        <v>12</v>
      </c>
      <c r="M686" s="1139">
        <f t="shared" si="32"/>
        <v>14400</v>
      </c>
      <c r="N686" s="1084"/>
      <c r="O686" s="1084"/>
      <c r="P686" s="1266"/>
    </row>
    <row r="687" spans="1:16" ht="36" x14ac:dyDescent="0.2">
      <c r="A687" s="1141">
        <v>300</v>
      </c>
      <c r="B687" s="1103" t="s">
        <v>4291</v>
      </c>
      <c r="C687" s="1141" t="s">
        <v>398</v>
      </c>
      <c r="D687" s="1104" t="s">
        <v>4448</v>
      </c>
      <c r="E687" s="1139">
        <v>2000</v>
      </c>
      <c r="F687" s="1081">
        <v>41797387</v>
      </c>
      <c r="G687" s="1141" t="s">
        <v>4449</v>
      </c>
      <c r="H687" s="1082" t="s">
        <v>4425</v>
      </c>
      <c r="I687" s="1081"/>
      <c r="J687" s="1082" t="s">
        <v>4427</v>
      </c>
      <c r="K687" s="1373" t="s">
        <v>4450</v>
      </c>
      <c r="L687" s="1085">
        <v>12</v>
      </c>
      <c r="M687" s="1139">
        <f t="shared" si="32"/>
        <v>24000</v>
      </c>
      <c r="N687" s="1142" t="s">
        <v>4451</v>
      </c>
      <c r="O687" s="1085">
        <v>6</v>
      </c>
      <c r="P687" s="1139">
        <f>+O687*E687</f>
        <v>12000</v>
      </c>
    </row>
    <row r="688" spans="1:16" ht="24" x14ac:dyDescent="0.2">
      <c r="A688" s="1141">
        <v>300</v>
      </c>
      <c r="B688" s="1103" t="s">
        <v>4291</v>
      </c>
      <c r="C688" s="1141" t="s">
        <v>398</v>
      </c>
      <c r="D688" s="1104" t="s">
        <v>4452</v>
      </c>
      <c r="E688" s="1139">
        <v>3000</v>
      </c>
      <c r="F688" s="1081">
        <v>72905201</v>
      </c>
      <c r="G688" s="1141" t="s">
        <v>4453</v>
      </c>
      <c r="H688" s="1081" t="s">
        <v>3153</v>
      </c>
      <c r="I688" s="1081"/>
      <c r="J688" s="1081" t="s">
        <v>3575</v>
      </c>
      <c r="K688" s="1373" t="s">
        <v>4454</v>
      </c>
      <c r="L688" s="1085">
        <v>12</v>
      </c>
      <c r="M688" s="1139">
        <f t="shared" si="32"/>
        <v>36000</v>
      </c>
      <c r="N688" s="1142" t="s">
        <v>4455</v>
      </c>
      <c r="O688" s="1085">
        <v>6</v>
      </c>
      <c r="P688" s="1139">
        <f>+O688*E688</f>
        <v>18000</v>
      </c>
    </row>
    <row r="689" spans="1:16" ht="72" x14ac:dyDescent="0.2">
      <c r="A689" s="1141">
        <v>300</v>
      </c>
      <c r="B689" s="1103" t="s">
        <v>4291</v>
      </c>
      <c r="C689" s="1141" t="s">
        <v>398</v>
      </c>
      <c r="D689" s="1104" t="s">
        <v>4292</v>
      </c>
      <c r="E689" s="1139">
        <v>1200</v>
      </c>
      <c r="F689" s="1140">
        <v>44055147</v>
      </c>
      <c r="G689" s="1141" t="s">
        <v>4456</v>
      </c>
      <c r="H689" s="1081" t="s">
        <v>4329</v>
      </c>
      <c r="I689" s="1083" t="s">
        <v>4457</v>
      </c>
      <c r="J689" s="1081" t="s">
        <v>3575</v>
      </c>
      <c r="K689" s="1373" t="s">
        <v>4458</v>
      </c>
      <c r="L689" s="1085">
        <v>12</v>
      </c>
      <c r="M689" s="1139">
        <f t="shared" si="32"/>
        <v>14400</v>
      </c>
      <c r="N689" s="1142" t="s">
        <v>4459</v>
      </c>
      <c r="O689" s="1085">
        <v>2</v>
      </c>
      <c r="P689" s="1139">
        <f>+O689*E689</f>
        <v>2400</v>
      </c>
    </row>
    <row r="690" spans="1:16" ht="24" x14ac:dyDescent="0.2">
      <c r="A690" s="1141">
        <v>300</v>
      </c>
      <c r="B690" s="1103" t="s">
        <v>4291</v>
      </c>
      <c r="C690" s="1141" t="s">
        <v>398</v>
      </c>
      <c r="D690" s="1104" t="s">
        <v>4327</v>
      </c>
      <c r="E690" s="1139">
        <v>1300</v>
      </c>
      <c r="F690" s="1081">
        <v>40530364</v>
      </c>
      <c r="G690" s="1141" t="s">
        <v>4460</v>
      </c>
      <c r="H690" s="1081" t="s">
        <v>3129</v>
      </c>
      <c r="I690" s="1081"/>
      <c r="J690" s="1081" t="s">
        <v>3575</v>
      </c>
      <c r="K690" s="1373" t="s">
        <v>4461</v>
      </c>
      <c r="L690" s="1085">
        <v>12</v>
      </c>
      <c r="M690" s="1139">
        <f t="shared" si="32"/>
        <v>15600</v>
      </c>
      <c r="N690" s="1142" t="s">
        <v>4462</v>
      </c>
      <c r="O690" s="1085">
        <v>6</v>
      </c>
      <c r="P690" s="1139">
        <f>+O690*E690</f>
        <v>7800</v>
      </c>
    </row>
    <row r="691" spans="1:16" ht="24" x14ac:dyDescent="0.2">
      <c r="A691" s="1141">
        <v>300</v>
      </c>
      <c r="B691" s="1103" t="s">
        <v>4291</v>
      </c>
      <c r="C691" s="1141" t="s">
        <v>398</v>
      </c>
      <c r="D691" s="1104" t="s">
        <v>4047</v>
      </c>
      <c r="E691" s="1139">
        <v>1270</v>
      </c>
      <c r="F691" s="1081">
        <v>41882858</v>
      </c>
      <c r="G691" s="1141" t="s">
        <v>4463</v>
      </c>
      <c r="H691" s="1081"/>
      <c r="I691" s="1083" t="s">
        <v>4464</v>
      </c>
      <c r="J691" s="1081"/>
      <c r="K691" s="1374" t="s">
        <v>4381</v>
      </c>
      <c r="L691" s="1085">
        <v>1</v>
      </c>
      <c r="M691" s="1139">
        <f t="shared" si="32"/>
        <v>1270</v>
      </c>
      <c r="N691" s="1084"/>
      <c r="O691" s="1084"/>
      <c r="P691" s="1266"/>
    </row>
    <row r="692" spans="1:16" ht="24" x14ac:dyDescent="0.2">
      <c r="A692" s="1141">
        <v>300</v>
      </c>
      <c r="B692" s="1103" t="s">
        <v>4291</v>
      </c>
      <c r="C692" s="1141" t="s">
        <v>398</v>
      </c>
      <c r="D692" s="1104" t="s">
        <v>4047</v>
      </c>
      <c r="E692" s="1139">
        <v>1270</v>
      </c>
      <c r="F692" s="1081" t="s">
        <v>4465</v>
      </c>
      <c r="G692" s="1141" t="s">
        <v>4466</v>
      </c>
      <c r="H692" s="1081" t="s">
        <v>4467</v>
      </c>
      <c r="I692" s="1081"/>
      <c r="J692" s="1081" t="s">
        <v>4468</v>
      </c>
      <c r="K692" s="1373" t="s">
        <v>4469</v>
      </c>
      <c r="L692" s="1085">
        <v>11</v>
      </c>
      <c r="M692" s="1139">
        <f t="shared" si="32"/>
        <v>13970</v>
      </c>
      <c r="N692" s="1142" t="s">
        <v>4470</v>
      </c>
      <c r="O692" s="1085">
        <v>6</v>
      </c>
      <c r="P692" s="1139">
        <f t="shared" ref="P692:P703" si="34">+O692*E692</f>
        <v>7620</v>
      </c>
    </row>
    <row r="693" spans="1:16" ht="24" x14ac:dyDescent="0.2">
      <c r="A693" s="1141">
        <v>300</v>
      </c>
      <c r="B693" s="1103" t="s">
        <v>4291</v>
      </c>
      <c r="C693" s="1141" t="s">
        <v>398</v>
      </c>
      <c r="D693" s="1104" t="s">
        <v>4086</v>
      </c>
      <c r="E693" s="1139">
        <v>1200</v>
      </c>
      <c r="F693" s="1081">
        <v>41237369</v>
      </c>
      <c r="G693" s="1141" t="s">
        <v>4471</v>
      </c>
      <c r="H693" s="1081" t="s">
        <v>3171</v>
      </c>
      <c r="I693" s="1081"/>
      <c r="J693" s="1081" t="s">
        <v>4468</v>
      </c>
      <c r="K693" s="1375"/>
      <c r="L693" s="1084"/>
      <c r="M693" s="1266"/>
      <c r="N693" s="1142" t="s">
        <v>4472</v>
      </c>
      <c r="O693" s="1085">
        <v>6</v>
      </c>
      <c r="P693" s="1139">
        <f t="shared" si="34"/>
        <v>7200</v>
      </c>
    </row>
    <row r="694" spans="1:16" ht="24" x14ac:dyDescent="0.2">
      <c r="A694" s="1141">
        <v>300</v>
      </c>
      <c r="B694" s="1103" t="s">
        <v>4291</v>
      </c>
      <c r="C694" s="1141" t="s">
        <v>398</v>
      </c>
      <c r="D694" s="1104" t="s">
        <v>4423</v>
      </c>
      <c r="E694" s="1139">
        <v>1300</v>
      </c>
      <c r="F694" s="1140">
        <v>45539961</v>
      </c>
      <c r="G694" s="1141" t="s">
        <v>4473</v>
      </c>
      <c r="H694" s="1081" t="s">
        <v>4474</v>
      </c>
      <c r="I694" s="1081"/>
      <c r="J694" s="1081" t="s">
        <v>4447</v>
      </c>
      <c r="K694" s="1375"/>
      <c r="L694" s="1084"/>
      <c r="M694" s="1266"/>
      <c r="N694" s="1142" t="s">
        <v>4475</v>
      </c>
      <c r="O694" s="1085">
        <v>6</v>
      </c>
      <c r="P694" s="1139">
        <f t="shared" si="34"/>
        <v>7800</v>
      </c>
    </row>
    <row r="695" spans="1:16" ht="24" x14ac:dyDescent="0.2">
      <c r="A695" s="1141">
        <v>300</v>
      </c>
      <c r="B695" s="1103" t="s">
        <v>4291</v>
      </c>
      <c r="C695" s="1141" t="s">
        <v>398</v>
      </c>
      <c r="D695" s="1104" t="s">
        <v>4086</v>
      </c>
      <c r="E695" s="1139">
        <v>1000</v>
      </c>
      <c r="F695" s="1140">
        <v>75484632</v>
      </c>
      <c r="G695" s="1141" t="s">
        <v>4476</v>
      </c>
      <c r="H695" s="1081" t="s">
        <v>3489</v>
      </c>
      <c r="I695" s="1081"/>
      <c r="J695" s="1082" t="s">
        <v>4477</v>
      </c>
      <c r="K695" s="1375"/>
      <c r="L695" s="1084"/>
      <c r="M695" s="1266"/>
      <c r="N695" s="1142" t="s">
        <v>4478</v>
      </c>
      <c r="O695" s="1085">
        <v>6</v>
      </c>
      <c r="P695" s="1139">
        <f t="shared" si="34"/>
        <v>6000</v>
      </c>
    </row>
    <row r="696" spans="1:16" ht="24" x14ac:dyDescent="0.2">
      <c r="A696" s="1141">
        <v>300</v>
      </c>
      <c r="B696" s="1103" t="s">
        <v>4291</v>
      </c>
      <c r="C696" s="1141" t="s">
        <v>398</v>
      </c>
      <c r="D696" s="1104" t="s">
        <v>4319</v>
      </c>
      <c r="E696" s="1139">
        <v>2500</v>
      </c>
      <c r="F696" s="1081">
        <v>71014916</v>
      </c>
      <c r="G696" s="1141" t="s">
        <v>4479</v>
      </c>
      <c r="H696" s="1081" t="s">
        <v>3153</v>
      </c>
      <c r="I696" s="1081"/>
      <c r="J696" s="1081" t="s">
        <v>3575</v>
      </c>
      <c r="K696" s="1375"/>
      <c r="L696" s="1084"/>
      <c r="M696" s="1266"/>
      <c r="N696" s="1142" t="s">
        <v>4480</v>
      </c>
      <c r="O696" s="1085">
        <v>6</v>
      </c>
      <c r="P696" s="1139">
        <f t="shared" si="34"/>
        <v>15000</v>
      </c>
    </row>
    <row r="697" spans="1:16" ht="36" x14ac:dyDescent="0.2">
      <c r="A697" s="1141">
        <v>300</v>
      </c>
      <c r="B697" s="1103" t="s">
        <v>4291</v>
      </c>
      <c r="C697" s="1141" t="s">
        <v>398</v>
      </c>
      <c r="D697" s="1104" t="s">
        <v>4086</v>
      </c>
      <c r="E697" s="1139">
        <v>1000</v>
      </c>
      <c r="F697" s="1140">
        <v>62289800</v>
      </c>
      <c r="G697" s="1141" t="s">
        <v>4481</v>
      </c>
      <c r="H697" s="1081" t="s">
        <v>3124</v>
      </c>
      <c r="I697" s="1081"/>
      <c r="J697" s="1081" t="s">
        <v>4482</v>
      </c>
      <c r="K697" s="1375"/>
      <c r="L697" s="1084"/>
      <c r="M697" s="1266"/>
      <c r="N697" s="1142" t="s">
        <v>4483</v>
      </c>
      <c r="O697" s="1085">
        <v>6</v>
      </c>
      <c r="P697" s="1139">
        <f t="shared" si="34"/>
        <v>6000</v>
      </c>
    </row>
    <row r="698" spans="1:16" ht="24" x14ac:dyDescent="0.2">
      <c r="A698" s="1141">
        <v>300</v>
      </c>
      <c r="B698" s="1103" t="s">
        <v>4291</v>
      </c>
      <c r="C698" s="1141" t="s">
        <v>398</v>
      </c>
      <c r="D698" s="1104" t="s">
        <v>4006</v>
      </c>
      <c r="E698" s="1139">
        <v>2500</v>
      </c>
      <c r="F698" s="1082" t="s">
        <v>4484</v>
      </c>
      <c r="G698" s="1141" t="s">
        <v>4485</v>
      </c>
      <c r="H698" s="1081" t="s">
        <v>3212</v>
      </c>
      <c r="I698" s="1081"/>
      <c r="J698" s="1081"/>
      <c r="K698" s="1373" t="s">
        <v>4486</v>
      </c>
      <c r="L698" s="1085">
        <v>12</v>
      </c>
      <c r="M698" s="1139">
        <f t="shared" ref="M698:M729" si="35">+L698*E698</f>
        <v>30000</v>
      </c>
      <c r="N698" s="1140" t="s">
        <v>4487</v>
      </c>
      <c r="O698" s="1085">
        <v>6</v>
      </c>
      <c r="P698" s="1139">
        <f t="shared" si="34"/>
        <v>15000</v>
      </c>
    </row>
    <row r="699" spans="1:16" ht="24" x14ac:dyDescent="0.2">
      <c r="A699" s="1141">
        <v>300</v>
      </c>
      <c r="B699" s="1103" t="s">
        <v>4291</v>
      </c>
      <c r="C699" s="1141" t="s">
        <v>398</v>
      </c>
      <c r="D699" s="1104" t="s">
        <v>4488</v>
      </c>
      <c r="E699" s="1139">
        <v>2500</v>
      </c>
      <c r="F699" s="1082" t="s">
        <v>4489</v>
      </c>
      <c r="G699" s="1141" t="s">
        <v>4490</v>
      </c>
      <c r="H699" s="1081" t="s">
        <v>4491</v>
      </c>
      <c r="I699" s="1081"/>
      <c r="J699" s="1081"/>
      <c r="K699" s="1373" t="s">
        <v>4492</v>
      </c>
      <c r="L699" s="1085">
        <v>12</v>
      </c>
      <c r="M699" s="1139">
        <f t="shared" si="35"/>
        <v>30000</v>
      </c>
      <c r="N699" s="1140" t="s">
        <v>4493</v>
      </c>
      <c r="O699" s="1085">
        <v>6</v>
      </c>
      <c r="P699" s="1139">
        <f t="shared" si="34"/>
        <v>15000</v>
      </c>
    </row>
    <row r="700" spans="1:16" ht="24" x14ac:dyDescent="0.2">
      <c r="A700" s="1141">
        <v>300</v>
      </c>
      <c r="B700" s="1103" t="s">
        <v>4291</v>
      </c>
      <c r="C700" s="1141" t="s">
        <v>398</v>
      </c>
      <c r="D700" s="1104" t="s">
        <v>4494</v>
      </c>
      <c r="E700" s="1139">
        <v>2500</v>
      </c>
      <c r="F700" s="1082" t="s">
        <v>4495</v>
      </c>
      <c r="G700" s="1141" t="s">
        <v>4496</v>
      </c>
      <c r="H700" s="1081" t="s">
        <v>4491</v>
      </c>
      <c r="I700" s="1083" t="s">
        <v>4497</v>
      </c>
      <c r="J700" s="1081"/>
      <c r="K700" s="1373" t="s">
        <v>4498</v>
      </c>
      <c r="L700" s="1085">
        <v>12</v>
      </c>
      <c r="M700" s="1139">
        <f t="shared" si="35"/>
        <v>30000</v>
      </c>
      <c r="N700" s="1142"/>
      <c r="O700" s="1085">
        <v>4</v>
      </c>
      <c r="P700" s="1139">
        <f t="shared" si="34"/>
        <v>10000</v>
      </c>
    </row>
    <row r="701" spans="1:16" ht="24" x14ac:dyDescent="0.2">
      <c r="A701" s="1141">
        <v>300</v>
      </c>
      <c r="B701" s="1103" t="s">
        <v>4291</v>
      </c>
      <c r="C701" s="1141" t="s">
        <v>398</v>
      </c>
      <c r="D701" s="1104" t="s">
        <v>4499</v>
      </c>
      <c r="E701" s="1139">
        <v>2500</v>
      </c>
      <c r="F701" s="1140" t="s">
        <v>4500</v>
      </c>
      <c r="G701" s="1141" t="s">
        <v>4501</v>
      </c>
      <c r="H701" s="1081" t="s">
        <v>4413</v>
      </c>
      <c r="I701" s="1083" t="s">
        <v>4497</v>
      </c>
      <c r="J701" s="1081"/>
      <c r="K701" s="1373" t="s">
        <v>4502</v>
      </c>
      <c r="L701" s="1085">
        <v>12</v>
      </c>
      <c r="M701" s="1139">
        <f t="shared" si="35"/>
        <v>30000</v>
      </c>
      <c r="N701" s="1142"/>
      <c r="O701" s="1085">
        <v>4</v>
      </c>
      <c r="P701" s="1139">
        <f t="shared" si="34"/>
        <v>10000</v>
      </c>
    </row>
    <row r="702" spans="1:16" ht="24" x14ac:dyDescent="0.2">
      <c r="A702" s="1141">
        <v>300</v>
      </c>
      <c r="B702" s="1103" t="s">
        <v>4291</v>
      </c>
      <c r="C702" s="1141" t="s">
        <v>398</v>
      </c>
      <c r="D702" s="1104" t="s">
        <v>4503</v>
      </c>
      <c r="E702" s="1139">
        <v>2500</v>
      </c>
      <c r="F702" s="1140" t="s">
        <v>4504</v>
      </c>
      <c r="G702" s="1141" t="s">
        <v>4505</v>
      </c>
      <c r="H702" s="1081" t="s">
        <v>4413</v>
      </c>
      <c r="I702" s="1081"/>
      <c r="J702" s="1081"/>
      <c r="K702" s="1373" t="s">
        <v>4506</v>
      </c>
      <c r="L702" s="1085">
        <v>12</v>
      </c>
      <c r="M702" s="1139">
        <f t="shared" si="35"/>
        <v>30000</v>
      </c>
      <c r="N702" s="1142"/>
      <c r="O702" s="1085"/>
      <c r="P702" s="1139">
        <f t="shared" si="34"/>
        <v>0</v>
      </c>
    </row>
    <row r="703" spans="1:16" ht="24" x14ac:dyDescent="0.2">
      <c r="A703" s="1141">
        <v>300</v>
      </c>
      <c r="B703" s="1103" t="s">
        <v>4291</v>
      </c>
      <c r="C703" s="1141" t="s">
        <v>398</v>
      </c>
      <c r="D703" s="1104" t="s">
        <v>4507</v>
      </c>
      <c r="E703" s="1139">
        <v>2500</v>
      </c>
      <c r="F703" s="1081">
        <v>40385970</v>
      </c>
      <c r="G703" s="1141" t="s">
        <v>4508</v>
      </c>
      <c r="H703" s="1081" t="s">
        <v>4413</v>
      </c>
      <c r="I703" s="1083" t="s">
        <v>4509</v>
      </c>
      <c r="J703" s="1081"/>
      <c r="K703" s="1373" t="s">
        <v>4510</v>
      </c>
      <c r="L703" s="1085">
        <v>11</v>
      </c>
      <c r="M703" s="1139">
        <f t="shared" si="35"/>
        <v>27500</v>
      </c>
      <c r="N703" s="1142"/>
      <c r="O703" s="1085"/>
      <c r="P703" s="1139">
        <f t="shared" si="34"/>
        <v>0</v>
      </c>
    </row>
    <row r="704" spans="1:16" ht="24" x14ac:dyDescent="0.2">
      <c r="A704" s="1141">
        <v>300</v>
      </c>
      <c r="B704" s="1103" t="s">
        <v>4291</v>
      </c>
      <c r="C704" s="1141" t="s">
        <v>398</v>
      </c>
      <c r="D704" s="1104" t="s">
        <v>4511</v>
      </c>
      <c r="E704" s="1139">
        <v>2500</v>
      </c>
      <c r="F704" s="1081">
        <v>23271294</v>
      </c>
      <c r="G704" s="1141" t="s">
        <v>4512</v>
      </c>
      <c r="H704" s="1081" t="s">
        <v>4413</v>
      </c>
      <c r="I704" s="1081"/>
      <c r="J704" s="1081"/>
      <c r="K704" s="1373" t="s">
        <v>4337</v>
      </c>
      <c r="L704" s="1085">
        <v>1</v>
      </c>
      <c r="M704" s="1139">
        <f t="shared" si="35"/>
        <v>2500</v>
      </c>
      <c r="N704" s="1142"/>
      <c r="O704" s="1085"/>
      <c r="P704" s="1139"/>
    </row>
    <row r="705" spans="1:16" ht="24" x14ac:dyDescent="0.2">
      <c r="A705" s="1141">
        <v>300</v>
      </c>
      <c r="B705" s="1103" t="s">
        <v>4291</v>
      </c>
      <c r="C705" s="1141" t="s">
        <v>398</v>
      </c>
      <c r="D705" s="1104" t="s">
        <v>4507</v>
      </c>
      <c r="E705" s="1139">
        <v>2500</v>
      </c>
      <c r="F705" s="1140" t="s">
        <v>4513</v>
      </c>
      <c r="G705" s="1141" t="s">
        <v>4514</v>
      </c>
      <c r="H705" s="1081" t="s">
        <v>4413</v>
      </c>
      <c r="I705" s="1081"/>
      <c r="J705" s="1081"/>
      <c r="K705" s="1373" t="s">
        <v>4515</v>
      </c>
      <c r="L705" s="1085">
        <v>3</v>
      </c>
      <c r="M705" s="1139">
        <f t="shared" si="35"/>
        <v>7500</v>
      </c>
      <c r="N705" s="1142"/>
      <c r="O705" s="1085"/>
      <c r="P705" s="1139"/>
    </row>
    <row r="706" spans="1:16" ht="60" x14ac:dyDescent="0.2">
      <c r="A706" s="1141">
        <v>300</v>
      </c>
      <c r="B706" s="1103" t="s">
        <v>4291</v>
      </c>
      <c r="C706" s="1141" t="s">
        <v>398</v>
      </c>
      <c r="D706" s="1104" t="s">
        <v>4494</v>
      </c>
      <c r="E706" s="1139">
        <v>2500</v>
      </c>
      <c r="F706" s="1082" t="s">
        <v>4103</v>
      </c>
      <c r="G706" s="1141" t="s">
        <v>4516</v>
      </c>
      <c r="H706" s="1082" t="s">
        <v>4517</v>
      </c>
      <c r="I706" s="1081"/>
      <c r="J706" s="1082" t="s">
        <v>4517</v>
      </c>
      <c r="K706" s="1373"/>
      <c r="L706" s="1085"/>
      <c r="M706" s="1139"/>
      <c r="N706" s="1142" t="s">
        <v>4518</v>
      </c>
      <c r="O706" s="1085">
        <v>2</v>
      </c>
      <c r="P706" s="1139">
        <f>+O706*E706</f>
        <v>5000</v>
      </c>
    </row>
    <row r="707" spans="1:16" ht="24" x14ac:dyDescent="0.2">
      <c r="A707" s="1141">
        <v>300</v>
      </c>
      <c r="B707" s="1103" t="s">
        <v>4291</v>
      </c>
      <c r="C707" s="1141" t="s">
        <v>398</v>
      </c>
      <c r="D707" s="1104" t="s">
        <v>4494</v>
      </c>
      <c r="E707" s="1139">
        <v>2500</v>
      </c>
      <c r="F707" s="1082" t="s">
        <v>4519</v>
      </c>
      <c r="G707" s="1141" t="s">
        <v>4520</v>
      </c>
      <c r="H707" s="1082" t="s">
        <v>3383</v>
      </c>
      <c r="I707" s="1081"/>
      <c r="J707" s="1081" t="s">
        <v>3575</v>
      </c>
      <c r="K707" s="1373"/>
      <c r="L707" s="1085"/>
      <c r="M707" s="1139"/>
      <c r="N707" s="1142" t="s">
        <v>4521</v>
      </c>
      <c r="O707" s="1085">
        <v>2</v>
      </c>
      <c r="P707" s="1139">
        <f>+O707*E707</f>
        <v>5000</v>
      </c>
    </row>
    <row r="708" spans="1:16" ht="36" x14ac:dyDescent="0.2">
      <c r="A708" s="1141">
        <v>300</v>
      </c>
      <c r="B708" s="1103" t="s">
        <v>4291</v>
      </c>
      <c r="C708" s="1141" t="s">
        <v>398</v>
      </c>
      <c r="D708" s="1104" t="s">
        <v>4499</v>
      </c>
      <c r="E708" s="1139">
        <v>2500</v>
      </c>
      <c r="F708" s="1082" t="s">
        <v>4522</v>
      </c>
      <c r="G708" s="1141" t="s">
        <v>4523</v>
      </c>
      <c r="H708" s="1082" t="s">
        <v>4524</v>
      </c>
      <c r="I708" s="1081"/>
      <c r="J708" s="1082" t="s">
        <v>4525</v>
      </c>
      <c r="K708" s="1373"/>
      <c r="L708" s="1085"/>
      <c r="M708" s="1139"/>
      <c r="N708" s="1142" t="s">
        <v>4526</v>
      </c>
      <c r="O708" s="1085">
        <v>2</v>
      </c>
      <c r="P708" s="1139">
        <f>+O708*E708</f>
        <v>5000</v>
      </c>
    </row>
    <row r="709" spans="1:16" ht="24" x14ac:dyDescent="0.2">
      <c r="A709" s="1141">
        <v>300</v>
      </c>
      <c r="B709" s="1103" t="s">
        <v>4291</v>
      </c>
      <c r="C709" s="1141" t="s">
        <v>398</v>
      </c>
      <c r="D709" s="1104" t="s">
        <v>4494</v>
      </c>
      <c r="E709" s="1139">
        <v>2500</v>
      </c>
      <c r="F709" s="1082" t="s">
        <v>4527</v>
      </c>
      <c r="G709" s="1141" t="s">
        <v>4528</v>
      </c>
      <c r="H709" s="1082" t="s">
        <v>4529</v>
      </c>
      <c r="I709" s="1081"/>
      <c r="J709" s="1081" t="s">
        <v>3575</v>
      </c>
      <c r="K709" s="1373"/>
      <c r="L709" s="1085"/>
      <c r="M709" s="1139"/>
      <c r="N709" s="1142" t="s">
        <v>4530</v>
      </c>
      <c r="O709" s="1085">
        <v>2</v>
      </c>
      <c r="P709" s="1139">
        <f>+O709*E709</f>
        <v>5000</v>
      </c>
    </row>
    <row r="710" spans="1:16" ht="24" x14ac:dyDescent="0.2">
      <c r="A710" s="1141">
        <v>300</v>
      </c>
      <c r="B710" s="1103" t="s">
        <v>4291</v>
      </c>
      <c r="C710" s="1141" t="s">
        <v>398</v>
      </c>
      <c r="D710" s="1103" t="s">
        <v>4531</v>
      </c>
      <c r="E710" s="1139">
        <v>4000</v>
      </c>
      <c r="F710" s="1140">
        <v>71419457</v>
      </c>
      <c r="G710" s="1141" t="s">
        <v>4532</v>
      </c>
      <c r="H710" s="1081" t="s">
        <v>4533</v>
      </c>
      <c r="I710" s="1081"/>
      <c r="J710" s="1081"/>
      <c r="K710" s="1373" t="s">
        <v>4530</v>
      </c>
      <c r="L710" s="1085">
        <v>10</v>
      </c>
      <c r="M710" s="1139">
        <f t="shared" si="35"/>
        <v>40000</v>
      </c>
      <c r="N710" s="1142"/>
      <c r="O710" s="1085"/>
      <c r="P710" s="1139"/>
    </row>
    <row r="711" spans="1:16" ht="24" x14ac:dyDescent="0.2">
      <c r="A711" s="1141">
        <v>300</v>
      </c>
      <c r="B711" s="1103" t="s">
        <v>4291</v>
      </c>
      <c r="C711" s="1141" t="s">
        <v>398</v>
      </c>
      <c r="D711" s="1105" t="s">
        <v>4534</v>
      </c>
      <c r="E711" s="1139">
        <v>5000</v>
      </c>
      <c r="F711" s="1140">
        <v>23008927</v>
      </c>
      <c r="G711" s="1105" t="s">
        <v>4535</v>
      </c>
      <c r="H711" s="1081" t="s">
        <v>4491</v>
      </c>
      <c r="I711" s="1081"/>
      <c r="J711" s="1081"/>
      <c r="K711" s="1374" t="s">
        <v>4536</v>
      </c>
      <c r="L711" s="1085">
        <v>8</v>
      </c>
      <c r="M711" s="1139">
        <f t="shared" si="35"/>
        <v>40000</v>
      </c>
      <c r="N711" s="1142" t="s">
        <v>4537</v>
      </c>
      <c r="O711" s="1085">
        <v>6</v>
      </c>
      <c r="P711" s="1139">
        <f>+O711*E711</f>
        <v>30000</v>
      </c>
    </row>
    <row r="712" spans="1:16" ht="24" x14ac:dyDescent="0.2">
      <c r="A712" s="1141">
        <v>300</v>
      </c>
      <c r="B712" s="1103" t="s">
        <v>4291</v>
      </c>
      <c r="C712" s="1141" t="s">
        <v>398</v>
      </c>
      <c r="D712" s="1105" t="s">
        <v>4538</v>
      </c>
      <c r="E712" s="1139">
        <v>3500</v>
      </c>
      <c r="F712" s="1140" t="s">
        <v>4539</v>
      </c>
      <c r="G712" s="1105" t="s">
        <v>4540</v>
      </c>
      <c r="H712" s="1081" t="s">
        <v>4413</v>
      </c>
      <c r="I712" s="1081"/>
      <c r="J712" s="1081"/>
      <c r="K712" s="1374" t="s">
        <v>4541</v>
      </c>
      <c r="L712" s="1085">
        <v>8</v>
      </c>
      <c r="M712" s="1139">
        <f t="shared" si="35"/>
        <v>28000</v>
      </c>
      <c r="N712" s="1140"/>
      <c r="O712" s="1085"/>
      <c r="P712" s="1139"/>
    </row>
    <row r="713" spans="1:16" ht="24" x14ac:dyDescent="0.2">
      <c r="A713" s="1141">
        <v>300</v>
      </c>
      <c r="B713" s="1103" t="s">
        <v>4291</v>
      </c>
      <c r="C713" s="1141" t="s">
        <v>398</v>
      </c>
      <c r="D713" s="1105" t="s">
        <v>4542</v>
      </c>
      <c r="E713" s="1139">
        <v>2500</v>
      </c>
      <c r="F713" s="1140" t="s">
        <v>4543</v>
      </c>
      <c r="G713" s="1105" t="s">
        <v>4544</v>
      </c>
      <c r="H713" s="1081" t="s">
        <v>3212</v>
      </c>
      <c r="I713" s="1081"/>
      <c r="J713" s="1081"/>
      <c r="K713" s="1374" t="s">
        <v>4545</v>
      </c>
      <c r="L713" s="1085">
        <v>8</v>
      </c>
      <c r="M713" s="1139">
        <f t="shared" si="35"/>
        <v>20000</v>
      </c>
      <c r="N713" s="1140" t="s">
        <v>4546</v>
      </c>
      <c r="O713" s="1085">
        <v>5</v>
      </c>
      <c r="P713" s="1139">
        <f>+O713*E713</f>
        <v>12500</v>
      </c>
    </row>
    <row r="714" spans="1:16" ht="36" x14ac:dyDescent="0.2">
      <c r="A714" s="1141">
        <v>300</v>
      </c>
      <c r="B714" s="1103" t="s">
        <v>4291</v>
      </c>
      <c r="C714" s="1141" t="s">
        <v>398</v>
      </c>
      <c r="D714" s="1103" t="s">
        <v>4547</v>
      </c>
      <c r="E714" s="1139">
        <v>3500</v>
      </c>
      <c r="F714" s="1140" t="s">
        <v>4548</v>
      </c>
      <c r="G714" s="1103" t="s">
        <v>4549</v>
      </c>
      <c r="H714" s="1081" t="s">
        <v>4550</v>
      </c>
      <c r="I714" s="1081"/>
      <c r="J714" s="1081"/>
      <c r="K714" s="1373" t="s">
        <v>4416</v>
      </c>
      <c r="L714" s="1085">
        <v>5</v>
      </c>
      <c r="M714" s="1139">
        <f t="shared" si="35"/>
        <v>17500</v>
      </c>
      <c r="N714" s="1140" t="s">
        <v>4551</v>
      </c>
      <c r="O714" s="1085">
        <v>6</v>
      </c>
      <c r="P714" s="1139">
        <f>+O714*E714</f>
        <v>21000</v>
      </c>
    </row>
    <row r="715" spans="1:16" ht="24" x14ac:dyDescent="0.2">
      <c r="A715" s="1141">
        <v>300</v>
      </c>
      <c r="B715" s="1103" t="s">
        <v>4291</v>
      </c>
      <c r="C715" s="1141" t="s">
        <v>398</v>
      </c>
      <c r="D715" s="1105" t="s">
        <v>4552</v>
      </c>
      <c r="E715" s="1139">
        <v>3500</v>
      </c>
      <c r="F715" s="1140">
        <v>44837075</v>
      </c>
      <c r="G715" s="1141" t="s">
        <v>4553</v>
      </c>
      <c r="H715" s="1081" t="s">
        <v>4491</v>
      </c>
      <c r="I715" s="1081"/>
      <c r="J715" s="1081"/>
      <c r="K715" s="1373" t="s">
        <v>4381</v>
      </c>
      <c r="L715" s="1085">
        <v>3</v>
      </c>
      <c r="M715" s="1139">
        <f t="shared" si="35"/>
        <v>10500</v>
      </c>
      <c r="N715" s="1140"/>
      <c r="O715" s="1085"/>
      <c r="P715" s="1139"/>
    </row>
    <row r="716" spans="1:16" ht="48" x14ac:dyDescent="0.2">
      <c r="A716" s="1141">
        <v>300</v>
      </c>
      <c r="B716" s="1103" t="s">
        <v>4291</v>
      </c>
      <c r="C716" s="1141" t="s">
        <v>398</v>
      </c>
      <c r="D716" s="1105" t="s">
        <v>4554</v>
      </c>
      <c r="E716" s="1139">
        <v>3500</v>
      </c>
      <c r="F716" s="1140" t="s">
        <v>4555</v>
      </c>
      <c r="G716" s="1141" t="s">
        <v>4556</v>
      </c>
      <c r="H716" s="1081" t="s">
        <v>4557</v>
      </c>
      <c r="I716" s="1081"/>
      <c r="J716" s="1081"/>
      <c r="K716" s="1373" t="s">
        <v>4451</v>
      </c>
      <c r="L716" s="1085">
        <v>1</v>
      </c>
      <c r="M716" s="1139">
        <f t="shared" si="35"/>
        <v>3500</v>
      </c>
      <c r="N716" s="1140"/>
      <c r="O716" s="1085"/>
      <c r="P716" s="1139"/>
    </row>
    <row r="717" spans="1:16" ht="36" x14ac:dyDescent="0.2">
      <c r="A717" s="1141">
        <v>300</v>
      </c>
      <c r="B717" s="1103" t="s">
        <v>4291</v>
      </c>
      <c r="C717" s="1141" t="s">
        <v>398</v>
      </c>
      <c r="D717" s="1105" t="s">
        <v>4558</v>
      </c>
      <c r="E717" s="1139">
        <v>2600</v>
      </c>
      <c r="F717" s="1081" t="s">
        <v>4559</v>
      </c>
      <c r="G717" s="1105" t="s">
        <v>4560</v>
      </c>
      <c r="H717" s="1082" t="s">
        <v>3212</v>
      </c>
      <c r="I717" s="1081"/>
      <c r="J717" s="1081"/>
      <c r="K717" s="1374" t="s">
        <v>4561</v>
      </c>
      <c r="L717" s="1085">
        <v>12</v>
      </c>
      <c r="M717" s="1139">
        <f t="shared" si="35"/>
        <v>31200</v>
      </c>
      <c r="N717" s="1140" t="s">
        <v>4562</v>
      </c>
      <c r="O717" s="1085">
        <v>6</v>
      </c>
      <c r="P717" s="1139">
        <f t="shared" ref="P717:P729" si="36">+O717*E717</f>
        <v>15600</v>
      </c>
    </row>
    <row r="718" spans="1:16" ht="24" x14ac:dyDescent="0.2">
      <c r="A718" s="1141">
        <v>300</v>
      </c>
      <c r="B718" s="1103" t="s">
        <v>4291</v>
      </c>
      <c r="C718" s="1141" t="s">
        <v>398</v>
      </c>
      <c r="D718" s="1105" t="s">
        <v>4563</v>
      </c>
      <c r="E718" s="1139">
        <v>3000</v>
      </c>
      <c r="F718" s="1081">
        <v>41321587</v>
      </c>
      <c r="G718" s="1105" t="s">
        <v>4564</v>
      </c>
      <c r="H718" s="1082" t="s">
        <v>3274</v>
      </c>
      <c r="I718" s="1081"/>
      <c r="J718" s="1081"/>
      <c r="K718" s="1374" t="s">
        <v>4565</v>
      </c>
      <c r="L718" s="1085">
        <v>12</v>
      </c>
      <c r="M718" s="1139">
        <f t="shared" si="35"/>
        <v>36000</v>
      </c>
      <c r="N718" s="1140" t="s">
        <v>4566</v>
      </c>
      <c r="O718" s="1085">
        <v>6</v>
      </c>
      <c r="P718" s="1139">
        <f t="shared" si="36"/>
        <v>18000</v>
      </c>
    </row>
    <row r="719" spans="1:16" ht="24" x14ac:dyDescent="0.2">
      <c r="A719" s="1141">
        <v>300</v>
      </c>
      <c r="B719" s="1103" t="s">
        <v>4291</v>
      </c>
      <c r="C719" s="1141" t="s">
        <v>398</v>
      </c>
      <c r="D719" s="1105" t="s">
        <v>4567</v>
      </c>
      <c r="E719" s="1139">
        <v>3800</v>
      </c>
      <c r="F719" s="1140" t="s">
        <v>4568</v>
      </c>
      <c r="G719" s="1105" t="s">
        <v>4569</v>
      </c>
      <c r="H719" s="1082" t="s">
        <v>3274</v>
      </c>
      <c r="I719" s="1081"/>
      <c r="J719" s="1081"/>
      <c r="K719" s="1374" t="s">
        <v>4570</v>
      </c>
      <c r="L719" s="1085">
        <v>11</v>
      </c>
      <c r="M719" s="1139">
        <f t="shared" si="35"/>
        <v>41800</v>
      </c>
      <c r="N719" s="1140" t="s">
        <v>4571</v>
      </c>
      <c r="O719" s="1085">
        <v>6</v>
      </c>
      <c r="P719" s="1139">
        <f t="shared" si="36"/>
        <v>22800</v>
      </c>
    </row>
    <row r="720" spans="1:16" ht="24" x14ac:dyDescent="0.2">
      <c r="A720" s="1141">
        <v>300</v>
      </c>
      <c r="B720" s="1103" t="s">
        <v>4291</v>
      </c>
      <c r="C720" s="1141" t="s">
        <v>398</v>
      </c>
      <c r="D720" s="1105" t="s">
        <v>4572</v>
      </c>
      <c r="E720" s="1139">
        <v>3200</v>
      </c>
      <c r="F720" s="1081">
        <v>44055147</v>
      </c>
      <c r="G720" s="1105" t="s">
        <v>4573</v>
      </c>
      <c r="H720" s="1082" t="s">
        <v>3212</v>
      </c>
      <c r="I720" s="1081"/>
      <c r="J720" s="1081"/>
      <c r="K720" s="1374"/>
      <c r="L720" s="1085"/>
      <c r="M720" s="1139"/>
      <c r="N720" s="1140" t="s">
        <v>4574</v>
      </c>
      <c r="O720" s="1085">
        <v>4</v>
      </c>
      <c r="P720" s="1139">
        <f t="shared" si="36"/>
        <v>12800</v>
      </c>
    </row>
    <row r="721" spans="1:16" ht="24" x14ac:dyDescent="0.2">
      <c r="A721" s="1141">
        <v>300</v>
      </c>
      <c r="B721" s="1103" t="s">
        <v>4291</v>
      </c>
      <c r="C721" s="1141" t="s">
        <v>398</v>
      </c>
      <c r="D721" s="1105" t="s">
        <v>4575</v>
      </c>
      <c r="E721" s="1139">
        <v>1150</v>
      </c>
      <c r="F721" s="1081">
        <v>40847419</v>
      </c>
      <c r="G721" s="1105" t="s">
        <v>4576</v>
      </c>
      <c r="H721" s="1082" t="s">
        <v>4577</v>
      </c>
      <c r="I721" s="1081"/>
      <c r="J721" s="1081"/>
      <c r="K721" s="1374" t="s">
        <v>4578</v>
      </c>
      <c r="L721" s="1085">
        <v>12</v>
      </c>
      <c r="M721" s="1139">
        <f t="shared" si="35"/>
        <v>13800</v>
      </c>
      <c r="N721" s="1140" t="s">
        <v>4579</v>
      </c>
      <c r="O721" s="1085">
        <v>6</v>
      </c>
      <c r="P721" s="1139">
        <f t="shared" si="36"/>
        <v>6900</v>
      </c>
    </row>
    <row r="722" spans="1:16" ht="24" x14ac:dyDescent="0.2">
      <c r="A722" s="1141">
        <v>300</v>
      </c>
      <c r="B722" s="1103" t="s">
        <v>4291</v>
      </c>
      <c r="C722" s="1141" t="s">
        <v>398</v>
      </c>
      <c r="D722" s="1105" t="s">
        <v>4575</v>
      </c>
      <c r="E722" s="1139">
        <v>1150</v>
      </c>
      <c r="F722" s="1081">
        <v>44174044</v>
      </c>
      <c r="G722" s="1105" t="s">
        <v>4580</v>
      </c>
      <c r="H722" s="1082" t="s">
        <v>3489</v>
      </c>
      <c r="I722" s="1081"/>
      <c r="J722" s="1081" t="s">
        <v>4355</v>
      </c>
      <c r="K722" s="1374" t="s">
        <v>4581</v>
      </c>
      <c r="L722" s="1085">
        <v>12</v>
      </c>
      <c r="M722" s="1139">
        <f t="shared" si="35"/>
        <v>13800</v>
      </c>
      <c r="N722" s="1140" t="s">
        <v>4582</v>
      </c>
      <c r="O722" s="1085">
        <v>6</v>
      </c>
      <c r="P722" s="1139">
        <f t="shared" si="36"/>
        <v>6900</v>
      </c>
    </row>
    <row r="723" spans="1:16" ht="24" x14ac:dyDescent="0.2">
      <c r="A723" s="1141">
        <v>300</v>
      </c>
      <c r="B723" s="1103" t="s">
        <v>4291</v>
      </c>
      <c r="C723" s="1141" t="s">
        <v>398</v>
      </c>
      <c r="D723" s="1105" t="s">
        <v>4575</v>
      </c>
      <c r="E723" s="1139">
        <v>1150</v>
      </c>
      <c r="F723" s="1081">
        <v>40268145</v>
      </c>
      <c r="G723" s="1105" t="s">
        <v>4583</v>
      </c>
      <c r="H723" s="1082" t="s">
        <v>4577</v>
      </c>
      <c r="I723" s="1083" t="s">
        <v>4584</v>
      </c>
      <c r="J723" s="1081"/>
      <c r="K723" s="1374" t="s">
        <v>4585</v>
      </c>
      <c r="L723" s="1085">
        <v>11</v>
      </c>
      <c r="M723" s="1139">
        <f t="shared" si="35"/>
        <v>12650</v>
      </c>
      <c r="N723" s="1081"/>
      <c r="O723" s="1085"/>
      <c r="P723" s="1139"/>
    </row>
    <row r="724" spans="1:16" ht="24" x14ac:dyDescent="0.2">
      <c r="A724" s="1141">
        <v>300</v>
      </c>
      <c r="B724" s="1103" t="s">
        <v>4291</v>
      </c>
      <c r="C724" s="1141" t="s">
        <v>398</v>
      </c>
      <c r="D724" s="1105" t="s">
        <v>4575</v>
      </c>
      <c r="E724" s="1139">
        <v>1150</v>
      </c>
      <c r="F724" s="1081">
        <v>77811812</v>
      </c>
      <c r="G724" s="1105" t="s">
        <v>4586</v>
      </c>
      <c r="H724" s="1082" t="s">
        <v>4577</v>
      </c>
      <c r="I724" s="1082"/>
      <c r="J724" s="1082"/>
      <c r="K724" s="1374" t="s">
        <v>4587</v>
      </c>
      <c r="L724" s="1085">
        <v>12</v>
      </c>
      <c r="M724" s="1139">
        <f t="shared" si="35"/>
        <v>13800</v>
      </c>
      <c r="N724" s="1140" t="s">
        <v>3971</v>
      </c>
      <c r="O724" s="1085">
        <v>6</v>
      </c>
      <c r="P724" s="1139">
        <f t="shared" si="36"/>
        <v>6900</v>
      </c>
    </row>
    <row r="725" spans="1:16" ht="24" x14ac:dyDescent="0.2">
      <c r="A725" s="1141">
        <v>300</v>
      </c>
      <c r="B725" s="1103" t="s">
        <v>4291</v>
      </c>
      <c r="C725" s="1141" t="s">
        <v>398</v>
      </c>
      <c r="D725" s="1105" t="s">
        <v>4575</v>
      </c>
      <c r="E725" s="1139">
        <v>1150</v>
      </c>
      <c r="F725" s="1081">
        <v>43857920</v>
      </c>
      <c r="G725" s="1105" t="s">
        <v>4588</v>
      </c>
      <c r="H725" s="1082" t="s">
        <v>4589</v>
      </c>
      <c r="I725" s="1082"/>
      <c r="J725" s="1082" t="s">
        <v>4355</v>
      </c>
      <c r="K725" s="1374" t="s">
        <v>4562</v>
      </c>
      <c r="L725" s="1085">
        <v>1</v>
      </c>
      <c r="M725" s="1139">
        <f t="shared" si="35"/>
        <v>1150</v>
      </c>
      <c r="N725" s="1140" t="s">
        <v>3955</v>
      </c>
      <c r="O725" s="1085">
        <v>6</v>
      </c>
      <c r="P725" s="1139">
        <f t="shared" si="36"/>
        <v>6900</v>
      </c>
    </row>
    <row r="726" spans="1:16" ht="24" x14ac:dyDescent="0.2">
      <c r="A726" s="1141">
        <v>300</v>
      </c>
      <c r="B726" s="1103" t="s">
        <v>4291</v>
      </c>
      <c r="C726" s="1141" t="s">
        <v>398</v>
      </c>
      <c r="D726" s="1105" t="s">
        <v>4575</v>
      </c>
      <c r="E726" s="1139">
        <v>1150</v>
      </c>
      <c r="F726" s="1081">
        <v>46703625</v>
      </c>
      <c r="G726" s="1105" t="s">
        <v>4590</v>
      </c>
      <c r="H726" s="1082" t="s">
        <v>4577</v>
      </c>
      <c r="I726" s="1082"/>
      <c r="J726" s="1082"/>
      <c r="K726" s="1374" t="s">
        <v>4591</v>
      </c>
      <c r="L726" s="1085">
        <v>12</v>
      </c>
      <c r="M726" s="1139">
        <f t="shared" si="35"/>
        <v>13800</v>
      </c>
      <c r="N726" s="1140" t="s">
        <v>4592</v>
      </c>
      <c r="O726" s="1085">
        <v>6</v>
      </c>
      <c r="P726" s="1139">
        <f t="shared" si="36"/>
        <v>6900</v>
      </c>
    </row>
    <row r="727" spans="1:16" ht="36" x14ac:dyDescent="0.2">
      <c r="A727" s="1141">
        <v>300</v>
      </c>
      <c r="B727" s="1103" t="s">
        <v>4291</v>
      </c>
      <c r="C727" s="1141" t="s">
        <v>398</v>
      </c>
      <c r="D727" s="1105" t="s">
        <v>4575</v>
      </c>
      <c r="E727" s="1139">
        <v>1150</v>
      </c>
      <c r="F727" s="1081">
        <v>25549393</v>
      </c>
      <c r="G727" s="1105" t="s">
        <v>4593</v>
      </c>
      <c r="H727" s="1082" t="s">
        <v>4594</v>
      </c>
      <c r="I727" s="1082"/>
      <c r="J727" s="1082" t="s">
        <v>4595</v>
      </c>
      <c r="K727" s="1374" t="s">
        <v>4596</v>
      </c>
      <c r="L727" s="1085">
        <v>12</v>
      </c>
      <c r="M727" s="1139">
        <f t="shared" si="35"/>
        <v>13800</v>
      </c>
      <c r="N727" s="1140" t="s">
        <v>4597</v>
      </c>
      <c r="O727" s="1085">
        <v>6</v>
      </c>
      <c r="P727" s="1139">
        <f t="shared" si="36"/>
        <v>6900</v>
      </c>
    </row>
    <row r="728" spans="1:16" ht="48" x14ac:dyDescent="0.2">
      <c r="A728" s="1141">
        <v>300</v>
      </c>
      <c r="B728" s="1103" t="s">
        <v>4291</v>
      </c>
      <c r="C728" s="1141" t="s">
        <v>398</v>
      </c>
      <c r="D728" s="1105" t="s">
        <v>4575</v>
      </c>
      <c r="E728" s="1139">
        <v>1150</v>
      </c>
      <c r="F728" s="1081">
        <v>45723557</v>
      </c>
      <c r="G728" s="1105" t="s">
        <v>4598</v>
      </c>
      <c r="H728" s="1082" t="s">
        <v>4335</v>
      </c>
      <c r="I728" s="1082"/>
      <c r="J728" s="1082" t="s">
        <v>4599</v>
      </c>
      <c r="K728" s="1374" t="s">
        <v>4600</v>
      </c>
      <c r="L728" s="1085">
        <v>9</v>
      </c>
      <c r="M728" s="1139">
        <f t="shared" si="35"/>
        <v>10350</v>
      </c>
      <c r="N728" s="1140" t="s">
        <v>4601</v>
      </c>
      <c r="O728" s="1085">
        <v>6</v>
      </c>
      <c r="P728" s="1139">
        <f t="shared" si="36"/>
        <v>6900</v>
      </c>
    </row>
    <row r="729" spans="1:16" ht="24" x14ac:dyDescent="0.2">
      <c r="A729" s="1141">
        <v>300</v>
      </c>
      <c r="B729" s="1103" t="s">
        <v>4291</v>
      </c>
      <c r="C729" s="1141" t="s">
        <v>398</v>
      </c>
      <c r="D729" s="1105" t="s">
        <v>4602</v>
      </c>
      <c r="E729" s="1139">
        <v>1150</v>
      </c>
      <c r="F729" s="1081">
        <v>46680764</v>
      </c>
      <c r="G729" s="1105" t="s">
        <v>4603</v>
      </c>
      <c r="H729" s="1082" t="s">
        <v>4577</v>
      </c>
      <c r="I729" s="1082"/>
      <c r="J729" s="1082"/>
      <c r="K729" s="1374" t="s">
        <v>4604</v>
      </c>
      <c r="L729" s="1085">
        <v>9</v>
      </c>
      <c r="M729" s="1139">
        <f t="shared" si="35"/>
        <v>10350</v>
      </c>
      <c r="N729" s="1140" t="s">
        <v>4605</v>
      </c>
      <c r="O729" s="1085">
        <v>6</v>
      </c>
      <c r="P729" s="1139">
        <f t="shared" si="36"/>
        <v>6900</v>
      </c>
    </row>
    <row r="730" spans="1:16" ht="24" x14ac:dyDescent="0.2">
      <c r="A730" s="1141">
        <v>300</v>
      </c>
      <c r="B730" s="1103" t="s">
        <v>4291</v>
      </c>
      <c r="C730" s="1141" t="s">
        <v>4606</v>
      </c>
      <c r="D730" s="1103" t="s">
        <v>4607</v>
      </c>
      <c r="E730" s="1267">
        <v>3500</v>
      </c>
      <c r="F730" s="1268">
        <v>9811723</v>
      </c>
      <c r="G730" s="715" t="s">
        <v>4608</v>
      </c>
      <c r="H730" s="715" t="s">
        <v>4609</v>
      </c>
      <c r="I730" s="717"/>
      <c r="J730" s="1081"/>
      <c r="K730" s="1376"/>
      <c r="L730" s="1081">
        <v>12</v>
      </c>
      <c r="M730" s="1139">
        <f>E730*L730</f>
        <v>42000</v>
      </c>
      <c r="N730" s="1269" t="s">
        <v>4610</v>
      </c>
      <c r="O730" s="1081">
        <v>6</v>
      </c>
      <c r="P730" s="1139">
        <f>E730*O730</f>
        <v>21000</v>
      </c>
    </row>
    <row r="731" spans="1:16" ht="24" x14ac:dyDescent="0.2">
      <c r="A731" s="1141">
        <v>300</v>
      </c>
      <c r="B731" s="1103" t="s">
        <v>4291</v>
      </c>
      <c r="C731" s="1141" t="s">
        <v>4606</v>
      </c>
      <c r="D731" s="1103" t="s">
        <v>3112</v>
      </c>
      <c r="E731" s="1267">
        <v>1100</v>
      </c>
      <c r="F731" s="1268">
        <v>75774594</v>
      </c>
      <c r="G731" s="1103" t="s">
        <v>4611</v>
      </c>
      <c r="H731" s="1103" t="s">
        <v>3109</v>
      </c>
      <c r="I731" s="1081" t="s">
        <v>3595</v>
      </c>
      <c r="J731" s="1081"/>
      <c r="K731" s="1376"/>
      <c r="L731" s="1081">
        <v>12</v>
      </c>
      <c r="M731" s="1139">
        <f t="shared" ref="M731:M739" si="37">E731*L731</f>
        <v>13200</v>
      </c>
      <c r="N731" s="1269" t="s">
        <v>4612</v>
      </c>
      <c r="O731" s="1081">
        <v>6</v>
      </c>
      <c r="P731" s="1139">
        <f>E731*O731</f>
        <v>6600</v>
      </c>
    </row>
    <row r="732" spans="1:16" ht="24" x14ac:dyDescent="0.2">
      <c r="A732" s="1141">
        <v>300</v>
      </c>
      <c r="B732" s="1103" t="s">
        <v>4291</v>
      </c>
      <c r="C732" s="1141" t="s">
        <v>4606</v>
      </c>
      <c r="D732" s="1103" t="s">
        <v>4613</v>
      </c>
      <c r="E732" s="1267">
        <v>4000</v>
      </c>
      <c r="F732" s="1268">
        <v>71419457</v>
      </c>
      <c r="G732" s="1103" t="s">
        <v>4614</v>
      </c>
      <c r="H732" s="1103" t="s">
        <v>3579</v>
      </c>
      <c r="I732" s="1081" t="s">
        <v>4615</v>
      </c>
      <c r="J732" s="1081"/>
      <c r="K732" s="1376"/>
      <c r="L732" s="1081">
        <v>12</v>
      </c>
      <c r="M732" s="1139">
        <f t="shared" si="37"/>
        <v>48000</v>
      </c>
      <c r="N732" s="1269" t="s">
        <v>4616</v>
      </c>
      <c r="O732" s="1081">
        <v>6</v>
      </c>
      <c r="P732" s="1139">
        <f t="shared" ref="P732:P753" si="38">E732*O732</f>
        <v>24000</v>
      </c>
    </row>
    <row r="733" spans="1:16" ht="24" x14ac:dyDescent="0.2">
      <c r="A733" s="1141">
        <v>300</v>
      </c>
      <c r="B733" s="1103" t="s">
        <v>4291</v>
      </c>
      <c r="C733" s="1141" t="s">
        <v>4606</v>
      </c>
      <c r="D733" s="1103" t="s">
        <v>4617</v>
      </c>
      <c r="E733" s="1267">
        <v>3500</v>
      </c>
      <c r="F733" s="1268">
        <v>23271294</v>
      </c>
      <c r="G733" s="1103" t="s">
        <v>4618</v>
      </c>
      <c r="H733" s="1103" t="s">
        <v>4609</v>
      </c>
      <c r="I733" s="1081" t="s">
        <v>4615</v>
      </c>
      <c r="J733" s="1081"/>
      <c r="K733" s="1376"/>
      <c r="L733" s="1081">
        <v>12</v>
      </c>
      <c r="M733" s="1139">
        <f t="shared" si="37"/>
        <v>42000</v>
      </c>
      <c r="N733" s="1269" t="s">
        <v>4619</v>
      </c>
      <c r="O733" s="1081">
        <v>6</v>
      </c>
      <c r="P733" s="1139">
        <f t="shared" si="38"/>
        <v>21000</v>
      </c>
    </row>
    <row r="734" spans="1:16" ht="24" x14ac:dyDescent="0.2">
      <c r="A734" s="1141">
        <v>300</v>
      </c>
      <c r="B734" s="1103" t="s">
        <v>4291</v>
      </c>
      <c r="C734" s="1141" t="s">
        <v>4606</v>
      </c>
      <c r="D734" s="1103" t="s">
        <v>4607</v>
      </c>
      <c r="E734" s="1267">
        <v>3500</v>
      </c>
      <c r="F734" s="1268">
        <v>70948715</v>
      </c>
      <c r="G734" s="1103" t="s">
        <v>4620</v>
      </c>
      <c r="H734" s="1103" t="s">
        <v>4609</v>
      </c>
      <c r="I734" s="1081" t="s">
        <v>4615</v>
      </c>
      <c r="J734" s="1081"/>
      <c r="K734" s="1376"/>
      <c r="L734" s="1081">
        <v>12</v>
      </c>
      <c r="M734" s="1139">
        <f t="shared" si="37"/>
        <v>42000</v>
      </c>
      <c r="N734" s="1269" t="s">
        <v>4621</v>
      </c>
      <c r="O734" s="1081">
        <v>6</v>
      </c>
      <c r="P734" s="1139">
        <f t="shared" si="38"/>
        <v>21000</v>
      </c>
    </row>
    <row r="735" spans="1:16" ht="24" x14ac:dyDescent="0.2">
      <c r="A735" s="1141">
        <v>300</v>
      </c>
      <c r="B735" s="1103" t="s">
        <v>4291</v>
      </c>
      <c r="C735" s="1141" t="s">
        <v>4606</v>
      </c>
      <c r="D735" s="1103" t="s">
        <v>4607</v>
      </c>
      <c r="E735" s="1267">
        <v>3500</v>
      </c>
      <c r="F735" s="1268">
        <v>5251035</v>
      </c>
      <c r="G735" s="1103" t="s">
        <v>4622</v>
      </c>
      <c r="H735" s="1103" t="s">
        <v>4609</v>
      </c>
      <c r="I735" s="1081" t="s">
        <v>4615</v>
      </c>
      <c r="J735" s="1081"/>
      <c r="K735" s="1376"/>
      <c r="L735" s="1081">
        <v>12</v>
      </c>
      <c r="M735" s="1139">
        <f t="shared" si="37"/>
        <v>42000</v>
      </c>
      <c r="N735" s="1269" t="s">
        <v>4623</v>
      </c>
      <c r="O735" s="1081">
        <v>6</v>
      </c>
      <c r="P735" s="1139">
        <f t="shared" si="38"/>
        <v>21000</v>
      </c>
    </row>
    <row r="736" spans="1:16" ht="24" x14ac:dyDescent="0.2">
      <c r="A736" s="1141">
        <v>300</v>
      </c>
      <c r="B736" s="1103" t="s">
        <v>4291</v>
      </c>
      <c r="C736" s="1141" t="s">
        <v>4606</v>
      </c>
      <c r="D736" s="1103" t="s">
        <v>4607</v>
      </c>
      <c r="E736" s="1267">
        <v>3500</v>
      </c>
      <c r="F736" s="1268">
        <v>80067283</v>
      </c>
      <c r="G736" s="1103" t="s">
        <v>4624</v>
      </c>
      <c r="H736" s="1103" t="s">
        <v>4609</v>
      </c>
      <c r="I736" s="1081" t="s">
        <v>4615</v>
      </c>
      <c r="J736" s="1081"/>
      <c r="K736" s="1376"/>
      <c r="L736" s="1081">
        <v>12</v>
      </c>
      <c r="M736" s="1139">
        <f t="shared" si="37"/>
        <v>42000</v>
      </c>
      <c r="N736" s="1269" t="s">
        <v>4625</v>
      </c>
      <c r="O736" s="1081">
        <v>6</v>
      </c>
      <c r="P736" s="1139">
        <f t="shared" si="38"/>
        <v>21000</v>
      </c>
    </row>
    <row r="737" spans="1:16" ht="24" x14ac:dyDescent="0.2">
      <c r="A737" s="1141">
        <v>300</v>
      </c>
      <c r="B737" s="1103" t="s">
        <v>4291</v>
      </c>
      <c r="C737" s="1141" t="s">
        <v>4606</v>
      </c>
      <c r="D737" s="1103" t="s">
        <v>3112</v>
      </c>
      <c r="E737" s="1267">
        <v>1200</v>
      </c>
      <c r="F737" s="1268">
        <v>71016353</v>
      </c>
      <c r="G737" s="1103" t="s">
        <v>4626</v>
      </c>
      <c r="H737" s="1103" t="s">
        <v>4627</v>
      </c>
      <c r="I737" s="1081" t="s">
        <v>3595</v>
      </c>
      <c r="J737" s="1081"/>
      <c r="K737" s="1376"/>
      <c r="L737" s="1081">
        <v>12</v>
      </c>
      <c r="M737" s="1139">
        <f t="shared" si="37"/>
        <v>14400</v>
      </c>
      <c r="N737" s="1269" t="s">
        <v>4628</v>
      </c>
      <c r="O737" s="1081">
        <v>6</v>
      </c>
      <c r="P737" s="1139">
        <f t="shared" si="38"/>
        <v>7200</v>
      </c>
    </row>
    <row r="738" spans="1:16" ht="24" x14ac:dyDescent="0.2">
      <c r="A738" s="1141">
        <v>300</v>
      </c>
      <c r="B738" s="1103" t="s">
        <v>4291</v>
      </c>
      <c r="C738" s="1141" t="s">
        <v>4606</v>
      </c>
      <c r="D738" s="1103" t="s">
        <v>3187</v>
      </c>
      <c r="E738" s="1267">
        <v>1270</v>
      </c>
      <c r="F738" s="1268">
        <v>41420385</v>
      </c>
      <c r="G738" s="1103" t="s">
        <v>4629</v>
      </c>
      <c r="H738" s="1103" t="s">
        <v>4630</v>
      </c>
      <c r="I738" s="1081"/>
      <c r="J738" s="1081"/>
      <c r="K738" s="1376"/>
      <c r="L738" s="1081">
        <v>12</v>
      </c>
      <c r="M738" s="1139">
        <f t="shared" si="37"/>
        <v>15240</v>
      </c>
      <c r="N738" s="1269" t="s">
        <v>4631</v>
      </c>
      <c r="O738" s="1081">
        <v>6</v>
      </c>
      <c r="P738" s="1139">
        <f t="shared" si="38"/>
        <v>7620</v>
      </c>
    </row>
    <row r="739" spans="1:16" ht="24" x14ac:dyDescent="0.2">
      <c r="A739" s="1141">
        <v>300</v>
      </c>
      <c r="B739" s="1103" t="s">
        <v>4291</v>
      </c>
      <c r="C739" s="1141" t="s">
        <v>4606</v>
      </c>
      <c r="D739" s="1103" t="s">
        <v>3187</v>
      </c>
      <c r="E739" s="1267">
        <v>1270</v>
      </c>
      <c r="F739" s="1268">
        <v>42386</v>
      </c>
      <c r="G739" s="1103" t="s">
        <v>4632</v>
      </c>
      <c r="H739" s="1103" t="s">
        <v>4630</v>
      </c>
      <c r="I739" s="1081"/>
      <c r="J739" s="1081"/>
      <c r="K739" s="1376"/>
      <c r="L739" s="1081">
        <v>12</v>
      </c>
      <c r="M739" s="1139">
        <f t="shared" si="37"/>
        <v>15240</v>
      </c>
      <c r="N739" s="1269" t="s">
        <v>4633</v>
      </c>
      <c r="O739" s="1081">
        <v>6</v>
      </c>
      <c r="P739" s="1139">
        <f t="shared" si="38"/>
        <v>7620</v>
      </c>
    </row>
    <row r="740" spans="1:16" ht="24" x14ac:dyDescent="0.2">
      <c r="A740" s="1141">
        <v>300</v>
      </c>
      <c r="B740" s="1103" t="s">
        <v>4291</v>
      </c>
      <c r="C740" s="1141" t="s">
        <v>4606</v>
      </c>
      <c r="D740" s="1103" t="s">
        <v>4634</v>
      </c>
      <c r="E740" s="1267">
        <v>1500</v>
      </c>
      <c r="F740" s="1268">
        <v>41876880</v>
      </c>
      <c r="G740" s="1103" t="s">
        <v>4635</v>
      </c>
      <c r="H740" s="1103" t="s">
        <v>2729</v>
      </c>
      <c r="I740" s="1081" t="s">
        <v>4615</v>
      </c>
      <c r="J740" s="1081"/>
      <c r="K740" s="1376"/>
      <c r="L740" s="1081">
        <v>12</v>
      </c>
      <c r="M740" s="1139">
        <f>E740*L740</f>
        <v>18000</v>
      </c>
      <c r="N740" s="1269" t="s">
        <v>4636</v>
      </c>
      <c r="O740" s="1081">
        <v>6</v>
      </c>
      <c r="P740" s="1139">
        <f t="shared" si="38"/>
        <v>9000</v>
      </c>
    </row>
    <row r="741" spans="1:16" ht="24" x14ac:dyDescent="0.2">
      <c r="A741" s="1141">
        <v>300</v>
      </c>
      <c r="B741" s="1103" t="s">
        <v>4291</v>
      </c>
      <c r="C741" s="1141" t="s">
        <v>4606</v>
      </c>
      <c r="D741" s="1103" t="s">
        <v>3187</v>
      </c>
      <c r="E741" s="1267">
        <v>1270</v>
      </c>
      <c r="F741" s="1268">
        <v>1087190</v>
      </c>
      <c r="G741" s="1103" t="s">
        <v>4637</v>
      </c>
      <c r="H741" s="1103" t="s">
        <v>4630</v>
      </c>
      <c r="I741" s="1081"/>
      <c r="J741" s="1081"/>
      <c r="K741" s="1376"/>
      <c r="L741" s="1081">
        <v>12</v>
      </c>
      <c r="M741" s="1139">
        <f t="shared" ref="M741:M753" si="39">E741*L741</f>
        <v>15240</v>
      </c>
      <c r="N741" s="1269" t="s">
        <v>4638</v>
      </c>
      <c r="O741" s="1081">
        <v>6</v>
      </c>
      <c r="P741" s="1139">
        <f t="shared" si="38"/>
        <v>7620</v>
      </c>
    </row>
    <row r="742" spans="1:16" ht="24" x14ac:dyDescent="0.2">
      <c r="A742" s="1141">
        <v>300</v>
      </c>
      <c r="B742" s="1103" t="s">
        <v>4291</v>
      </c>
      <c r="C742" s="1141" t="s">
        <v>4606</v>
      </c>
      <c r="D742" s="1103" t="s">
        <v>4607</v>
      </c>
      <c r="E742" s="1267">
        <v>3500</v>
      </c>
      <c r="F742" s="1268">
        <v>40233480</v>
      </c>
      <c r="G742" s="1103" t="s">
        <v>4639</v>
      </c>
      <c r="H742" s="1103" t="s">
        <v>4609</v>
      </c>
      <c r="I742" s="1081" t="s">
        <v>4615</v>
      </c>
      <c r="J742" s="1081"/>
      <c r="K742" s="1376"/>
      <c r="L742" s="1081">
        <v>12</v>
      </c>
      <c r="M742" s="1139">
        <f t="shared" si="39"/>
        <v>42000</v>
      </c>
      <c r="N742" s="1269" t="s">
        <v>4640</v>
      </c>
      <c r="O742" s="1081">
        <v>6</v>
      </c>
      <c r="P742" s="1139">
        <f t="shared" si="38"/>
        <v>21000</v>
      </c>
    </row>
    <row r="743" spans="1:16" ht="24" x14ac:dyDescent="0.2">
      <c r="A743" s="1141">
        <v>300</v>
      </c>
      <c r="B743" s="1103" t="s">
        <v>4291</v>
      </c>
      <c r="C743" s="1141" t="s">
        <v>4606</v>
      </c>
      <c r="D743" s="1103" t="s">
        <v>4607</v>
      </c>
      <c r="E743" s="1267">
        <v>3500</v>
      </c>
      <c r="F743" s="1268">
        <v>44837075</v>
      </c>
      <c r="G743" s="1103" t="s">
        <v>4641</v>
      </c>
      <c r="H743" s="1103" t="s">
        <v>4609</v>
      </c>
      <c r="I743" s="1081" t="s">
        <v>4615</v>
      </c>
      <c r="J743" s="1081"/>
      <c r="K743" s="1376"/>
      <c r="L743" s="1081">
        <v>12</v>
      </c>
      <c r="M743" s="1139">
        <f t="shared" si="39"/>
        <v>42000</v>
      </c>
      <c r="N743" s="1269" t="s">
        <v>4642</v>
      </c>
      <c r="O743" s="1081">
        <v>6</v>
      </c>
      <c r="P743" s="1139">
        <f t="shared" si="38"/>
        <v>21000</v>
      </c>
    </row>
    <row r="744" spans="1:16" ht="24" x14ac:dyDescent="0.2">
      <c r="A744" s="1141">
        <v>300</v>
      </c>
      <c r="B744" s="1103" t="s">
        <v>4291</v>
      </c>
      <c r="C744" s="1141" t="s">
        <v>4606</v>
      </c>
      <c r="D744" s="1103" t="s">
        <v>4607</v>
      </c>
      <c r="E744" s="1267">
        <v>3500</v>
      </c>
      <c r="F744" s="1268">
        <v>5366761</v>
      </c>
      <c r="G744" s="1103" t="s">
        <v>4643</v>
      </c>
      <c r="H744" s="1103" t="s">
        <v>4609</v>
      </c>
      <c r="I744" s="1081" t="s">
        <v>4615</v>
      </c>
      <c r="J744" s="1081"/>
      <c r="K744" s="1376"/>
      <c r="L744" s="1081">
        <v>12</v>
      </c>
      <c r="M744" s="1139">
        <f t="shared" si="39"/>
        <v>42000</v>
      </c>
      <c r="N744" s="1269" t="s">
        <v>4644</v>
      </c>
      <c r="O744" s="1081">
        <v>6</v>
      </c>
      <c r="P744" s="1139">
        <f t="shared" si="38"/>
        <v>21000</v>
      </c>
    </row>
    <row r="745" spans="1:16" ht="24" x14ac:dyDescent="0.2">
      <c r="A745" s="1141">
        <v>300</v>
      </c>
      <c r="B745" s="1103" t="s">
        <v>4291</v>
      </c>
      <c r="C745" s="1141" t="s">
        <v>4606</v>
      </c>
      <c r="D745" s="1103" t="s">
        <v>3187</v>
      </c>
      <c r="E745" s="1267">
        <v>1270</v>
      </c>
      <c r="F745" s="1268">
        <v>41392827</v>
      </c>
      <c r="G745" s="1103" t="s">
        <v>4645</v>
      </c>
      <c r="H745" s="1103" t="s">
        <v>4646</v>
      </c>
      <c r="I745" s="1081" t="s">
        <v>3292</v>
      </c>
      <c r="J745" s="1081"/>
      <c r="K745" s="1376"/>
      <c r="L745" s="1081">
        <v>12</v>
      </c>
      <c r="M745" s="1139">
        <f t="shared" si="39"/>
        <v>15240</v>
      </c>
      <c r="N745" s="1269" t="s">
        <v>4647</v>
      </c>
      <c r="O745" s="1081">
        <v>6</v>
      </c>
      <c r="P745" s="1139">
        <f t="shared" si="38"/>
        <v>7620</v>
      </c>
    </row>
    <row r="746" spans="1:16" ht="24" x14ac:dyDescent="0.2">
      <c r="A746" s="1141">
        <v>300</v>
      </c>
      <c r="B746" s="1103" t="s">
        <v>4291</v>
      </c>
      <c r="C746" s="1141" t="s">
        <v>4606</v>
      </c>
      <c r="D746" s="1103" t="s">
        <v>3187</v>
      </c>
      <c r="E746" s="1267">
        <v>1270</v>
      </c>
      <c r="F746" s="1268">
        <v>44725617</v>
      </c>
      <c r="G746" s="1103" t="s">
        <v>4648</v>
      </c>
      <c r="H746" s="1103" t="s">
        <v>4649</v>
      </c>
      <c r="I746" s="1081" t="s">
        <v>3595</v>
      </c>
      <c r="J746" s="1081"/>
      <c r="K746" s="1376"/>
      <c r="L746" s="1081">
        <v>12</v>
      </c>
      <c r="M746" s="1139">
        <f t="shared" si="39"/>
        <v>15240</v>
      </c>
      <c r="N746" s="1269" t="s">
        <v>4650</v>
      </c>
      <c r="O746" s="1081">
        <v>6</v>
      </c>
      <c r="P746" s="1139">
        <f t="shared" si="38"/>
        <v>7620</v>
      </c>
    </row>
    <row r="747" spans="1:16" ht="24" x14ac:dyDescent="0.2">
      <c r="A747" s="1141">
        <v>300</v>
      </c>
      <c r="B747" s="1103" t="s">
        <v>4291</v>
      </c>
      <c r="C747" s="1141" t="s">
        <v>4606</v>
      </c>
      <c r="D747" s="1103" t="s">
        <v>3112</v>
      </c>
      <c r="E747" s="1267">
        <v>1100</v>
      </c>
      <c r="F747" s="1268">
        <v>48783103</v>
      </c>
      <c r="G747" s="1103" t="s">
        <v>4651</v>
      </c>
      <c r="H747" s="1103" t="s">
        <v>3109</v>
      </c>
      <c r="I747" s="1081" t="s">
        <v>3595</v>
      </c>
      <c r="J747" s="1081"/>
      <c r="K747" s="1376"/>
      <c r="L747" s="1081">
        <v>12</v>
      </c>
      <c r="M747" s="1139">
        <f t="shared" si="39"/>
        <v>13200</v>
      </c>
      <c r="N747" s="1269" t="s">
        <v>4652</v>
      </c>
      <c r="O747" s="1081">
        <v>6</v>
      </c>
      <c r="P747" s="1139">
        <f t="shared" si="38"/>
        <v>6600</v>
      </c>
    </row>
    <row r="748" spans="1:16" ht="24" x14ac:dyDescent="0.2">
      <c r="A748" s="1141">
        <v>300</v>
      </c>
      <c r="B748" s="1103" t="s">
        <v>4291</v>
      </c>
      <c r="C748" s="1141" t="s">
        <v>4606</v>
      </c>
      <c r="D748" s="1103" t="s">
        <v>4653</v>
      </c>
      <c r="E748" s="1267">
        <v>2500</v>
      </c>
      <c r="F748" s="1268">
        <v>75044</v>
      </c>
      <c r="G748" s="1103" t="s">
        <v>4654</v>
      </c>
      <c r="H748" s="1103" t="s">
        <v>4609</v>
      </c>
      <c r="I748" s="1081" t="s">
        <v>4615</v>
      </c>
      <c r="J748" s="1081"/>
      <c r="K748" s="1376"/>
      <c r="L748" s="1081">
        <v>12</v>
      </c>
      <c r="M748" s="1139">
        <f t="shared" si="39"/>
        <v>30000</v>
      </c>
      <c r="N748" s="1269" t="s">
        <v>4655</v>
      </c>
      <c r="O748" s="1081">
        <v>6</v>
      </c>
      <c r="P748" s="1139">
        <f t="shared" si="38"/>
        <v>15000</v>
      </c>
    </row>
    <row r="749" spans="1:16" ht="24" x14ac:dyDescent="0.2">
      <c r="A749" s="1141">
        <v>300</v>
      </c>
      <c r="B749" s="1103" t="s">
        <v>4291</v>
      </c>
      <c r="C749" s="1141" t="s">
        <v>4606</v>
      </c>
      <c r="D749" s="1103" t="s">
        <v>3112</v>
      </c>
      <c r="E749" s="1267">
        <v>1100</v>
      </c>
      <c r="F749" s="1268">
        <v>46948164</v>
      </c>
      <c r="G749" s="1103" t="s">
        <v>4656</v>
      </c>
      <c r="H749" s="1103" t="s">
        <v>3109</v>
      </c>
      <c r="I749" s="1081" t="s">
        <v>3595</v>
      </c>
      <c r="J749" s="1081"/>
      <c r="K749" s="1376"/>
      <c r="L749" s="1081">
        <v>12</v>
      </c>
      <c r="M749" s="1139">
        <f t="shared" si="39"/>
        <v>13200</v>
      </c>
      <c r="N749" s="1269" t="s">
        <v>4657</v>
      </c>
      <c r="O749" s="1081">
        <v>6</v>
      </c>
      <c r="P749" s="1139">
        <f t="shared" si="38"/>
        <v>6600</v>
      </c>
    </row>
    <row r="750" spans="1:16" ht="24" x14ac:dyDescent="0.2">
      <c r="A750" s="1141">
        <v>300</v>
      </c>
      <c r="B750" s="1103" t="s">
        <v>4291</v>
      </c>
      <c r="C750" s="1141" t="s">
        <v>4606</v>
      </c>
      <c r="D750" s="1103" t="s">
        <v>4658</v>
      </c>
      <c r="E750" s="1267">
        <v>2000</v>
      </c>
      <c r="F750" s="1268">
        <v>5954478</v>
      </c>
      <c r="G750" s="1103" t="s">
        <v>4659</v>
      </c>
      <c r="H750" s="1103" t="s">
        <v>4609</v>
      </c>
      <c r="I750" s="1081" t="s">
        <v>4615</v>
      </c>
      <c r="J750" s="1081"/>
      <c r="K750" s="1376"/>
      <c r="L750" s="1081">
        <v>12</v>
      </c>
      <c r="M750" s="1139">
        <f t="shared" si="39"/>
        <v>24000</v>
      </c>
      <c r="N750" s="1269" t="s">
        <v>4660</v>
      </c>
      <c r="O750" s="1081">
        <v>6</v>
      </c>
      <c r="P750" s="1139">
        <f t="shared" si="38"/>
        <v>12000</v>
      </c>
    </row>
    <row r="751" spans="1:16" ht="24" x14ac:dyDescent="0.2">
      <c r="A751" s="1141">
        <v>300</v>
      </c>
      <c r="B751" s="1103" t="s">
        <v>4291</v>
      </c>
      <c r="C751" s="1141" t="s">
        <v>4606</v>
      </c>
      <c r="D751" s="1103" t="s">
        <v>4661</v>
      </c>
      <c r="E751" s="1267">
        <v>3000</v>
      </c>
      <c r="F751" s="1268">
        <v>9158189</v>
      </c>
      <c r="G751" s="1103" t="s">
        <v>4662</v>
      </c>
      <c r="H751" s="1103" t="s">
        <v>4609</v>
      </c>
      <c r="I751" s="1081" t="s">
        <v>4615</v>
      </c>
      <c r="J751" s="1081"/>
      <c r="K751" s="1376"/>
      <c r="L751" s="1081">
        <v>12</v>
      </c>
      <c r="M751" s="1139">
        <f t="shared" si="39"/>
        <v>36000</v>
      </c>
      <c r="N751" s="1269" t="s">
        <v>4663</v>
      </c>
      <c r="O751" s="1081">
        <v>6</v>
      </c>
      <c r="P751" s="1139">
        <f t="shared" si="38"/>
        <v>18000</v>
      </c>
    </row>
    <row r="752" spans="1:16" ht="24" x14ac:dyDescent="0.2">
      <c r="A752" s="1141">
        <v>300</v>
      </c>
      <c r="B752" s="1103" t="s">
        <v>4291</v>
      </c>
      <c r="C752" s="1141" t="s">
        <v>4606</v>
      </c>
      <c r="D752" s="1103" t="s">
        <v>4664</v>
      </c>
      <c r="E752" s="1267">
        <v>1100</v>
      </c>
      <c r="F752" s="1268">
        <v>75848390</v>
      </c>
      <c r="G752" s="1103" t="s">
        <v>4665</v>
      </c>
      <c r="H752" s="1103" t="s">
        <v>4666</v>
      </c>
      <c r="I752" s="1081" t="s">
        <v>3595</v>
      </c>
      <c r="J752" s="1081"/>
      <c r="K752" s="1376"/>
      <c r="L752" s="1081">
        <v>12</v>
      </c>
      <c r="M752" s="1139">
        <f t="shared" si="39"/>
        <v>13200</v>
      </c>
      <c r="N752" s="1269" t="s">
        <v>4667</v>
      </c>
      <c r="O752" s="1081">
        <v>6</v>
      </c>
      <c r="P752" s="1139">
        <f t="shared" si="38"/>
        <v>6600</v>
      </c>
    </row>
    <row r="753" spans="1:16" ht="24" x14ac:dyDescent="0.2">
      <c r="A753" s="1141">
        <v>300</v>
      </c>
      <c r="B753" s="1103" t="s">
        <v>4291</v>
      </c>
      <c r="C753" s="1141" t="s">
        <v>4606</v>
      </c>
      <c r="D753" s="1103" t="s">
        <v>3187</v>
      </c>
      <c r="E753" s="1267">
        <v>1270</v>
      </c>
      <c r="F753" s="1268">
        <v>87020</v>
      </c>
      <c r="G753" s="1103" t="s">
        <v>4668</v>
      </c>
      <c r="H753" s="1103" t="s">
        <v>4630</v>
      </c>
      <c r="I753" s="1081"/>
      <c r="J753" s="1081"/>
      <c r="K753" s="1376"/>
      <c r="L753" s="1081">
        <v>12</v>
      </c>
      <c r="M753" s="1139">
        <f t="shared" si="39"/>
        <v>15240</v>
      </c>
      <c r="N753" s="1269" t="s">
        <v>4631</v>
      </c>
      <c r="O753" s="1081">
        <v>6</v>
      </c>
      <c r="P753" s="1139">
        <f t="shared" si="38"/>
        <v>7620</v>
      </c>
    </row>
    <row r="754" spans="1:16" x14ac:dyDescent="0.2">
      <c r="A754" s="1141"/>
      <c r="B754" s="1103"/>
      <c r="C754" s="1141"/>
      <c r="D754" s="1103"/>
      <c r="E754" s="1267"/>
      <c r="F754" s="1270"/>
      <c r="G754" s="1103"/>
      <c r="H754" s="1103"/>
      <c r="I754" s="1081"/>
      <c r="J754" s="1081"/>
      <c r="K754" s="1376"/>
      <c r="L754" s="1271"/>
      <c r="M754" s="1139"/>
      <c r="N754" s="1269"/>
      <c r="O754" s="1081"/>
      <c r="P754" s="1139"/>
    </row>
    <row r="755" spans="1:16" x14ac:dyDescent="0.2">
      <c r="A755" s="869"/>
      <c r="B755" s="433"/>
      <c r="C755" s="869"/>
      <c r="D755" s="1176"/>
      <c r="E755" s="1177">
        <f>SUM(E647:E754)</f>
        <v>208940</v>
      </c>
      <c r="F755" s="433"/>
      <c r="G755" s="1176"/>
      <c r="H755" s="1176"/>
      <c r="I755" s="1178"/>
      <c r="J755" s="1178"/>
      <c r="K755" s="1358"/>
      <c r="L755" s="1179"/>
      <c r="M755" s="1180">
        <f>SUM(M647:M754)</f>
        <v>1955163</v>
      </c>
      <c r="N755" s="1179"/>
      <c r="O755" s="1179"/>
      <c r="P755" s="1180">
        <f>SUM(P647:P754)</f>
        <v>913600</v>
      </c>
    </row>
    <row r="756" spans="1:16" x14ac:dyDescent="0.2">
      <c r="A756" s="60"/>
      <c r="B756" s="416"/>
      <c r="C756" s="60"/>
      <c r="D756" s="416"/>
      <c r="E756" s="564"/>
      <c r="F756" s="416"/>
      <c r="G756" s="416"/>
      <c r="H756" s="416"/>
      <c r="I756" s="415"/>
      <c r="J756" s="415"/>
      <c r="K756" s="945"/>
      <c r="L756" s="1143"/>
      <c r="M756" s="1120"/>
      <c r="N756" s="416"/>
      <c r="O756" s="416"/>
      <c r="P756" s="1120"/>
    </row>
    <row r="757" spans="1:16" x14ac:dyDescent="0.2">
      <c r="A757" s="1485" t="s">
        <v>435</v>
      </c>
      <c r="B757" s="1485"/>
      <c r="C757" s="1485"/>
      <c r="D757" s="1485"/>
      <c r="E757" s="1177"/>
      <c r="F757" s="1176"/>
      <c r="G757" s="1176"/>
      <c r="H757" s="1176"/>
      <c r="I757" s="1178"/>
      <c r="J757" s="1178"/>
      <c r="K757" s="1358"/>
      <c r="L757" s="1179"/>
      <c r="M757" s="1180"/>
      <c r="N757" s="1176"/>
      <c r="O757" s="1176"/>
      <c r="P757" s="1180"/>
    </row>
    <row r="758" spans="1:16" x14ac:dyDescent="0.2">
      <c r="A758" s="1529" t="s">
        <v>3075</v>
      </c>
      <c r="B758" s="1529"/>
      <c r="C758" s="1529"/>
      <c r="D758" s="1529"/>
      <c r="E758" s="1529"/>
      <c r="F758" s="1529" t="s">
        <v>3076</v>
      </c>
      <c r="G758" s="1529"/>
      <c r="H758" s="1529"/>
      <c r="I758" s="1529"/>
      <c r="J758" s="1529"/>
      <c r="K758" s="1528" t="s">
        <v>3077</v>
      </c>
      <c r="L758" s="1528"/>
      <c r="M758" s="1528"/>
      <c r="N758" s="1528" t="s">
        <v>3078</v>
      </c>
      <c r="O758" s="1528"/>
      <c r="P758" s="1528"/>
    </row>
    <row r="759" spans="1:16" ht="90" customHeight="1" x14ac:dyDescent="0.2">
      <c r="A759" s="869" t="s">
        <v>2829</v>
      </c>
      <c r="B759" s="433" t="s">
        <v>3079</v>
      </c>
      <c r="C759" s="869" t="s">
        <v>3080</v>
      </c>
      <c r="D759" s="433" t="s">
        <v>3081</v>
      </c>
      <c r="E759" s="699" t="s">
        <v>3082</v>
      </c>
      <c r="F759" s="433" t="s">
        <v>3083</v>
      </c>
      <c r="G759" s="433" t="s">
        <v>3084</v>
      </c>
      <c r="H759" s="433" t="s">
        <v>3085</v>
      </c>
      <c r="I759" s="433" t="s">
        <v>3086</v>
      </c>
      <c r="J759" s="433" t="s">
        <v>3087</v>
      </c>
      <c r="K759" s="1354" t="s">
        <v>3088</v>
      </c>
      <c r="L759" s="1157" t="s">
        <v>3089</v>
      </c>
      <c r="M759" s="698" t="s">
        <v>3090</v>
      </c>
      <c r="N759" s="1157" t="s">
        <v>3088</v>
      </c>
      <c r="O759" s="1157" t="s">
        <v>3089</v>
      </c>
      <c r="P759" s="698" t="s">
        <v>3090</v>
      </c>
    </row>
    <row r="760" spans="1:16" ht="24" x14ac:dyDescent="0.2">
      <c r="A760" s="1152" t="s">
        <v>4669</v>
      </c>
      <c r="B760" s="416" t="s">
        <v>3998</v>
      </c>
      <c r="C760" s="60" t="s">
        <v>398</v>
      </c>
      <c r="D760" s="1086" t="s">
        <v>4670</v>
      </c>
      <c r="E760" s="1087">
        <v>3000</v>
      </c>
      <c r="F760" s="1088">
        <v>71220193</v>
      </c>
      <c r="G760" s="1086" t="s">
        <v>4671</v>
      </c>
      <c r="H760" s="1086" t="s">
        <v>4670</v>
      </c>
      <c r="I760" s="415"/>
      <c r="J760" s="415"/>
      <c r="K760" s="1363"/>
      <c r="L760" s="1120"/>
      <c r="M760" s="1087">
        <v>3000</v>
      </c>
      <c r="N760" s="1119">
        <v>6</v>
      </c>
      <c r="O760" s="1119">
        <v>6</v>
      </c>
      <c r="P760" s="1087">
        <v>3000</v>
      </c>
    </row>
    <row r="761" spans="1:16" x14ac:dyDescent="0.2">
      <c r="A761" s="1152" t="s">
        <v>4669</v>
      </c>
      <c r="B761" s="416" t="s">
        <v>3998</v>
      </c>
      <c r="C761" s="60" t="s">
        <v>398</v>
      </c>
      <c r="D761" s="1086" t="s">
        <v>4672</v>
      </c>
      <c r="E761" s="1087">
        <v>1600</v>
      </c>
      <c r="F761" s="1088">
        <v>42508499</v>
      </c>
      <c r="G761" s="1086" t="s">
        <v>4673</v>
      </c>
      <c r="H761" s="1086" t="s">
        <v>4672</v>
      </c>
      <c r="I761" s="415"/>
      <c r="J761" s="415"/>
      <c r="K761" s="1363"/>
      <c r="L761" s="1120"/>
      <c r="M761" s="1087">
        <v>1600</v>
      </c>
      <c r="N761" s="1119">
        <v>6</v>
      </c>
      <c r="O761" s="1119">
        <v>6</v>
      </c>
      <c r="P761" s="1087">
        <v>1600</v>
      </c>
    </row>
    <row r="762" spans="1:16" x14ac:dyDescent="0.2">
      <c r="A762" s="1152" t="s">
        <v>4669</v>
      </c>
      <c r="B762" s="416" t="s">
        <v>3998</v>
      </c>
      <c r="C762" s="60" t="s">
        <v>398</v>
      </c>
      <c r="D762" s="1086" t="s">
        <v>4672</v>
      </c>
      <c r="E762" s="1087">
        <v>1800</v>
      </c>
      <c r="F762" s="1088">
        <v>71538173</v>
      </c>
      <c r="G762" s="1086" t="s">
        <v>4674</v>
      </c>
      <c r="H762" s="1086" t="s">
        <v>4672</v>
      </c>
      <c r="I762" s="415"/>
      <c r="J762" s="415"/>
      <c r="K762" s="1363"/>
      <c r="L762" s="1120"/>
      <c r="M762" s="1087">
        <v>1800</v>
      </c>
      <c r="N762" s="1119">
        <v>6</v>
      </c>
      <c r="O762" s="1119">
        <v>6</v>
      </c>
      <c r="P762" s="1087">
        <v>1800</v>
      </c>
    </row>
    <row r="763" spans="1:16" x14ac:dyDescent="0.2">
      <c r="A763" s="1152" t="s">
        <v>4669</v>
      </c>
      <c r="B763" s="416" t="s">
        <v>3998</v>
      </c>
      <c r="C763" s="60" t="s">
        <v>398</v>
      </c>
      <c r="D763" s="1086" t="s">
        <v>3134</v>
      </c>
      <c r="E763" s="1087">
        <v>1400</v>
      </c>
      <c r="F763" s="1088">
        <v>46454824</v>
      </c>
      <c r="G763" s="1086" t="s">
        <v>4675</v>
      </c>
      <c r="H763" s="1086" t="s">
        <v>3134</v>
      </c>
      <c r="I763" s="415"/>
      <c r="J763" s="415"/>
      <c r="K763" s="1363"/>
      <c r="L763" s="1120"/>
      <c r="M763" s="1087">
        <v>1400</v>
      </c>
      <c r="N763" s="1119">
        <v>6</v>
      </c>
      <c r="O763" s="1119">
        <v>6</v>
      </c>
      <c r="P763" s="1087">
        <v>1400</v>
      </c>
    </row>
    <row r="764" spans="1:16" x14ac:dyDescent="0.2">
      <c r="A764" s="1152" t="s">
        <v>4669</v>
      </c>
      <c r="B764" s="416" t="s">
        <v>3998</v>
      </c>
      <c r="C764" s="60" t="s">
        <v>398</v>
      </c>
      <c r="D764" s="1086" t="s">
        <v>3187</v>
      </c>
      <c r="E764" s="1087">
        <v>1200</v>
      </c>
      <c r="F764" s="1088">
        <v>21144723</v>
      </c>
      <c r="G764" s="1086" t="s">
        <v>4676</v>
      </c>
      <c r="H764" s="1086" t="s">
        <v>3187</v>
      </c>
      <c r="I764" s="415"/>
      <c r="J764" s="415"/>
      <c r="K764" s="1363"/>
      <c r="L764" s="1120"/>
      <c r="M764" s="1087">
        <v>1200</v>
      </c>
      <c r="N764" s="1119">
        <v>6</v>
      </c>
      <c r="O764" s="1119">
        <v>6</v>
      </c>
      <c r="P764" s="1087">
        <v>1200</v>
      </c>
    </row>
    <row r="765" spans="1:16" ht="36" x14ac:dyDescent="0.2">
      <c r="A765" s="1152" t="s">
        <v>4669</v>
      </c>
      <c r="B765" s="416" t="s">
        <v>3998</v>
      </c>
      <c r="C765" s="60" t="s">
        <v>398</v>
      </c>
      <c r="D765" s="1086" t="s">
        <v>4677</v>
      </c>
      <c r="E765" s="1087">
        <v>1800</v>
      </c>
      <c r="F765" s="1088">
        <v>43582190</v>
      </c>
      <c r="G765" s="1086" t="s">
        <v>4678</v>
      </c>
      <c r="H765" s="1086" t="s">
        <v>4677</v>
      </c>
      <c r="I765" s="415"/>
      <c r="J765" s="415"/>
      <c r="K765" s="945"/>
      <c r="L765" s="1143"/>
      <c r="M765" s="1087">
        <v>1800</v>
      </c>
      <c r="N765" s="1119">
        <v>6</v>
      </c>
      <c r="O765" s="1119">
        <v>6</v>
      </c>
      <c r="P765" s="1087">
        <v>1800</v>
      </c>
    </row>
    <row r="766" spans="1:16" ht="24" x14ac:dyDescent="0.2">
      <c r="A766" s="1152" t="s">
        <v>4669</v>
      </c>
      <c r="B766" s="416" t="s">
        <v>3998</v>
      </c>
      <c r="C766" s="60" t="s">
        <v>398</v>
      </c>
      <c r="D766" s="1086" t="s">
        <v>4679</v>
      </c>
      <c r="E766" s="1087">
        <v>1200</v>
      </c>
      <c r="F766" s="1088">
        <v>74205264</v>
      </c>
      <c r="G766" s="1086" t="s">
        <v>4680</v>
      </c>
      <c r="H766" s="1086" t="s">
        <v>4679</v>
      </c>
      <c r="I766" s="415"/>
      <c r="J766" s="415"/>
      <c r="K766" s="945"/>
      <c r="L766" s="1143"/>
      <c r="M766" s="1087">
        <v>1200</v>
      </c>
      <c r="N766" s="1119">
        <v>6</v>
      </c>
      <c r="O766" s="1119">
        <v>6</v>
      </c>
      <c r="P766" s="1087">
        <v>1200</v>
      </c>
    </row>
    <row r="767" spans="1:16" ht="24" x14ac:dyDescent="0.2">
      <c r="A767" s="1152" t="s">
        <v>4669</v>
      </c>
      <c r="B767" s="416" t="s">
        <v>3998</v>
      </c>
      <c r="C767" s="60" t="s">
        <v>398</v>
      </c>
      <c r="D767" s="1086" t="s">
        <v>3112</v>
      </c>
      <c r="E767" s="1087">
        <v>1600</v>
      </c>
      <c r="F767" s="1088">
        <v>42891626</v>
      </c>
      <c r="G767" s="1086" t="s">
        <v>4681</v>
      </c>
      <c r="H767" s="1086" t="s">
        <v>3112</v>
      </c>
      <c r="I767" s="415"/>
      <c r="J767" s="415"/>
      <c r="K767" s="945"/>
      <c r="L767" s="1143"/>
      <c r="M767" s="1087">
        <v>1600</v>
      </c>
      <c r="N767" s="1119">
        <v>6</v>
      </c>
      <c r="O767" s="1119">
        <v>6</v>
      </c>
      <c r="P767" s="1087">
        <v>1600</v>
      </c>
    </row>
    <row r="768" spans="1:16" ht="24" x14ac:dyDescent="0.2">
      <c r="A768" s="1152" t="s">
        <v>4669</v>
      </c>
      <c r="B768" s="416" t="s">
        <v>3998</v>
      </c>
      <c r="C768" s="60" t="s">
        <v>398</v>
      </c>
      <c r="D768" s="1086" t="s">
        <v>3100</v>
      </c>
      <c r="E768" s="1087">
        <v>1800</v>
      </c>
      <c r="F768" s="1088">
        <v>44372476</v>
      </c>
      <c r="G768" s="1086" t="s">
        <v>4682</v>
      </c>
      <c r="H768" s="1086" t="s">
        <v>3100</v>
      </c>
      <c r="I768" s="415"/>
      <c r="J768" s="415"/>
      <c r="K768" s="945"/>
      <c r="L768" s="1143"/>
      <c r="M768" s="1087">
        <v>1800</v>
      </c>
      <c r="N768" s="1119">
        <v>6</v>
      </c>
      <c r="O768" s="1119">
        <v>6</v>
      </c>
      <c r="P768" s="1087">
        <v>1800</v>
      </c>
    </row>
    <row r="769" spans="1:16" x14ac:dyDescent="0.2">
      <c r="A769" s="1152" t="s">
        <v>4669</v>
      </c>
      <c r="B769" s="416" t="s">
        <v>3998</v>
      </c>
      <c r="C769" s="60" t="s">
        <v>398</v>
      </c>
      <c r="D769" s="1086" t="s">
        <v>3134</v>
      </c>
      <c r="E769" s="1087">
        <v>1300</v>
      </c>
      <c r="F769" s="1088">
        <v>45026448</v>
      </c>
      <c r="G769" s="1086" t="s">
        <v>4683</v>
      </c>
      <c r="H769" s="1086" t="s">
        <v>3134</v>
      </c>
      <c r="I769" s="415"/>
      <c r="J769" s="415"/>
      <c r="K769" s="945"/>
      <c r="L769" s="1143"/>
      <c r="M769" s="1087">
        <v>1300</v>
      </c>
      <c r="N769" s="1119">
        <v>6</v>
      </c>
      <c r="O769" s="1119">
        <v>6</v>
      </c>
      <c r="P769" s="1087">
        <v>1300</v>
      </c>
    </row>
    <row r="770" spans="1:16" ht="24" x14ac:dyDescent="0.2">
      <c r="A770" s="1152" t="s">
        <v>4669</v>
      </c>
      <c r="B770" s="416" t="s">
        <v>3998</v>
      </c>
      <c r="C770" s="60" t="s">
        <v>398</v>
      </c>
      <c r="D770" s="1086" t="s">
        <v>3112</v>
      </c>
      <c r="E770" s="1087">
        <v>1300</v>
      </c>
      <c r="F770" s="1088">
        <v>71415888</v>
      </c>
      <c r="G770" s="1086" t="s">
        <v>4684</v>
      </c>
      <c r="H770" s="1086" t="s">
        <v>3112</v>
      </c>
      <c r="I770" s="415"/>
      <c r="J770" s="415"/>
      <c r="K770" s="945"/>
      <c r="L770" s="1143"/>
      <c r="M770" s="1087">
        <v>1300</v>
      </c>
      <c r="N770" s="1119">
        <v>6</v>
      </c>
      <c r="O770" s="1119">
        <v>6</v>
      </c>
      <c r="P770" s="1087">
        <v>1300</v>
      </c>
    </row>
    <row r="771" spans="1:16" x14ac:dyDescent="0.2">
      <c r="A771" s="1152" t="s">
        <v>4669</v>
      </c>
      <c r="B771" s="416" t="s">
        <v>3998</v>
      </c>
      <c r="C771" s="60" t="s">
        <v>398</v>
      </c>
      <c r="D771" s="1086" t="s">
        <v>4646</v>
      </c>
      <c r="E771" s="1087">
        <v>1500</v>
      </c>
      <c r="F771" s="1088">
        <v>40599553</v>
      </c>
      <c r="G771" s="1086" t="s">
        <v>4685</v>
      </c>
      <c r="H771" s="1086" t="s">
        <v>4646</v>
      </c>
      <c r="I771" s="415"/>
      <c r="J771" s="415"/>
      <c r="K771" s="945"/>
      <c r="L771" s="416"/>
      <c r="M771" s="1087">
        <v>1500</v>
      </c>
      <c r="N771" s="1119">
        <v>6</v>
      </c>
      <c r="O771" s="1119">
        <v>6</v>
      </c>
      <c r="P771" s="1087">
        <v>1500</v>
      </c>
    </row>
    <row r="772" spans="1:16" ht="24" x14ac:dyDescent="0.2">
      <c r="A772" s="1152" t="s">
        <v>4669</v>
      </c>
      <c r="B772" s="416" t="s">
        <v>3998</v>
      </c>
      <c r="C772" s="60" t="s">
        <v>398</v>
      </c>
      <c r="D772" s="1086" t="s">
        <v>4686</v>
      </c>
      <c r="E772" s="1087">
        <v>1500</v>
      </c>
      <c r="F772" s="1088">
        <v>125426</v>
      </c>
      <c r="G772" s="1086" t="s">
        <v>4687</v>
      </c>
      <c r="H772" s="1086" t="s">
        <v>4686</v>
      </c>
      <c r="I772" s="415"/>
      <c r="J772" s="415"/>
      <c r="K772" s="945"/>
      <c r="L772" s="416"/>
      <c r="M772" s="1087">
        <v>1500</v>
      </c>
      <c r="N772" s="1119">
        <v>6</v>
      </c>
      <c r="O772" s="1119">
        <v>6</v>
      </c>
      <c r="P772" s="1087">
        <v>1500</v>
      </c>
    </row>
    <row r="773" spans="1:16" ht="24" x14ac:dyDescent="0.2">
      <c r="A773" s="1152" t="s">
        <v>4669</v>
      </c>
      <c r="B773" s="416" t="s">
        <v>3998</v>
      </c>
      <c r="C773" s="60" t="s">
        <v>398</v>
      </c>
      <c r="D773" s="1086" t="s">
        <v>4688</v>
      </c>
      <c r="E773" s="1087">
        <v>1700</v>
      </c>
      <c r="F773" s="1088">
        <v>5112</v>
      </c>
      <c r="G773" s="1086" t="s">
        <v>4689</v>
      </c>
      <c r="H773" s="1086" t="s">
        <v>4688</v>
      </c>
      <c r="I773" s="415"/>
      <c r="J773" s="415"/>
      <c r="K773" s="945"/>
      <c r="L773" s="416"/>
      <c r="M773" s="1087">
        <v>1700</v>
      </c>
      <c r="N773" s="1119">
        <v>6</v>
      </c>
      <c r="O773" s="1119">
        <v>6</v>
      </c>
      <c r="P773" s="1087">
        <v>1700</v>
      </c>
    </row>
    <row r="774" spans="1:16" ht="24" x14ac:dyDescent="0.2">
      <c r="A774" s="1152" t="s">
        <v>4669</v>
      </c>
      <c r="B774" s="416" t="s">
        <v>3998</v>
      </c>
      <c r="C774" s="60" t="s">
        <v>398</v>
      </c>
      <c r="D774" s="1086" t="s">
        <v>3112</v>
      </c>
      <c r="E774" s="1087">
        <v>1500</v>
      </c>
      <c r="F774" s="1088">
        <v>41606916</v>
      </c>
      <c r="G774" s="1086" t="s">
        <v>4690</v>
      </c>
      <c r="H774" s="1086" t="s">
        <v>3112</v>
      </c>
      <c r="I774" s="415"/>
      <c r="J774" s="415"/>
      <c r="K774" s="945"/>
      <c r="L774" s="416"/>
      <c r="M774" s="1087">
        <v>1500</v>
      </c>
      <c r="N774" s="1119">
        <v>6</v>
      </c>
      <c r="O774" s="1119">
        <v>6</v>
      </c>
      <c r="P774" s="1087">
        <v>1500</v>
      </c>
    </row>
    <row r="775" spans="1:16" ht="24" x14ac:dyDescent="0.2">
      <c r="A775" s="1152" t="s">
        <v>4669</v>
      </c>
      <c r="B775" s="416" t="s">
        <v>3998</v>
      </c>
      <c r="C775" s="60" t="s">
        <v>398</v>
      </c>
      <c r="D775" s="1086" t="s">
        <v>4691</v>
      </c>
      <c r="E775" s="1087">
        <v>1700</v>
      </c>
      <c r="F775" s="1088">
        <v>45223409</v>
      </c>
      <c r="G775" s="1086" t="s">
        <v>4692</v>
      </c>
      <c r="H775" s="1086" t="s">
        <v>4691</v>
      </c>
      <c r="I775" s="415"/>
      <c r="J775" s="415"/>
      <c r="K775" s="945"/>
      <c r="L775" s="416"/>
      <c r="M775" s="1087">
        <v>1700</v>
      </c>
      <c r="N775" s="1119">
        <v>6</v>
      </c>
      <c r="O775" s="1119">
        <v>6</v>
      </c>
      <c r="P775" s="1087">
        <v>1700</v>
      </c>
    </row>
    <row r="776" spans="1:16" x14ac:dyDescent="0.2">
      <c r="A776" s="1152" t="s">
        <v>4669</v>
      </c>
      <c r="B776" s="416" t="s">
        <v>3998</v>
      </c>
      <c r="C776" s="60" t="s">
        <v>398</v>
      </c>
      <c r="D776" s="1086" t="s">
        <v>4672</v>
      </c>
      <c r="E776" s="1087">
        <v>1500</v>
      </c>
      <c r="F776" s="1088">
        <v>40234690</v>
      </c>
      <c r="G776" s="1086" t="s">
        <v>4693</v>
      </c>
      <c r="H776" s="1086" t="s">
        <v>4672</v>
      </c>
      <c r="I776" s="415"/>
      <c r="J776" s="415"/>
      <c r="K776" s="945"/>
      <c r="L776" s="416"/>
      <c r="M776" s="1087">
        <v>1500</v>
      </c>
      <c r="N776" s="1119">
        <v>6</v>
      </c>
      <c r="O776" s="1119">
        <v>6</v>
      </c>
      <c r="P776" s="1087">
        <v>1500</v>
      </c>
    </row>
    <row r="777" spans="1:16" x14ac:dyDescent="0.2">
      <c r="A777" s="1152" t="s">
        <v>4669</v>
      </c>
      <c r="B777" s="416" t="s">
        <v>3998</v>
      </c>
      <c r="C777" s="60" t="s">
        <v>398</v>
      </c>
      <c r="D777" s="1086" t="s">
        <v>3103</v>
      </c>
      <c r="E777" s="1087">
        <v>2000</v>
      </c>
      <c r="F777" s="1088">
        <v>42917305</v>
      </c>
      <c r="G777" s="1086" t="s">
        <v>4694</v>
      </c>
      <c r="H777" s="1086" t="s">
        <v>3103</v>
      </c>
      <c r="I777" s="415"/>
      <c r="J777" s="415"/>
      <c r="K777" s="945"/>
      <c r="L777" s="416"/>
      <c r="M777" s="1087">
        <v>2000</v>
      </c>
      <c r="N777" s="1119">
        <v>6</v>
      </c>
      <c r="O777" s="1119">
        <v>6</v>
      </c>
      <c r="P777" s="1087">
        <v>2000</v>
      </c>
    </row>
    <row r="778" spans="1:16" x14ac:dyDescent="0.2">
      <c r="A778" s="1152" t="s">
        <v>4669</v>
      </c>
      <c r="B778" s="416" t="s">
        <v>3998</v>
      </c>
      <c r="C778" s="60" t="s">
        <v>398</v>
      </c>
      <c r="D778" s="1086" t="s">
        <v>3305</v>
      </c>
      <c r="E778" s="1087">
        <v>2000</v>
      </c>
      <c r="F778" s="1088">
        <v>87744</v>
      </c>
      <c r="G778" s="1086" t="s">
        <v>4695</v>
      </c>
      <c r="H778" s="1086" t="s">
        <v>3305</v>
      </c>
      <c r="I778" s="415"/>
      <c r="J778" s="415"/>
      <c r="K778" s="945"/>
      <c r="L778" s="416"/>
      <c r="M778" s="1087">
        <v>2000</v>
      </c>
      <c r="N778" s="1119">
        <v>6</v>
      </c>
      <c r="O778" s="1119">
        <v>6</v>
      </c>
      <c r="P778" s="1087">
        <v>2000</v>
      </c>
    </row>
    <row r="779" spans="1:16" ht="24" x14ac:dyDescent="0.2">
      <c r="A779" s="1152" t="s">
        <v>4669</v>
      </c>
      <c r="B779" s="416" t="s">
        <v>3998</v>
      </c>
      <c r="C779" s="60" t="s">
        <v>398</v>
      </c>
      <c r="D779" s="1086" t="s">
        <v>4696</v>
      </c>
      <c r="E779" s="1087">
        <v>3500</v>
      </c>
      <c r="F779" s="1088">
        <v>127909</v>
      </c>
      <c r="G779" s="1086" t="s">
        <v>4697</v>
      </c>
      <c r="H779" s="1086" t="s">
        <v>4696</v>
      </c>
      <c r="I779" s="415"/>
      <c r="J779" s="415"/>
      <c r="K779" s="945"/>
      <c r="L779" s="416"/>
      <c r="M779" s="1087">
        <v>3500</v>
      </c>
      <c r="N779" s="1119">
        <v>6</v>
      </c>
      <c r="O779" s="1119">
        <v>6</v>
      </c>
      <c r="P779" s="1087">
        <v>3500</v>
      </c>
    </row>
    <row r="780" spans="1:16" ht="24" x14ac:dyDescent="0.2">
      <c r="A780" s="1152" t="s">
        <v>4669</v>
      </c>
      <c r="B780" s="416" t="s">
        <v>3998</v>
      </c>
      <c r="C780" s="60" t="s">
        <v>398</v>
      </c>
      <c r="D780" s="1086" t="s">
        <v>4698</v>
      </c>
      <c r="E780" s="1087">
        <v>1400</v>
      </c>
      <c r="F780" s="1088">
        <v>46455028</v>
      </c>
      <c r="G780" s="1086" t="s">
        <v>4699</v>
      </c>
      <c r="H780" s="1086" t="s">
        <v>4698</v>
      </c>
      <c r="I780" s="415"/>
      <c r="J780" s="415"/>
      <c r="K780" s="945"/>
      <c r="L780" s="416"/>
      <c r="M780" s="1087">
        <v>1400</v>
      </c>
      <c r="N780" s="1119">
        <v>6</v>
      </c>
      <c r="O780" s="1119">
        <v>6</v>
      </c>
      <c r="P780" s="1087">
        <v>1400</v>
      </c>
    </row>
    <row r="781" spans="1:16" x14ac:dyDescent="0.2">
      <c r="A781" s="1152" t="s">
        <v>4669</v>
      </c>
      <c r="B781" s="416" t="s">
        <v>3998</v>
      </c>
      <c r="C781" s="60" t="s">
        <v>398</v>
      </c>
      <c r="D781" s="1086" t="s">
        <v>3103</v>
      </c>
      <c r="E781" s="1087">
        <v>1500</v>
      </c>
      <c r="F781" s="1088">
        <v>46227141</v>
      </c>
      <c r="G781" s="1086" t="s">
        <v>4700</v>
      </c>
      <c r="H781" s="1086" t="s">
        <v>3103</v>
      </c>
      <c r="I781" s="415"/>
      <c r="J781" s="415"/>
      <c r="K781" s="945"/>
      <c r="L781" s="416"/>
      <c r="M781" s="1087">
        <v>1500</v>
      </c>
      <c r="N781" s="1119">
        <v>6</v>
      </c>
      <c r="O781" s="1119">
        <v>6</v>
      </c>
      <c r="P781" s="1087">
        <v>1500</v>
      </c>
    </row>
    <row r="782" spans="1:16" x14ac:dyDescent="0.2">
      <c r="A782" s="1152" t="s">
        <v>4669</v>
      </c>
      <c r="B782" s="416" t="s">
        <v>3998</v>
      </c>
      <c r="C782" s="60" t="s">
        <v>398</v>
      </c>
      <c r="D782" s="1086" t="s">
        <v>4672</v>
      </c>
      <c r="E782" s="1087">
        <v>1500</v>
      </c>
      <c r="F782" s="1088">
        <v>40323803</v>
      </c>
      <c r="G782" s="1086" t="s">
        <v>4701</v>
      </c>
      <c r="H782" s="1086" t="s">
        <v>4672</v>
      </c>
      <c r="I782" s="415"/>
      <c r="J782" s="415"/>
      <c r="K782" s="945"/>
      <c r="L782" s="416"/>
      <c r="M782" s="1087">
        <v>1500</v>
      </c>
      <c r="N782" s="1119">
        <v>6</v>
      </c>
      <c r="O782" s="1119">
        <v>6</v>
      </c>
      <c r="P782" s="1087">
        <v>1500</v>
      </c>
    </row>
    <row r="783" spans="1:16" ht="24" x14ac:dyDescent="0.2">
      <c r="A783" s="1152" t="s">
        <v>4669</v>
      </c>
      <c r="B783" s="416" t="s">
        <v>3998</v>
      </c>
      <c r="C783" s="60" t="s">
        <v>398</v>
      </c>
      <c r="D783" s="1086" t="s">
        <v>4702</v>
      </c>
      <c r="E783" s="1087">
        <v>1500</v>
      </c>
      <c r="F783" s="1088">
        <v>47335703</v>
      </c>
      <c r="G783" s="1086" t="s">
        <v>4703</v>
      </c>
      <c r="H783" s="1086" t="s">
        <v>4702</v>
      </c>
      <c r="I783" s="415"/>
      <c r="J783" s="415"/>
      <c r="K783" s="945"/>
      <c r="L783" s="416"/>
      <c r="M783" s="1087">
        <v>1500</v>
      </c>
      <c r="N783" s="1119">
        <v>6</v>
      </c>
      <c r="O783" s="1119">
        <v>6</v>
      </c>
      <c r="P783" s="1087">
        <v>1500</v>
      </c>
    </row>
    <row r="784" spans="1:16" x14ac:dyDescent="0.2">
      <c r="A784" s="1152" t="s">
        <v>4669</v>
      </c>
      <c r="B784" s="416" t="s">
        <v>3998</v>
      </c>
      <c r="C784" s="60" t="s">
        <v>398</v>
      </c>
      <c r="D784" s="1086" t="s">
        <v>4672</v>
      </c>
      <c r="E784" s="1087">
        <v>1600</v>
      </c>
      <c r="F784" s="1088">
        <v>123899</v>
      </c>
      <c r="G784" s="1086" t="s">
        <v>4704</v>
      </c>
      <c r="H784" s="1086" t="s">
        <v>4672</v>
      </c>
      <c r="I784" s="415"/>
      <c r="J784" s="415"/>
      <c r="K784" s="945"/>
      <c r="L784" s="416"/>
      <c r="M784" s="1087">
        <v>1600</v>
      </c>
      <c r="N784" s="1119">
        <v>6</v>
      </c>
      <c r="O784" s="1119">
        <v>6</v>
      </c>
      <c r="P784" s="1087">
        <v>1600</v>
      </c>
    </row>
    <row r="785" spans="1:16" ht="36" x14ac:dyDescent="0.2">
      <c r="A785" s="1152" t="s">
        <v>4669</v>
      </c>
      <c r="B785" s="416" t="s">
        <v>3998</v>
      </c>
      <c r="C785" s="60" t="s">
        <v>398</v>
      </c>
      <c r="D785" s="1086" t="s">
        <v>4705</v>
      </c>
      <c r="E785" s="1087">
        <v>2500</v>
      </c>
      <c r="F785" s="1088">
        <v>43887900</v>
      </c>
      <c r="G785" s="1086" t="s">
        <v>4706</v>
      </c>
      <c r="H785" s="1086" t="s">
        <v>4705</v>
      </c>
      <c r="I785" s="415"/>
      <c r="J785" s="415"/>
      <c r="K785" s="945"/>
      <c r="L785" s="416"/>
      <c r="M785" s="1087">
        <v>2500</v>
      </c>
      <c r="N785" s="1119">
        <v>6</v>
      </c>
      <c r="O785" s="1119">
        <v>6</v>
      </c>
      <c r="P785" s="1087">
        <v>2500</v>
      </c>
    </row>
    <row r="786" spans="1:16" ht="24" x14ac:dyDescent="0.2">
      <c r="A786" s="1152" t="s">
        <v>4669</v>
      </c>
      <c r="B786" s="416" t="s">
        <v>3998</v>
      </c>
      <c r="C786" s="60" t="s">
        <v>398</v>
      </c>
      <c r="D786" s="1086" t="s">
        <v>4664</v>
      </c>
      <c r="E786" s="1087">
        <v>1700</v>
      </c>
      <c r="F786" s="1088">
        <v>46605695</v>
      </c>
      <c r="G786" s="1086" t="s">
        <v>4707</v>
      </c>
      <c r="H786" s="1086" t="s">
        <v>4664</v>
      </c>
      <c r="I786" s="415"/>
      <c r="J786" s="415"/>
      <c r="K786" s="945"/>
      <c r="L786" s="416"/>
      <c r="M786" s="1087">
        <v>1700</v>
      </c>
      <c r="N786" s="1119">
        <v>6</v>
      </c>
      <c r="O786" s="1119">
        <v>6</v>
      </c>
      <c r="P786" s="1087">
        <v>1700</v>
      </c>
    </row>
    <row r="787" spans="1:16" x14ac:dyDescent="0.2">
      <c r="A787" s="1152" t="s">
        <v>4669</v>
      </c>
      <c r="B787" s="416" t="s">
        <v>3998</v>
      </c>
      <c r="C787" s="60" t="s">
        <v>398</v>
      </c>
      <c r="D787" s="1086" t="s">
        <v>3103</v>
      </c>
      <c r="E787" s="1087">
        <v>3000</v>
      </c>
      <c r="F787" s="1088">
        <v>71447681</v>
      </c>
      <c r="G787" s="1086" t="s">
        <v>4708</v>
      </c>
      <c r="H787" s="1086" t="s">
        <v>3103</v>
      </c>
      <c r="I787" s="415"/>
      <c r="J787" s="415"/>
      <c r="K787" s="945"/>
      <c r="L787" s="416"/>
      <c r="M787" s="1087">
        <v>3000</v>
      </c>
      <c r="N787" s="1119">
        <v>6</v>
      </c>
      <c r="O787" s="1119">
        <v>6</v>
      </c>
      <c r="P787" s="1087">
        <v>3000</v>
      </c>
    </row>
    <row r="788" spans="1:16" x14ac:dyDescent="0.2">
      <c r="A788" s="1152" t="s">
        <v>4669</v>
      </c>
      <c r="B788" s="416" t="s">
        <v>3998</v>
      </c>
      <c r="C788" s="60" t="s">
        <v>398</v>
      </c>
      <c r="D788" s="1086" t="s">
        <v>4672</v>
      </c>
      <c r="E788" s="1087">
        <v>1300</v>
      </c>
      <c r="F788" s="1088">
        <v>48427176</v>
      </c>
      <c r="G788" s="1086" t="s">
        <v>4709</v>
      </c>
      <c r="H788" s="1086" t="s">
        <v>4672</v>
      </c>
      <c r="I788" s="415"/>
      <c r="J788" s="415"/>
      <c r="K788" s="945"/>
      <c r="L788" s="416"/>
      <c r="M788" s="1087">
        <v>1300</v>
      </c>
      <c r="N788" s="1119">
        <v>6</v>
      </c>
      <c r="O788" s="1119">
        <v>6</v>
      </c>
      <c r="P788" s="1087">
        <v>1300</v>
      </c>
    </row>
    <row r="789" spans="1:16" x14ac:dyDescent="0.2">
      <c r="A789" s="1152" t="s">
        <v>4669</v>
      </c>
      <c r="B789" s="416" t="s">
        <v>3998</v>
      </c>
      <c r="C789" s="60" t="s">
        <v>398</v>
      </c>
      <c r="D789" s="1086" t="s">
        <v>4672</v>
      </c>
      <c r="E789" s="1087">
        <v>1500</v>
      </c>
      <c r="F789" s="1088">
        <v>104816</v>
      </c>
      <c r="G789" s="1086" t="s">
        <v>4710</v>
      </c>
      <c r="H789" s="1086" t="s">
        <v>4672</v>
      </c>
      <c r="I789" s="415"/>
      <c r="J789" s="415"/>
      <c r="K789" s="945"/>
      <c r="L789" s="416"/>
      <c r="M789" s="1087">
        <v>1500</v>
      </c>
      <c r="N789" s="1119">
        <v>6</v>
      </c>
      <c r="O789" s="1119">
        <v>6</v>
      </c>
      <c r="P789" s="1087">
        <v>1500</v>
      </c>
    </row>
    <row r="790" spans="1:16" x14ac:dyDescent="0.2">
      <c r="A790" s="1152" t="s">
        <v>4669</v>
      </c>
      <c r="B790" s="416" t="s">
        <v>3998</v>
      </c>
      <c r="C790" s="60" t="s">
        <v>398</v>
      </c>
      <c r="D790" s="1086" t="s">
        <v>4672</v>
      </c>
      <c r="E790" s="1087">
        <v>1100</v>
      </c>
      <c r="F790" s="1088">
        <v>80398116</v>
      </c>
      <c r="G790" s="1086" t="s">
        <v>4711</v>
      </c>
      <c r="H790" s="1086" t="s">
        <v>4672</v>
      </c>
      <c r="I790" s="415"/>
      <c r="J790" s="415"/>
      <c r="K790" s="945"/>
      <c r="L790" s="416"/>
      <c r="M790" s="1087">
        <v>1100</v>
      </c>
      <c r="N790" s="1119">
        <v>6</v>
      </c>
      <c r="O790" s="1119">
        <v>6</v>
      </c>
      <c r="P790" s="1087">
        <v>1100</v>
      </c>
    </row>
    <row r="791" spans="1:16" ht="24" x14ac:dyDescent="0.2">
      <c r="A791" s="1152" t="s">
        <v>4669</v>
      </c>
      <c r="B791" s="416" t="s">
        <v>3998</v>
      </c>
      <c r="C791" s="60" t="s">
        <v>398</v>
      </c>
      <c r="D791" s="1086" t="s">
        <v>4712</v>
      </c>
      <c r="E791" s="1087">
        <v>1200</v>
      </c>
      <c r="F791" s="1088">
        <v>5295463</v>
      </c>
      <c r="G791" s="1086" t="s">
        <v>4713</v>
      </c>
      <c r="H791" s="1086" t="s">
        <v>4712</v>
      </c>
      <c r="I791" s="415"/>
      <c r="J791" s="415"/>
      <c r="K791" s="945"/>
      <c r="L791" s="416"/>
      <c r="M791" s="1087">
        <v>1200</v>
      </c>
      <c r="N791" s="1119">
        <v>6</v>
      </c>
      <c r="O791" s="1119">
        <v>6</v>
      </c>
      <c r="P791" s="1087">
        <v>1200</v>
      </c>
    </row>
    <row r="792" spans="1:16" x14ac:dyDescent="0.2">
      <c r="A792" s="1152" t="s">
        <v>4669</v>
      </c>
      <c r="B792" s="416" t="s">
        <v>3998</v>
      </c>
      <c r="C792" s="60" t="s">
        <v>398</v>
      </c>
      <c r="D792" s="1086" t="s">
        <v>3187</v>
      </c>
      <c r="E792" s="1087">
        <v>1200</v>
      </c>
      <c r="F792" s="1088">
        <v>5920299</v>
      </c>
      <c r="G792" s="1086" t="s">
        <v>4714</v>
      </c>
      <c r="H792" s="1086" t="s">
        <v>3187</v>
      </c>
      <c r="I792" s="415"/>
      <c r="J792" s="415"/>
      <c r="K792" s="945"/>
      <c r="L792" s="416"/>
      <c r="M792" s="1087">
        <v>1200</v>
      </c>
      <c r="N792" s="1119">
        <v>6</v>
      </c>
      <c r="O792" s="1119">
        <v>6</v>
      </c>
      <c r="P792" s="1087">
        <v>1200</v>
      </c>
    </row>
    <row r="793" spans="1:16" x14ac:dyDescent="0.2">
      <c r="A793" s="1152" t="s">
        <v>4669</v>
      </c>
      <c r="B793" s="416" t="s">
        <v>3998</v>
      </c>
      <c r="C793" s="60" t="s">
        <v>398</v>
      </c>
      <c r="D793" s="1086" t="s">
        <v>4715</v>
      </c>
      <c r="E793" s="1087">
        <v>1500</v>
      </c>
      <c r="F793" s="1088">
        <v>43172831</v>
      </c>
      <c r="G793" s="1086" t="s">
        <v>4716</v>
      </c>
      <c r="H793" s="1086" t="s">
        <v>4715</v>
      </c>
      <c r="I793" s="415"/>
      <c r="J793" s="415"/>
      <c r="K793" s="945"/>
      <c r="L793" s="416"/>
      <c r="M793" s="1087">
        <v>1500</v>
      </c>
      <c r="N793" s="1119">
        <v>6</v>
      </c>
      <c r="O793" s="1119">
        <v>6</v>
      </c>
      <c r="P793" s="1087">
        <v>1500</v>
      </c>
    </row>
    <row r="794" spans="1:16" x14ac:dyDescent="0.2">
      <c r="A794" s="1152" t="s">
        <v>4669</v>
      </c>
      <c r="B794" s="416" t="s">
        <v>3998</v>
      </c>
      <c r="C794" s="60" t="s">
        <v>398</v>
      </c>
      <c r="D794" s="1086" t="s">
        <v>4717</v>
      </c>
      <c r="E794" s="1087">
        <v>3000</v>
      </c>
      <c r="F794" s="1088">
        <v>125332</v>
      </c>
      <c r="G794" s="1086" t="s">
        <v>4718</v>
      </c>
      <c r="H794" s="1086" t="s">
        <v>4717</v>
      </c>
      <c r="I794" s="415"/>
      <c r="J794" s="415"/>
      <c r="K794" s="945"/>
      <c r="L794" s="416"/>
      <c r="M794" s="1087">
        <v>3000</v>
      </c>
      <c r="N794" s="1119">
        <v>6</v>
      </c>
      <c r="O794" s="1119">
        <v>6</v>
      </c>
      <c r="P794" s="1087">
        <v>3000</v>
      </c>
    </row>
    <row r="795" spans="1:16" ht="24" x14ac:dyDescent="0.2">
      <c r="A795" s="1152" t="s">
        <v>4669</v>
      </c>
      <c r="B795" s="416" t="s">
        <v>3998</v>
      </c>
      <c r="C795" s="60" t="s">
        <v>398</v>
      </c>
      <c r="D795" s="1086" t="s">
        <v>4719</v>
      </c>
      <c r="E795" s="1087">
        <v>2100</v>
      </c>
      <c r="F795" s="1088">
        <v>40225922</v>
      </c>
      <c r="G795" s="1086" t="s">
        <v>4720</v>
      </c>
      <c r="H795" s="1086" t="s">
        <v>4719</v>
      </c>
      <c r="I795" s="415"/>
      <c r="J795" s="415"/>
      <c r="K795" s="945"/>
      <c r="L795" s="416"/>
      <c r="M795" s="1087">
        <v>2100</v>
      </c>
      <c r="N795" s="1119">
        <v>6</v>
      </c>
      <c r="O795" s="1119">
        <v>6</v>
      </c>
      <c r="P795" s="1087">
        <v>2100</v>
      </c>
    </row>
    <row r="796" spans="1:16" ht="24" x14ac:dyDescent="0.2">
      <c r="A796" s="1152" t="s">
        <v>4669</v>
      </c>
      <c r="B796" s="416" t="s">
        <v>3998</v>
      </c>
      <c r="C796" s="60" t="s">
        <v>398</v>
      </c>
      <c r="D796" s="1086" t="s">
        <v>4721</v>
      </c>
      <c r="E796" s="1087">
        <v>2200</v>
      </c>
      <c r="F796" s="1088">
        <v>111085</v>
      </c>
      <c r="G796" s="1086" t="s">
        <v>4722</v>
      </c>
      <c r="H796" s="1086" t="s">
        <v>4721</v>
      </c>
      <c r="I796" s="415"/>
      <c r="J796" s="415"/>
      <c r="K796" s="945"/>
      <c r="L796" s="416"/>
      <c r="M796" s="1087">
        <v>2200</v>
      </c>
      <c r="N796" s="1119">
        <v>6</v>
      </c>
      <c r="O796" s="1119">
        <v>6</v>
      </c>
      <c r="P796" s="1087">
        <v>2200</v>
      </c>
    </row>
    <row r="797" spans="1:16" ht="24" x14ac:dyDescent="0.2">
      <c r="A797" s="1152" t="s">
        <v>4669</v>
      </c>
      <c r="B797" s="416" t="s">
        <v>3998</v>
      </c>
      <c r="C797" s="60" t="s">
        <v>398</v>
      </c>
      <c r="D797" s="1086" t="s">
        <v>4723</v>
      </c>
      <c r="E797" s="1087">
        <v>1500</v>
      </c>
      <c r="F797" s="1088">
        <v>47179548</v>
      </c>
      <c r="G797" s="1086" t="s">
        <v>4724</v>
      </c>
      <c r="H797" s="1086" t="s">
        <v>4723</v>
      </c>
      <c r="I797" s="415"/>
      <c r="J797" s="415"/>
      <c r="K797" s="945"/>
      <c r="L797" s="416"/>
      <c r="M797" s="1087">
        <v>1500</v>
      </c>
      <c r="N797" s="1119">
        <v>6</v>
      </c>
      <c r="O797" s="1119">
        <v>6</v>
      </c>
      <c r="P797" s="1087">
        <v>1500</v>
      </c>
    </row>
    <row r="798" spans="1:16" ht="24" x14ac:dyDescent="0.2">
      <c r="A798" s="1152" t="s">
        <v>4669</v>
      </c>
      <c r="B798" s="416" t="s">
        <v>3998</v>
      </c>
      <c r="C798" s="60" t="s">
        <v>398</v>
      </c>
      <c r="D798" s="1086" t="s">
        <v>4097</v>
      </c>
      <c r="E798" s="1087">
        <v>1500</v>
      </c>
      <c r="F798" s="1088">
        <v>44196488</v>
      </c>
      <c r="G798" s="1086" t="s">
        <v>4725</v>
      </c>
      <c r="H798" s="1086" t="s">
        <v>4097</v>
      </c>
      <c r="I798" s="415"/>
      <c r="J798" s="415"/>
      <c r="K798" s="945"/>
      <c r="L798" s="416"/>
      <c r="M798" s="1087">
        <v>1500</v>
      </c>
      <c r="N798" s="1119">
        <v>6</v>
      </c>
      <c r="O798" s="1119">
        <v>6</v>
      </c>
      <c r="P798" s="1087">
        <v>1500</v>
      </c>
    </row>
    <row r="799" spans="1:16" ht="36" x14ac:dyDescent="0.2">
      <c r="A799" s="1152" t="s">
        <v>4669</v>
      </c>
      <c r="B799" s="416" t="s">
        <v>3998</v>
      </c>
      <c r="C799" s="60" t="s">
        <v>398</v>
      </c>
      <c r="D799" s="1086" t="s">
        <v>4726</v>
      </c>
      <c r="E799" s="1087">
        <v>2000</v>
      </c>
      <c r="F799" s="1088">
        <v>40499655</v>
      </c>
      <c r="G799" s="1086" t="s">
        <v>4727</v>
      </c>
      <c r="H799" s="1086" t="s">
        <v>4726</v>
      </c>
      <c r="I799" s="415"/>
      <c r="J799" s="415"/>
      <c r="K799" s="945"/>
      <c r="L799" s="416"/>
      <c r="M799" s="1087">
        <v>2000</v>
      </c>
      <c r="N799" s="1119">
        <v>6</v>
      </c>
      <c r="O799" s="1119">
        <v>6</v>
      </c>
      <c r="P799" s="1087">
        <v>2000</v>
      </c>
    </row>
    <row r="800" spans="1:16" ht="24" x14ac:dyDescent="0.2">
      <c r="A800" s="1152" t="s">
        <v>4669</v>
      </c>
      <c r="B800" s="416" t="s">
        <v>3998</v>
      </c>
      <c r="C800" s="60" t="s">
        <v>398</v>
      </c>
      <c r="D800" s="1086" t="s">
        <v>3281</v>
      </c>
      <c r="E800" s="1087">
        <v>1500</v>
      </c>
      <c r="F800" s="1088">
        <v>74429358</v>
      </c>
      <c r="G800" s="1086" t="s">
        <v>4728</v>
      </c>
      <c r="H800" s="1086" t="s">
        <v>3281</v>
      </c>
      <c r="I800" s="415"/>
      <c r="J800" s="415"/>
      <c r="K800" s="945"/>
      <c r="L800" s="416"/>
      <c r="M800" s="1087">
        <v>1500</v>
      </c>
      <c r="N800" s="1119">
        <v>6</v>
      </c>
      <c r="O800" s="1119">
        <v>6</v>
      </c>
      <c r="P800" s="1087">
        <v>1500</v>
      </c>
    </row>
    <row r="801" spans="1:16" ht="24" x14ac:dyDescent="0.2">
      <c r="A801" s="1152" t="s">
        <v>4669</v>
      </c>
      <c r="B801" s="416" t="s">
        <v>3998</v>
      </c>
      <c r="C801" s="60" t="s">
        <v>398</v>
      </c>
      <c r="D801" s="1086" t="s">
        <v>4729</v>
      </c>
      <c r="E801" s="1087">
        <v>1400</v>
      </c>
      <c r="F801" s="1088">
        <v>1072378</v>
      </c>
      <c r="G801" s="1086" t="s">
        <v>4730</v>
      </c>
      <c r="H801" s="1086" t="s">
        <v>4729</v>
      </c>
      <c r="I801" s="415"/>
      <c r="J801" s="415"/>
      <c r="K801" s="945"/>
      <c r="L801" s="416"/>
      <c r="M801" s="1087">
        <v>1400</v>
      </c>
      <c r="N801" s="1119">
        <v>6</v>
      </c>
      <c r="O801" s="1119">
        <v>6</v>
      </c>
      <c r="P801" s="1087">
        <v>1400</v>
      </c>
    </row>
    <row r="802" spans="1:16" ht="24" x14ac:dyDescent="0.2">
      <c r="A802" s="1152" t="s">
        <v>4669</v>
      </c>
      <c r="B802" s="416" t="s">
        <v>3998</v>
      </c>
      <c r="C802" s="60" t="s">
        <v>398</v>
      </c>
      <c r="D802" s="1086" t="s">
        <v>4731</v>
      </c>
      <c r="E802" s="1087">
        <v>3500</v>
      </c>
      <c r="F802" s="1088">
        <v>21142014</v>
      </c>
      <c r="G802" s="1086" t="s">
        <v>4732</v>
      </c>
      <c r="H802" s="1086" t="s">
        <v>4731</v>
      </c>
      <c r="I802" s="415"/>
      <c r="J802" s="415"/>
      <c r="K802" s="945"/>
      <c r="L802" s="416"/>
      <c r="M802" s="1087">
        <v>3500</v>
      </c>
      <c r="N802" s="1119">
        <v>6</v>
      </c>
      <c r="O802" s="1119">
        <v>6</v>
      </c>
      <c r="P802" s="1087">
        <v>3500</v>
      </c>
    </row>
    <row r="803" spans="1:16" ht="24" x14ac:dyDescent="0.2">
      <c r="A803" s="1152" t="s">
        <v>4669</v>
      </c>
      <c r="B803" s="416" t="s">
        <v>3998</v>
      </c>
      <c r="C803" s="60" t="s">
        <v>398</v>
      </c>
      <c r="D803" s="1086" t="s">
        <v>4733</v>
      </c>
      <c r="E803" s="1087">
        <v>2200</v>
      </c>
      <c r="F803" s="1088">
        <v>124305</v>
      </c>
      <c r="G803" s="1086" t="s">
        <v>4734</v>
      </c>
      <c r="H803" s="1086" t="s">
        <v>4733</v>
      </c>
      <c r="I803" s="415"/>
      <c r="J803" s="415"/>
      <c r="K803" s="945"/>
      <c r="L803" s="416"/>
      <c r="M803" s="1087">
        <v>2200</v>
      </c>
      <c r="N803" s="1119">
        <v>6</v>
      </c>
      <c r="O803" s="1119">
        <v>6</v>
      </c>
      <c r="P803" s="1087">
        <v>2200</v>
      </c>
    </row>
    <row r="804" spans="1:16" x14ac:dyDescent="0.2">
      <c r="A804" s="1152" t="s">
        <v>4669</v>
      </c>
      <c r="B804" s="416" t="s">
        <v>3998</v>
      </c>
      <c r="C804" s="60" t="s">
        <v>398</v>
      </c>
      <c r="D804" s="1086" t="s">
        <v>3187</v>
      </c>
      <c r="E804" s="1087">
        <v>1200</v>
      </c>
      <c r="F804" s="1088">
        <v>6975466</v>
      </c>
      <c r="G804" s="1086" t="s">
        <v>4735</v>
      </c>
      <c r="H804" s="1086" t="s">
        <v>3187</v>
      </c>
      <c r="I804" s="415"/>
      <c r="J804" s="415"/>
      <c r="K804" s="945"/>
      <c r="L804" s="416"/>
      <c r="M804" s="1087">
        <v>1200</v>
      </c>
      <c r="N804" s="1119">
        <v>6</v>
      </c>
      <c r="O804" s="1119">
        <v>6</v>
      </c>
      <c r="P804" s="1087">
        <v>1200</v>
      </c>
    </row>
    <row r="805" spans="1:16" ht="24" x14ac:dyDescent="0.2">
      <c r="A805" s="1152" t="s">
        <v>4669</v>
      </c>
      <c r="B805" s="416" t="s">
        <v>3998</v>
      </c>
      <c r="C805" s="60" t="s">
        <v>398</v>
      </c>
      <c r="D805" s="1086" t="s">
        <v>3546</v>
      </c>
      <c r="E805" s="1087">
        <v>1400</v>
      </c>
      <c r="F805" s="1088">
        <v>21146927</v>
      </c>
      <c r="G805" s="1086" t="s">
        <v>4736</v>
      </c>
      <c r="H805" s="1086" t="s">
        <v>3546</v>
      </c>
      <c r="I805" s="415"/>
      <c r="J805" s="415"/>
      <c r="K805" s="945"/>
      <c r="L805" s="416"/>
      <c r="M805" s="1087">
        <v>1400</v>
      </c>
      <c r="N805" s="1119">
        <v>6</v>
      </c>
      <c r="O805" s="1119">
        <v>6</v>
      </c>
      <c r="P805" s="1087">
        <v>1400</v>
      </c>
    </row>
    <row r="806" spans="1:16" x14ac:dyDescent="0.2">
      <c r="A806" s="1152" t="s">
        <v>4669</v>
      </c>
      <c r="B806" s="416" t="s">
        <v>3998</v>
      </c>
      <c r="C806" s="60" t="s">
        <v>398</v>
      </c>
      <c r="D806" s="1086" t="s">
        <v>4672</v>
      </c>
      <c r="E806" s="1087">
        <v>1600</v>
      </c>
      <c r="F806" s="1088">
        <v>44692526</v>
      </c>
      <c r="G806" s="1086" t="s">
        <v>4737</v>
      </c>
      <c r="H806" s="1086" t="s">
        <v>4672</v>
      </c>
      <c r="I806" s="415"/>
      <c r="J806" s="415"/>
      <c r="K806" s="945"/>
      <c r="L806" s="416"/>
      <c r="M806" s="1087">
        <v>1600</v>
      </c>
      <c r="N806" s="1119">
        <v>6</v>
      </c>
      <c r="O806" s="1119">
        <v>6</v>
      </c>
      <c r="P806" s="1087">
        <v>1600</v>
      </c>
    </row>
    <row r="807" spans="1:16" ht="24" x14ac:dyDescent="0.2">
      <c r="A807" s="1152" t="s">
        <v>4669</v>
      </c>
      <c r="B807" s="416" t="s">
        <v>3998</v>
      </c>
      <c r="C807" s="60" t="s">
        <v>398</v>
      </c>
      <c r="D807" s="1086" t="s">
        <v>4738</v>
      </c>
      <c r="E807" s="1087">
        <v>2200</v>
      </c>
      <c r="F807" s="1088">
        <v>107070</v>
      </c>
      <c r="G807" s="1086" t="s">
        <v>4739</v>
      </c>
      <c r="H807" s="1086" t="s">
        <v>4738</v>
      </c>
      <c r="I807" s="415"/>
      <c r="J807" s="415"/>
      <c r="K807" s="945"/>
      <c r="L807" s="416"/>
      <c r="M807" s="1087">
        <v>2200</v>
      </c>
      <c r="N807" s="1119">
        <v>6</v>
      </c>
      <c r="O807" s="1119">
        <v>6</v>
      </c>
      <c r="P807" s="1087">
        <v>2200</v>
      </c>
    </row>
    <row r="808" spans="1:16" ht="24" x14ac:dyDescent="0.2">
      <c r="A808" s="1152" t="s">
        <v>4669</v>
      </c>
      <c r="B808" s="416" t="s">
        <v>3998</v>
      </c>
      <c r="C808" s="60" t="s">
        <v>398</v>
      </c>
      <c r="D808" s="1086" t="s">
        <v>3112</v>
      </c>
      <c r="E808" s="1087">
        <v>1100</v>
      </c>
      <c r="F808" s="1088">
        <v>70469275</v>
      </c>
      <c r="G808" s="1086" t="s">
        <v>4740</v>
      </c>
      <c r="H808" s="1086" t="s">
        <v>3112</v>
      </c>
      <c r="I808" s="415"/>
      <c r="J808" s="415"/>
      <c r="K808" s="945"/>
      <c r="L808" s="416"/>
      <c r="M808" s="1087">
        <v>1100</v>
      </c>
      <c r="N808" s="1119">
        <v>6</v>
      </c>
      <c r="O808" s="1119">
        <v>6</v>
      </c>
      <c r="P808" s="1087">
        <v>1100</v>
      </c>
    </row>
    <row r="809" spans="1:16" ht="24" x14ac:dyDescent="0.2">
      <c r="A809" s="1152" t="s">
        <v>4669</v>
      </c>
      <c r="B809" s="416" t="s">
        <v>3998</v>
      </c>
      <c r="C809" s="60" t="s">
        <v>398</v>
      </c>
      <c r="D809" s="1086" t="s">
        <v>4741</v>
      </c>
      <c r="E809" s="1087">
        <v>3500</v>
      </c>
      <c r="F809" s="1088">
        <v>15738748</v>
      </c>
      <c r="G809" s="1086" t="s">
        <v>4742</v>
      </c>
      <c r="H809" s="1086" t="s">
        <v>4741</v>
      </c>
      <c r="I809" s="415"/>
      <c r="J809" s="415"/>
      <c r="K809" s="945"/>
      <c r="L809" s="416"/>
      <c r="M809" s="1087">
        <v>3500</v>
      </c>
      <c r="N809" s="1119">
        <v>6</v>
      </c>
      <c r="O809" s="1119">
        <v>6</v>
      </c>
      <c r="P809" s="1087">
        <v>3500</v>
      </c>
    </row>
    <row r="810" spans="1:16" x14ac:dyDescent="0.2">
      <c r="A810" s="1152" t="s">
        <v>4669</v>
      </c>
      <c r="B810" s="416" t="s">
        <v>3998</v>
      </c>
      <c r="C810" s="60" t="s">
        <v>398</v>
      </c>
      <c r="D810" s="1086" t="s">
        <v>4672</v>
      </c>
      <c r="E810" s="1087">
        <v>1600</v>
      </c>
      <c r="F810" s="1088">
        <v>41808712</v>
      </c>
      <c r="G810" s="1086" t="s">
        <v>4743</v>
      </c>
      <c r="H810" s="1086" t="s">
        <v>4672</v>
      </c>
      <c r="I810" s="415"/>
      <c r="J810" s="415"/>
      <c r="K810" s="945"/>
      <c r="L810" s="416"/>
      <c r="M810" s="1087">
        <v>1600</v>
      </c>
      <c r="N810" s="1119">
        <v>6</v>
      </c>
      <c r="O810" s="1119">
        <v>6</v>
      </c>
      <c r="P810" s="1087">
        <v>1600</v>
      </c>
    </row>
    <row r="811" spans="1:16" x14ac:dyDescent="0.2">
      <c r="A811" s="1152" t="s">
        <v>4669</v>
      </c>
      <c r="B811" s="416" t="s">
        <v>3998</v>
      </c>
      <c r="C811" s="60" t="s">
        <v>398</v>
      </c>
      <c r="D811" s="1086" t="s">
        <v>4744</v>
      </c>
      <c r="E811" s="1087">
        <v>1800</v>
      </c>
      <c r="F811" s="1088">
        <v>44101670</v>
      </c>
      <c r="G811" s="1086" t="s">
        <v>4745</v>
      </c>
      <c r="H811" s="1086" t="s">
        <v>4744</v>
      </c>
      <c r="I811" s="415"/>
      <c r="J811" s="415"/>
      <c r="K811" s="945"/>
      <c r="L811" s="416"/>
      <c r="M811" s="1087">
        <v>1800</v>
      </c>
      <c r="N811" s="1119">
        <v>6</v>
      </c>
      <c r="O811" s="1119">
        <v>6</v>
      </c>
      <c r="P811" s="1087">
        <v>1800</v>
      </c>
    </row>
    <row r="812" spans="1:16" x14ac:dyDescent="0.2">
      <c r="A812" s="1152" t="s">
        <v>4669</v>
      </c>
      <c r="B812" s="416" t="s">
        <v>3998</v>
      </c>
      <c r="C812" s="60" t="s">
        <v>398</v>
      </c>
      <c r="D812" s="1086" t="s">
        <v>4672</v>
      </c>
      <c r="E812" s="1087">
        <v>1600</v>
      </c>
      <c r="F812" s="1088">
        <v>40893119</v>
      </c>
      <c r="G812" s="1086" t="s">
        <v>4746</v>
      </c>
      <c r="H812" s="1086" t="s">
        <v>4672</v>
      </c>
      <c r="I812" s="415"/>
      <c r="J812" s="415"/>
      <c r="K812" s="945"/>
      <c r="L812" s="416"/>
      <c r="M812" s="1087">
        <v>1600</v>
      </c>
      <c r="N812" s="1119">
        <v>6</v>
      </c>
      <c r="O812" s="1119">
        <v>6</v>
      </c>
      <c r="P812" s="1087">
        <v>1600</v>
      </c>
    </row>
    <row r="813" spans="1:16" x14ac:dyDescent="0.2">
      <c r="A813" s="1152" t="s">
        <v>4669</v>
      </c>
      <c r="B813" s="416" t="s">
        <v>3998</v>
      </c>
      <c r="C813" s="60" t="s">
        <v>398</v>
      </c>
      <c r="D813" s="1086" t="s">
        <v>3134</v>
      </c>
      <c r="E813" s="1087">
        <v>1600</v>
      </c>
      <c r="F813" s="1088">
        <v>45120505</v>
      </c>
      <c r="G813" s="1086" t="s">
        <v>4747</v>
      </c>
      <c r="H813" s="1086" t="s">
        <v>3134</v>
      </c>
      <c r="I813" s="415"/>
      <c r="J813" s="415"/>
      <c r="K813" s="945"/>
      <c r="L813" s="416"/>
      <c r="M813" s="1087">
        <v>1600</v>
      </c>
      <c r="N813" s="1119">
        <v>6</v>
      </c>
      <c r="O813" s="1119">
        <v>6</v>
      </c>
      <c r="P813" s="1087">
        <v>1600</v>
      </c>
    </row>
    <row r="814" spans="1:16" ht="24" x14ac:dyDescent="0.2">
      <c r="A814" s="1152" t="s">
        <v>4669</v>
      </c>
      <c r="B814" s="416" t="s">
        <v>3998</v>
      </c>
      <c r="C814" s="60" t="s">
        <v>398</v>
      </c>
      <c r="D814" s="1086" t="s">
        <v>3546</v>
      </c>
      <c r="E814" s="1087">
        <v>1200</v>
      </c>
      <c r="F814" s="1088">
        <v>21885188</v>
      </c>
      <c r="G814" s="1086" t="s">
        <v>4748</v>
      </c>
      <c r="H814" s="1086" t="s">
        <v>3546</v>
      </c>
      <c r="I814" s="415"/>
      <c r="J814" s="415"/>
      <c r="K814" s="945"/>
      <c r="L814" s="416"/>
      <c r="M814" s="1087">
        <v>1200</v>
      </c>
      <c r="N814" s="1119">
        <v>6</v>
      </c>
      <c r="O814" s="1119">
        <v>6</v>
      </c>
      <c r="P814" s="1087">
        <v>1200</v>
      </c>
    </row>
    <row r="815" spans="1:16" ht="24" x14ac:dyDescent="0.2">
      <c r="A815" s="1152" t="s">
        <v>4669</v>
      </c>
      <c r="B815" s="416" t="s">
        <v>3998</v>
      </c>
      <c r="C815" s="60" t="s">
        <v>398</v>
      </c>
      <c r="D815" s="1086" t="s">
        <v>4749</v>
      </c>
      <c r="E815" s="1087">
        <v>2000</v>
      </c>
      <c r="F815" s="1088">
        <v>158729</v>
      </c>
      <c r="G815" s="1086" t="s">
        <v>4750</v>
      </c>
      <c r="H815" s="1086" t="s">
        <v>4749</v>
      </c>
      <c r="I815" s="415"/>
      <c r="J815" s="415"/>
      <c r="K815" s="945"/>
      <c r="L815" s="416"/>
      <c r="M815" s="1087">
        <v>2000</v>
      </c>
      <c r="N815" s="1119">
        <v>6</v>
      </c>
      <c r="O815" s="1119">
        <v>6</v>
      </c>
      <c r="P815" s="1087">
        <v>2000</v>
      </c>
    </row>
    <row r="816" spans="1:16" ht="24" x14ac:dyDescent="0.2">
      <c r="A816" s="1152" t="s">
        <v>4669</v>
      </c>
      <c r="B816" s="416" t="s">
        <v>3998</v>
      </c>
      <c r="C816" s="60" t="s">
        <v>398</v>
      </c>
      <c r="D816" s="1086" t="s">
        <v>4751</v>
      </c>
      <c r="E816" s="1087">
        <v>1600</v>
      </c>
      <c r="F816" s="1088">
        <v>21140874</v>
      </c>
      <c r="G816" s="1086" t="s">
        <v>4752</v>
      </c>
      <c r="H816" s="1086" t="s">
        <v>4751</v>
      </c>
      <c r="I816" s="415"/>
      <c r="J816" s="415"/>
      <c r="K816" s="945"/>
      <c r="L816" s="416"/>
      <c r="M816" s="1087">
        <v>1600</v>
      </c>
      <c r="N816" s="1119">
        <v>6</v>
      </c>
      <c r="O816" s="1119">
        <v>6</v>
      </c>
      <c r="P816" s="1087">
        <v>1600</v>
      </c>
    </row>
    <row r="817" spans="1:16" x14ac:dyDescent="0.2">
      <c r="A817" s="1152" t="s">
        <v>4669</v>
      </c>
      <c r="B817" s="416" t="s">
        <v>3998</v>
      </c>
      <c r="C817" s="60" t="s">
        <v>398</v>
      </c>
      <c r="D817" s="1086" t="s">
        <v>4753</v>
      </c>
      <c r="E817" s="1087">
        <v>1700</v>
      </c>
      <c r="F817" s="1088">
        <v>7873581</v>
      </c>
      <c r="G817" s="1086" t="s">
        <v>4754</v>
      </c>
      <c r="H817" s="1086" t="s">
        <v>4753</v>
      </c>
      <c r="I817" s="415"/>
      <c r="J817" s="415"/>
      <c r="K817" s="945"/>
      <c r="L817" s="416"/>
      <c r="M817" s="1087">
        <v>1700</v>
      </c>
      <c r="N817" s="1119">
        <v>6</v>
      </c>
      <c r="O817" s="1119">
        <v>6</v>
      </c>
      <c r="P817" s="1087">
        <v>1700</v>
      </c>
    </row>
    <row r="818" spans="1:16" ht="24" x14ac:dyDescent="0.2">
      <c r="A818" s="1152" t="s">
        <v>4669</v>
      </c>
      <c r="B818" s="416" t="s">
        <v>3998</v>
      </c>
      <c r="C818" s="60" t="s">
        <v>398</v>
      </c>
      <c r="D818" s="1086" t="s">
        <v>3100</v>
      </c>
      <c r="E818" s="1087">
        <v>1300</v>
      </c>
      <c r="F818" s="1088">
        <v>46436463</v>
      </c>
      <c r="G818" s="1086" t="s">
        <v>4755</v>
      </c>
      <c r="H818" s="1086" t="s">
        <v>3100</v>
      </c>
      <c r="I818" s="415"/>
      <c r="J818" s="415"/>
      <c r="K818" s="945"/>
      <c r="L818" s="416"/>
      <c r="M818" s="1087">
        <v>1300</v>
      </c>
      <c r="N818" s="1119">
        <v>6</v>
      </c>
      <c r="O818" s="1119">
        <v>6</v>
      </c>
      <c r="P818" s="1087">
        <v>1300</v>
      </c>
    </row>
    <row r="819" spans="1:16" ht="36" x14ac:dyDescent="0.2">
      <c r="A819" s="1152" t="s">
        <v>4669</v>
      </c>
      <c r="B819" s="416" t="s">
        <v>3998</v>
      </c>
      <c r="C819" s="60" t="s">
        <v>398</v>
      </c>
      <c r="D819" s="1086" t="s">
        <v>4756</v>
      </c>
      <c r="E819" s="1087">
        <v>2500</v>
      </c>
      <c r="F819" s="1088">
        <v>44174042</v>
      </c>
      <c r="G819" s="1086" t="s">
        <v>4757</v>
      </c>
      <c r="H819" s="1086" t="s">
        <v>4756</v>
      </c>
      <c r="I819" s="415"/>
      <c r="J819" s="415"/>
      <c r="K819" s="945"/>
      <c r="L819" s="416"/>
      <c r="M819" s="1087">
        <v>2500</v>
      </c>
      <c r="N819" s="1119">
        <v>6</v>
      </c>
      <c r="O819" s="1119">
        <v>6</v>
      </c>
      <c r="P819" s="1087">
        <v>2500</v>
      </c>
    </row>
    <row r="820" spans="1:16" x14ac:dyDescent="0.2">
      <c r="A820" s="1152" t="s">
        <v>4669</v>
      </c>
      <c r="B820" s="416" t="s">
        <v>3998</v>
      </c>
      <c r="C820" s="60" t="s">
        <v>398</v>
      </c>
      <c r="D820" s="1086" t="s">
        <v>3187</v>
      </c>
      <c r="E820" s="1087">
        <v>1300</v>
      </c>
      <c r="F820" s="1088">
        <v>22999758</v>
      </c>
      <c r="G820" s="1086" t="s">
        <v>4758</v>
      </c>
      <c r="H820" s="1086" t="s">
        <v>3187</v>
      </c>
      <c r="I820" s="415"/>
      <c r="J820" s="415"/>
      <c r="K820" s="945"/>
      <c r="L820" s="416"/>
      <c r="M820" s="1087">
        <v>1300</v>
      </c>
      <c r="N820" s="1119">
        <v>6</v>
      </c>
      <c r="O820" s="1119">
        <v>6</v>
      </c>
      <c r="P820" s="1087">
        <v>1300</v>
      </c>
    </row>
    <row r="821" spans="1:16" x14ac:dyDescent="0.2">
      <c r="A821" s="1152" t="s">
        <v>4669</v>
      </c>
      <c r="B821" s="416" t="s">
        <v>3998</v>
      </c>
      <c r="C821" s="60" t="s">
        <v>398</v>
      </c>
      <c r="D821" s="1086" t="s">
        <v>3134</v>
      </c>
      <c r="E821" s="1087">
        <v>1300</v>
      </c>
      <c r="F821" s="1088">
        <v>42778201</v>
      </c>
      <c r="G821" s="1086" t="s">
        <v>4759</v>
      </c>
      <c r="H821" s="1086" t="s">
        <v>3134</v>
      </c>
      <c r="I821" s="415"/>
      <c r="J821" s="415"/>
      <c r="K821" s="945"/>
      <c r="L821" s="416"/>
      <c r="M821" s="1087">
        <v>1300</v>
      </c>
      <c r="N821" s="1119">
        <v>6</v>
      </c>
      <c r="O821" s="1119">
        <v>6</v>
      </c>
      <c r="P821" s="1087">
        <v>1300</v>
      </c>
    </row>
    <row r="822" spans="1:16" ht="24" x14ac:dyDescent="0.2">
      <c r="A822" s="1152" t="s">
        <v>4669</v>
      </c>
      <c r="B822" s="416" t="s">
        <v>3998</v>
      </c>
      <c r="C822" s="60" t="s">
        <v>398</v>
      </c>
      <c r="D822" s="1086" t="s">
        <v>4760</v>
      </c>
      <c r="E822" s="1087">
        <v>3000</v>
      </c>
      <c r="F822" s="1088">
        <v>15567</v>
      </c>
      <c r="G822" s="1086" t="s">
        <v>4761</v>
      </c>
      <c r="H822" s="1086" t="s">
        <v>4760</v>
      </c>
      <c r="I822" s="415"/>
      <c r="J822" s="415"/>
      <c r="K822" s="945"/>
      <c r="L822" s="416"/>
      <c r="M822" s="1087">
        <v>3000</v>
      </c>
      <c r="N822" s="1119">
        <v>6</v>
      </c>
      <c r="O822" s="1119">
        <v>6</v>
      </c>
      <c r="P822" s="1087">
        <v>3000</v>
      </c>
    </row>
    <row r="823" spans="1:16" ht="60" x14ac:dyDescent="0.2">
      <c r="A823" s="1152" t="s">
        <v>4669</v>
      </c>
      <c r="B823" s="416" t="s">
        <v>3998</v>
      </c>
      <c r="C823" s="60" t="s">
        <v>398</v>
      </c>
      <c r="D823" s="1086" t="s">
        <v>4762</v>
      </c>
      <c r="E823" s="1087">
        <v>2200</v>
      </c>
      <c r="F823" s="1088">
        <v>47363163</v>
      </c>
      <c r="G823" s="1086" t="s">
        <v>4763</v>
      </c>
      <c r="H823" s="1086" t="s">
        <v>4762</v>
      </c>
      <c r="I823" s="415"/>
      <c r="J823" s="415"/>
      <c r="K823" s="945"/>
      <c r="L823" s="416"/>
      <c r="M823" s="1087">
        <v>2200</v>
      </c>
      <c r="N823" s="1119">
        <v>6</v>
      </c>
      <c r="O823" s="1119">
        <v>6</v>
      </c>
      <c r="P823" s="1087">
        <v>2200</v>
      </c>
    </row>
    <row r="824" spans="1:16" x14ac:dyDescent="0.2">
      <c r="A824" s="1152" t="s">
        <v>4669</v>
      </c>
      <c r="B824" s="416" t="s">
        <v>3998</v>
      </c>
      <c r="C824" s="60" t="s">
        <v>398</v>
      </c>
      <c r="D824" s="1086" t="s">
        <v>4672</v>
      </c>
      <c r="E824" s="1087">
        <v>1500</v>
      </c>
      <c r="F824" s="1088">
        <v>44869974</v>
      </c>
      <c r="G824" s="1086" t="s">
        <v>4764</v>
      </c>
      <c r="H824" s="1086" t="s">
        <v>4672</v>
      </c>
      <c r="I824" s="415"/>
      <c r="J824" s="415"/>
      <c r="K824" s="945"/>
      <c r="L824" s="416"/>
      <c r="M824" s="1087">
        <v>1500</v>
      </c>
      <c r="N824" s="1119">
        <v>6</v>
      </c>
      <c r="O824" s="1119">
        <v>6</v>
      </c>
      <c r="P824" s="1087">
        <v>1500</v>
      </c>
    </row>
    <row r="825" spans="1:16" ht="24" x14ac:dyDescent="0.2">
      <c r="A825" s="1152" t="s">
        <v>4669</v>
      </c>
      <c r="B825" s="416" t="s">
        <v>3998</v>
      </c>
      <c r="C825" s="60" t="s">
        <v>398</v>
      </c>
      <c r="D825" s="1086" t="s">
        <v>3112</v>
      </c>
      <c r="E825" s="1087">
        <v>1500</v>
      </c>
      <c r="F825" s="1088">
        <v>9824770</v>
      </c>
      <c r="G825" s="1086" t="s">
        <v>4765</v>
      </c>
      <c r="H825" s="1086" t="s">
        <v>3112</v>
      </c>
      <c r="I825" s="415"/>
      <c r="J825" s="415"/>
      <c r="K825" s="945"/>
      <c r="L825" s="416"/>
      <c r="M825" s="1087">
        <v>1500</v>
      </c>
      <c r="N825" s="1119">
        <v>6</v>
      </c>
      <c r="O825" s="1119">
        <v>6</v>
      </c>
      <c r="P825" s="1087">
        <v>1500</v>
      </c>
    </row>
    <row r="826" spans="1:16" ht="24" x14ac:dyDescent="0.2">
      <c r="A826" s="1152" t="s">
        <v>4669</v>
      </c>
      <c r="B826" s="416" t="s">
        <v>3998</v>
      </c>
      <c r="C826" s="60" t="s">
        <v>398</v>
      </c>
      <c r="D826" s="1086" t="s">
        <v>4766</v>
      </c>
      <c r="E826" s="1087">
        <v>1000</v>
      </c>
      <c r="F826" s="1088">
        <v>5866443</v>
      </c>
      <c r="G826" s="1086" t="s">
        <v>4767</v>
      </c>
      <c r="H826" s="1086" t="s">
        <v>4766</v>
      </c>
      <c r="I826" s="415"/>
      <c r="J826" s="415"/>
      <c r="K826" s="945"/>
      <c r="L826" s="416"/>
      <c r="M826" s="1087">
        <v>1000</v>
      </c>
      <c r="N826" s="1119">
        <v>6</v>
      </c>
      <c r="O826" s="1119">
        <v>6</v>
      </c>
      <c r="P826" s="1087">
        <v>1000</v>
      </c>
    </row>
    <row r="827" spans="1:16" x14ac:dyDescent="0.2">
      <c r="A827" s="1152" t="s">
        <v>4669</v>
      </c>
      <c r="B827" s="416" t="s">
        <v>3998</v>
      </c>
      <c r="C827" s="60" t="s">
        <v>398</v>
      </c>
      <c r="D827" s="1086" t="s">
        <v>3281</v>
      </c>
      <c r="E827" s="1087">
        <v>1500</v>
      </c>
      <c r="F827" s="1088">
        <v>42962622</v>
      </c>
      <c r="G827" s="1086" t="s">
        <v>4768</v>
      </c>
      <c r="H827" s="1086" t="s">
        <v>3281</v>
      </c>
      <c r="I827" s="415"/>
      <c r="J827" s="415"/>
      <c r="K827" s="945"/>
      <c r="L827" s="416"/>
      <c r="M827" s="1087">
        <v>1500</v>
      </c>
      <c r="N827" s="1119">
        <v>6</v>
      </c>
      <c r="O827" s="1119">
        <v>6</v>
      </c>
      <c r="P827" s="1087">
        <v>1500</v>
      </c>
    </row>
    <row r="828" spans="1:16" x14ac:dyDescent="0.2">
      <c r="A828" s="1152" t="s">
        <v>4669</v>
      </c>
      <c r="B828" s="416" t="s">
        <v>3998</v>
      </c>
      <c r="C828" s="60" t="s">
        <v>398</v>
      </c>
      <c r="D828" s="1086" t="s">
        <v>3099</v>
      </c>
      <c r="E828" s="1087">
        <v>2000</v>
      </c>
      <c r="F828" s="1088">
        <v>43291964</v>
      </c>
      <c r="G828" s="1086" t="s">
        <v>4769</v>
      </c>
      <c r="H828" s="1086" t="s">
        <v>3099</v>
      </c>
      <c r="I828" s="415"/>
      <c r="J828" s="415"/>
      <c r="K828" s="945"/>
      <c r="L828" s="416"/>
      <c r="M828" s="1087">
        <v>2000</v>
      </c>
      <c r="N828" s="1119">
        <v>6</v>
      </c>
      <c r="O828" s="1119">
        <v>6</v>
      </c>
      <c r="P828" s="1087">
        <v>2000</v>
      </c>
    </row>
    <row r="829" spans="1:16" ht="36" x14ac:dyDescent="0.2">
      <c r="A829" s="1152" t="s">
        <v>4669</v>
      </c>
      <c r="B829" s="416" t="s">
        <v>3998</v>
      </c>
      <c r="C829" s="60" t="s">
        <v>398</v>
      </c>
      <c r="D829" s="1086" t="s">
        <v>4770</v>
      </c>
      <c r="E829" s="1087">
        <v>1500</v>
      </c>
      <c r="F829" s="1088">
        <v>40042254</v>
      </c>
      <c r="G829" s="1086" t="s">
        <v>4771</v>
      </c>
      <c r="H829" s="1086" t="s">
        <v>4770</v>
      </c>
      <c r="I829" s="415"/>
      <c r="J829" s="415"/>
      <c r="K829" s="945"/>
      <c r="L829" s="416"/>
      <c r="M829" s="1087">
        <v>1500</v>
      </c>
      <c r="N829" s="1119">
        <v>6</v>
      </c>
      <c r="O829" s="1119">
        <v>6</v>
      </c>
      <c r="P829" s="1087">
        <v>1500</v>
      </c>
    </row>
    <row r="830" spans="1:16" x14ac:dyDescent="0.2">
      <c r="A830" s="1152" t="s">
        <v>4669</v>
      </c>
      <c r="B830" s="416" t="s">
        <v>3998</v>
      </c>
      <c r="C830" s="60" t="s">
        <v>398</v>
      </c>
      <c r="D830" s="1086" t="s">
        <v>3103</v>
      </c>
      <c r="E830" s="1087">
        <v>1800</v>
      </c>
      <c r="F830" s="1088">
        <v>73069172</v>
      </c>
      <c r="G830" s="1086" t="s">
        <v>4772</v>
      </c>
      <c r="H830" s="1086" t="s">
        <v>3103</v>
      </c>
      <c r="I830" s="415"/>
      <c r="J830" s="415"/>
      <c r="K830" s="945"/>
      <c r="L830" s="416"/>
      <c r="M830" s="1087">
        <v>1800</v>
      </c>
      <c r="N830" s="1119">
        <v>6</v>
      </c>
      <c r="O830" s="1119">
        <v>6</v>
      </c>
      <c r="P830" s="1087">
        <v>1800</v>
      </c>
    </row>
    <row r="831" spans="1:16" ht="24" x14ac:dyDescent="0.2">
      <c r="A831" s="1152" t="s">
        <v>4669</v>
      </c>
      <c r="B831" s="416" t="s">
        <v>3998</v>
      </c>
      <c r="C831" s="60" t="s">
        <v>398</v>
      </c>
      <c r="D831" s="1086" t="s">
        <v>3100</v>
      </c>
      <c r="E831" s="1087">
        <v>1600</v>
      </c>
      <c r="F831" s="1088">
        <v>86608</v>
      </c>
      <c r="G831" s="1086" t="s">
        <v>4773</v>
      </c>
      <c r="H831" s="1086" t="s">
        <v>3100</v>
      </c>
      <c r="I831" s="415"/>
      <c r="J831" s="415"/>
      <c r="K831" s="945"/>
      <c r="L831" s="416"/>
      <c r="M831" s="1087">
        <v>1600</v>
      </c>
      <c r="N831" s="1119">
        <v>6</v>
      </c>
      <c r="O831" s="1119">
        <v>6</v>
      </c>
      <c r="P831" s="1087">
        <v>1600</v>
      </c>
    </row>
    <row r="832" spans="1:16" ht="24" x14ac:dyDescent="0.2">
      <c r="A832" s="1152" t="s">
        <v>4669</v>
      </c>
      <c r="B832" s="416" t="s">
        <v>3998</v>
      </c>
      <c r="C832" s="60" t="s">
        <v>398</v>
      </c>
      <c r="D832" s="1086" t="s">
        <v>4774</v>
      </c>
      <c r="E832" s="1087">
        <v>1200</v>
      </c>
      <c r="F832" s="1088">
        <v>80589225</v>
      </c>
      <c r="G832" s="1086" t="s">
        <v>4775</v>
      </c>
      <c r="H832" s="1086" t="s">
        <v>4774</v>
      </c>
      <c r="I832" s="415"/>
      <c r="J832" s="415"/>
      <c r="K832" s="945"/>
      <c r="L832" s="416"/>
      <c r="M832" s="1087">
        <v>1200</v>
      </c>
      <c r="N832" s="1119">
        <v>6</v>
      </c>
      <c r="O832" s="1119">
        <v>6</v>
      </c>
      <c r="P832" s="1087">
        <v>1200</v>
      </c>
    </row>
    <row r="833" spans="1:16" ht="36" x14ac:dyDescent="0.2">
      <c r="A833" s="1152" t="s">
        <v>4669</v>
      </c>
      <c r="B833" s="416" t="s">
        <v>3998</v>
      </c>
      <c r="C833" s="60" t="s">
        <v>398</v>
      </c>
      <c r="D833" s="1086" t="s">
        <v>4776</v>
      </c>
      <c r="E833" s="1087">
        <v>1800</v>
      </c>
      <c r="F833" s="1088">
        <v>44589073</v>
      </c>
      <c r="G833" s="1086" t="s">
        <v>4777</v>
      </c>
      <c r="H833" s="1086" t="s">
        <v>4776</v>
      </c>
      <c r="I833" s="415"/>
      <c r="J833" s="415"/>
      <c r="K833" s="945"/>
      <c r="L833" s="416"/>
      <c r="M833" s="1087">
        <v>1800</v>
      </c>
      <c r="N833" s="1119">
        <v>6</v>
      </c>
      <c r="O833" s="1119">
        <v>6</v>
      </c>
      <c r="P833" s="1087">
        <v>1800</v>
      </c>
    </row>
    <row r="834" spans="1:16" ht="24" x14ac:dyDescent="0.2">
      <c r="A834" s="1152" t="s">
        <v>4669</v>
      </c>
      <c r="B834" s="416" t="s">
        <v>3998</v>
      </c>
      <c r="C834" s="60" t="s">
        <v>398</v>
      </c>
      <c r="D834" s="1086" t="s">
        <v>4778</v>
      </c>
      <c r="E834" s="1087">
        <v>1500</v>
      </c>
      <c r="F834" s="1088">
        <v>40660888</v>
      </c>
      <c r="G834" s="1086" t="s">
        <v>4779</v>
      </c>
      <c r="H834" s="1086" t="s">
        <v>4778</v>
      </c>
      <c r="I834" s="415"/>
      <c r="J834" s="415"/>
      <c r="K834" s="945"/>
      <c r="L834" s="416"/>
      <c r="M834" s="1087">
        <v>1500</v>
      </c>
      <c r="N834" s="1119">
        <v>6</v>
      </c>
      <c r="O834" s="1119">
        <v>6</v>
      </c>
      <c r="P834" s="1087">
        <v>1500</v>
      </c>
    </row>
    <row r="835" spans="1:16" x14ac:dyDescent="0.2">
      <c r="A835" s="1152" t="s">
        <v>4669</v>
      </c>
      <c r="B835" s="416" t="s">
        <v>3998</v>
      </c>
      <c r="C835" s="60" t="s">
        <v>398</v>
      </c>
      <c r="D835" s="1086" t="s">
        <v>4780</v>
      </c>
      <c r="E835" s="1087">
        <v>1500</v>
      </c>
      <c r="F835" s="1088">
        <v>42850529</v>
      </c>
      <c r="G835" s="1086" t="s">
        <v>4781</v>
      </c>
      <c r="H835" s="1086" t="s">
        <v>4780</v>
      </c>
      <c r="I835" s="415"/>
      <c r="J835" s="415"/>
      <c r="K835" s="945"/>
      <c r="L835" s="416"/>
      <c r="M835" s="1087">
        <v>1500</v>
      </c>
      <c r="N835" s="1119">
        <v>6</v>
      </c>
      <c r="O835" s="1119">
        <v>6</v>
      </c>
      <c r="P835" s="1087">
        <v>1500</v>
      </c>
    </row>
    <row r="836" spans="1:16" x14ac:dyDescent="0.2">
      <c r="A836" s="1152" t="s">
        <v>4669</v>
      </c>
      <c r="B836" s="416" t="s">
        <v>3998</v>
      </c>
      <c r="C836" s="60" t="s">
        <v>398</v>
      </c>
      <c r="D836" s="1086" t="s">
        <v>3134</v>
      </c>
      <c r="E836" s="1087">
        <v>1500</v>
      </c>
      <c r="F836" s="1088">
        <v>41207110</v>
      </c>
      <c r="G836" s="1086" t="s">
        <v>4782</v>
      </c>
      <c r="H836" s="1086" t="s">
        <v>3134</v>
      </c>
      <c r="I836" s="415"/>
      <c r="J836" s="415"/>
      <c r="K836" s="945"/>
      <c r="L836" s="416"/>
      <c r="M836" s="1087">
        <v>1500</v>
      </c>
      <c r="N836" s="1119">
        <v>6</v>
      </c>
      <c r="O836" s="1119">
        <v>6</v>
      </c>
      <c r="P836" s="1087">
        <v>1500</v>
      </c>
    </row>
    <row r="837" spans="1:16" ht="24" x14ac:dyDescent="0.2">
      <c r="A837" s="1152" t="s">
        <v>4669</v>
      </c>
      <c r="B837" s="416" t="s">
        <v>3998</v>
      </c>
      <c r="C837" s="60" t="s">
        <v>398</v>
      </c>
      <c r="D837" s="1086" t="s">
        <v>4783</v>
      </c>
      <c r="E837" s="1087">
        <v>3500</v>
      </c>
      <c r="F837" s="1088">
        <v>108300</v>
      </c>
      <c r="G837" s="1086" t="s">
        <v>4784</v>
      </c>
      <c r="H837" s="1086" t="s">
        <v>4783</v>
      </c>
      <c r="I837" s="415"/>
      <c r="J837" s="415"/>
      <c r="K837" s="945"/>
      <c r="L837" s="416"/>
      <c r="M837" s="1087">
        <v>3500</v>
      </c>
      <c r="N837" s="1119">
        <v>6</v>
      </c>
      <c r="O837" s="1119">
        <v>6</v>
      </c>
      <c r="P837" s="1087">
        <v>3500</v>
      </c>
    </row>
    <row r="838" spans="1:16" x14ac:dyDescent="0.2">
      <c r="A838" s="1152" t="s">
        <v>4669</v>
      </c>
      <c r="B838" s="416" t="s">
        <v>3998</v>
      </c>
      <c r="C838" s="60" t="s">
        <v>398</v>
      </c>
      <c r="D838" s="1086" t="s">
        <v>3164</v>
      </c>
      <c r="E838" s="1087">
        <v>1500</v>
      </c>
      <c r="F838" s="1088">
        <v>8958</v>
      </c>
      <c r="G838" s="1086" t="s">
        <v>4785</v>
      </c>
      <c r="H838" s="1086" t="s">
        <v>3164</v>
      </c>
      <c r="I838" s="415"/>
      <c r="J838" s="415"/>
      <c r="K838" s="945"/>
      <c r="L838" s="416"/>
      <c r="M838" s="1087">
        <v>1500</v>
      </c>
      <c r="N838" s="1119">
        <v>6</v>
      </c>
      <c r="O838" s="1119">
        <v>6</v>
      </c>
      <c r="P838" s="1087">
        <v>1500</v>
      </c>
    </row>
    <row r="839" spans="1:16" ht="24" x14ac:dyDescent="0.2">
      <c r="A839" s="1152" t="s">
        <v>4669</v>
      </c>
      <c r="B839" s="416" t="s">
        <v>3998</v>
      </c>
      <c r="C839" s="60" t="s">
        <v>398</v>
      </c>
      <c r="D839" s="1086" t="s">
        <v>4786</v>
      </c>
      <c r="E839" s="1087">
        <v>1000</v>
      </c>
      <c r="F839" s="1088">
        <v>22463</v>
      </c>
      <c r="G839" s="1086" t="s">
        <v>4787</v>
      </c>
      <c r="H839" s="1086" t="s">
        <v>4786</v>
      </c>
      <c r="I839" s="415"/>
      <c r="J839" s="415"/>
      <c r="K839" s="945"/>
      <c r="L839" s="416"/>
      <c r="M839" s="1087">
        <v>1000</v>
      </c>
      <c r="N839" s="1119">
        <v>6</v>
      </c>
      <c r="O839" s="1119">
        <v>6</v>
      </c>
      <c r="P839" s="1087">
        <v>1000</v>
      </c>
    </row>
    <row r="840" spans="1:16" ht="36" x14ac:dyDescent="0.2">
      <c r="A840" s="1152" t="s">
        <v>4669</v>
      </c>
      <c r="B840" s="416" t="s">
        <v>3998</v>
      </c>
      <c r="C840" s="60" t="s">
        <v>398</v>
      </c>
      <c r="D840" s="1086" t="s">
        <v>4788</v>
      </c>
      <c r="E840" s="1087">
        <v>1500</v>
      </c>
      <c r="F840" s="1088">
        <v>128371</v>
      </c>
      <c r="G840" s="1086" t="s">
        <v>4789</v>
      </c>
      <c r="H840" s="1086" t="s">
        <v>4788</v>
      </c>
      <c r="I840" s="415"/>
      <c r="J840" s="415"/>
      <c r="K840" s="945"/>
      <c r="L840" s="416"/>
      <c r="M840" s="1087">
        <v>1500</v>
      </c>
      <c r="N840" s="1119">
        <v>6</v>
      </c>
      <c r="O840" s="1119">
        <v>6</v>
      </c>
      <c r="P840" s="1087">
        <v>1500</v>
      </c>
    </row>
    <row r="841" spans="1:16" ht="24" x14ac:dyDescent="0.2">
      <c r="A841" s="1152" t="s">
        <v>4669</v>
      </c>
      <c r="B841" s="416" t="s">
        <v>3998</v>
      </c>
      <c r="C841" s="60" t="s">
        <v>398</v>
      </c>
      <c r="D841" s="1086" t="s">
        <v>4790</v>
      </c>
      <c r="E841" s="1087">
        <v>1600</v>
      </c>
      <c r="F841" s="1088">
        <v>41618223</v>
      </c>
      <c r="G841" s="1086" t="s">
        <v>4791</v>
      </c>
      <c r="H841" s="1086" t="s">
        <v>4790</v>
      </c>
      <c r="I841" s="415"/>
      <c r="J841" s="415"/>
      <c r="K841" s="945"/>
      <c r="L841" s="416"/>
      <c r="M841" s="1087">
        <v>1600</v>
      </c>
      <c r="N841" s="1119">
        <v>6</v>
      </c>
      <c r="O841" s="1119">
        <v>6</v>
      </c>
      <c r="P841" s="1087">
        <v>1600</v>
      </c>
    </row>
    <row r="842" spans="1:16" ht="24" x14ac:dyDescent="0.2">
      <c r="A842" s="1152" t="s">
        <v>4669</v>
      </c>
      <c r="B842" s="416" t="s">
        <v>3998</v>
      </c>
      <c r="C842" s="60" t="s">
        <v>398</v>
      </c>
      <c r="D842" s="1086" t="s">
        <v>4792</v>
      </c>
      <c r="E842" s="1087">
        <v>2200</v>
      </c>
      <c r="F842" s="1088">
        <v>45751550</v>
      </c>
      <c r="G842" s="1086" t="s">
        <v>4793</v>
      </c>
      <c r="H842" s="1086" t="s">
        <v>4792</v>
      </c>
      <c r="I842" s="415"/>
      <c r="J842" s="415"/>
      <c r="K842" s="945"/>
      <c r="L842" s="416"/>
      <c r="M842" s="1087">
        <v>2200</v>
      </c>
      <c r="N842" s="1119">
        <v>6</v>
      </c>
      <c r="O842" s="1119">
        <v>6</v>
      </c>
      <c r="P842" s="1087">
        <v>2200</v>
      </c>
    </row>
    <row r="843" spans="1:16" ht="24" x14ac:dyDescent="0.2">
      <c r="A843" s="1152" t="s">
        <v>4669</v>
      </c>
      <c r="B843" s="416" t="s">
        <v>3998</v>
      </c>
      <c r="C843" s="60" t="s">
        <v>398</v>
      </c>
      <c r="D843" s="1086" t="s">
        <v>4794</v>
      </c>
      <c r="E843" s="1087">
        <v>1200</v>
      </c>
      <c r="F843" s="1088">
        <v>101941</v>
      </c>
      <c r="G843" s="1086" t="s">
        <v>4795</v>
      </c>
      <c r="H843" s="1086" t="s">
        <v>4794</v>
      </c>
      <c r="I843" s="415"/>
      <c r="J843" s="415"/>
      <c r="K843" s="945"/>
      <c r="L843" s="416"/>
      <c r="M843" s="1087">
        <v>1200</v>
      </c>
      <c r="N843" s="1119">
        <v>6</v>
      </c>
      <c r="O843" s="1119">
        <v>6</v>
      </c>
      <c r="P843" s="1087">
        <v>1200</v>
      </c>
    </row>
    <row r="844" spans="1:16" x14ac:dyDescent="0.2">
      <c r="A844" s="1152" t="s">
        <v>4669</v>
      </c>
      <c r="B844" s="416" t="s">
        <v>3998</v>
      </c>
      <c r="C844" s="60" t="s">
        <v>398</v>
      </c>
      <c r="D844" s="1086" t="s">
        <v>3134</v>
      </c>
      <c r="E844" s="1087">
        <v>1200</v>
      </c>
      <c r="F844" s="1088">
        <v>43043231</v>
      </c>
      <c r="G844" s="1086" t="s">
        <v>4796</v>
      </c>
      <c r="H844" s="1086" t="s">
        <v>3134</v>
      </c>
      <c r="I844" s="415"/>
      <c r="J844" s="415"/>
      <c r="K844" s="945"/>
      <c r="L844" s="416"/>
      <c r="M844" s="1087">
        <v>1200</v>
      </c>
      <c r="N844" s="1119">
        <v>6</v>
      </c>
      <c r="O844" s="1119">
        <v>6</v>
      </c>
      <c r="P844" s="1087">
        <v>1200</v>
      </c>
    </row>
    <row r="845" spans="1:16" x14ac:dyDescent="0.2">
      <c r="A845" s="1152" t="s">
        <v>4669</v>
      </c>
      <c r="B845" s="416" t="s">
        <v>3998</v>
      </c>
      <c r="C845" s="60" t="s">
        <v>398</v>
      </c>
      <c r="D845" s="1086" t="s">
        <v>3134</v>
      </c>
      <c r="E845" s="1087">
        <v>1500</v>
      </c>
      <c r="F845" s="1088">
        <v>5314352</v>
      </c>
      <c r="G845" s="1086" t="s">
        <v>4797</v>
      </c>
      <c r="H845" s="1086" t="s">
        <v>3134</v>
      </c>
      <c r="I845" s="415"/>
      <c r="J845" s="415"/>
      <c r="K845" s="945"/>
      <c r="L845" s="416"/>
      <c r="M845" s="1087">
        <v>1500</v>
      </c>
      <c r="N845" s="1119">
        <v>6</v>
      </c>
      <c r="O845" s="1119">
        <v>6</v>
      </c>
      <c r="P845" s="1087">
        <v>1500</v>
      </c>
    </row>
    <row r="846" spans="1:16" x14ac:dyDescent="0.2">
      <c r="A846" s="1152" t="s">
        <v>4669</v>
      </c>
      <c r="B846" s="416" t="s">
        <v>3998</v>
      </c>
      <c r="C846" s="60" t="s">
        <v>398</v>
      </c>
      <c r="D846" s="1086" t="s">
        <v>4672</v>
      </c>
      <c r="E846" s="1087">
        <v>1600</v>
      </c>
      <c r="F846" s="1088">
        <v>110762</v>
      </c>
      <c r="G846" s="1086" t="s">
        <v>4798</v>
      </c>
      <c r="H846" s="1086" t="s">
        <v>4672</v>
      </c>
      <c r="I846" s="415"/>
      <c r="J846" s="415"/>
      <c r="K846" s="945"/>
      <c r="L846" s="416"/>
      <c r="M846" s="1087">
        <v>1600</v>
      </c>
      <c r="N846" s="1119">
        <v>6</v>
      </c>
      <c r="O846" s="1119">
        <v>6</v>
      </c>
      <c r="P846" s="1087">
        <v>1600</v>
      </c>
    </row>
    <row r="847" spans="1:16" x14ac:dyDescent="0.2">
      <c r="A847" s="1152" t="s">
        <v>4669</v>
      </c>
      <c r="B847" s="416" t="s">
        <v>3998</v>
      </c>
      <c r="C847" s="60" t="s">
        <v>398</v>
      </c>
      <c r="D847" s="1086" t="s">
        <v>4799</v>
      </c>
      <c r="E847" s="1087">
        <v>1600</v>
      </c>
      <c r="F847" s="1088">
        <v>72314961</v>
      </c>
      <c r="G847" s="1086" t="s">
        <v>4800</v>
      </c>
      <c r="H847" s="1086" t="s">
        <v>4799</v>
      </c>
      <c r="I847" s="415"/>
      <c r="J847" s="415"/>
      <c r="K847" s="945"/>
      <c r="L847" s="416"/>
      <c r="M847" s="1087">
        <v>1600</v>
      </c>
      <c r="N847" s="1119">
        <v>6</v>
      </c>
      <c r="O847" s="1119">
        <v>6</v>
      </c>
      <c r="P847" s="1087">
        <v>1600</v>
      </c>
    </row>
    <row r="848" spans="1:16" ht="24" x14ac:dyDescent="0.2">
      <c r="A848" s="1152" t="s">
        <v>4669</v>
      </c>
      <c r="B848" s="416" t="s">
        <v>3998</v>
      </c>
      <c r="C848" s="60" t="s">
        <v>398</v>
      </c>
      <c r="D848" s="1086" t="s">
        <v>4801</v>
      </c>
      <c r="E848" s="1087">
        <v>1200</v>
      </c>
      <c r="F848" s="1088">
        <v>2992</v>
      </c>
      <c r="G848" s="1086" t="s">
        <v>4802</v>
      </c>
      <c r="H848" s="1086" t="s">
        <v>4801</v>
      </c>
      <c r="I848" s="415"/>
      <c r="J848" s="415"/>
      <c r="K848" s="945"/>
      <c r="L848" s="416"/>
      <c r="M848" s="1087">
        <v>1200</v>
      </c>
      <c r="N848" s="1119">
        <v>6</v>
      </c>
      <c r="O848" s="1119">
        <v>6</v>
      </c>
      <c r="P848" s="1087">
        <v>1200</v>
      </c>
    </row>
    <row r="849" spans="1:16" ht="24" x14ac:dyDescent="0.2">
      <c r="A849" s="1152" t="s">
        <v>4669</v>
      </c>
      <c r="B849" s="416" t="s">
        <v>3998</v>
      </c>
      <c r="C849" s="60" t="s">
        <v>398</v>
      </c>
      <c r="D849" s="1086" t="s">
        <v>3100</v>
      </c>
      <c r="E849" s="1087">
        <v>1400</v>
      </c>
      <c r="F849" s="1088">
        <v>41075057</v>
      </c>
      <c r="G849" s="1086" t="s">
        <v>4803</v>
      </c>
      <c r="H849" s="1086" t="s">
        <v>3100</v>
      </c>
      <c r="I849" s="415"/>
      <c r="J849" s="415"/>
      <c r="K849" s="945"/>
      <c r="L849" s="416"/>
      <c r="M849" s="1087">
        <v>1400</v>
      </c>
      <c r="N849" s="1119">
        <v>6</v>
      </c>
      <c r="O849" s="1119">
        <v>6</v>
      </c>
      <c r="P849" s="1087">
        <v>1400</v>
      </c>
    </row>
    <row r="850" spans="1:16" x14ac:dyDescent="0.2">
      <c r="A850" s="1152" t="s">
        <v>4669</v>
      </c>
      <c r="B850" s="416" t="s">
        <v>3998</v>
      </c>
      <c r="C850" s="60" t="s">
        <v>398</v>
      </c>
      <c r="D850" s="1086" t="s">
        <v>4672</v>
      </c>
      <c r="E850" s="1087">
        <v>1500</v>
      </c>
      <c r="F850" s="1088">
        <v>10811</v>
      </c>
      <c r="G850" s="1086" t="s">
        <v>4804</v>
      </c>
      <c r="H850" s="1086" t="s">
        <v>4672</v>
      </c>
      <c r="I850" s="415"/>
      <c r="J850" s="415"/>
      <c r="K850" s="945"/>
      <c r="L850" s="416"/>
      <c r="M850" s="1087">
        <v>1500</v>
      </c>
      <c r="N850" s="1119">
        <v>6</v>
      </c>
      <c r="O850" s="1119">
        <v>6</v>
      </c>
      <c r="P850" s="1087">
        <v>1500</v>
      </c>
    </row>
    <row r="851" spans="1:16" ht="24" x14ac:dyDescent="0.2">
      <c r="A851" s="1152" t="s">
        <v>4669</v>
      </c>
      <c r="B851" s="416" t="s">
        <v>3998</v>
      </c>
      <c r="C851" s="60" t="s">
        <v>398</v>
      </c>
      <c r="D851" s="1086" t="s">
        <v>4805</v>
      </c>
      <c r="E851" s="1087">
        <v>1500</v>
      </c>
      <c r="F851" s="1088">
        <v>113755</v>
      </c>
      <c r="G851" s="1086" t="s">
        <v>4806</v>
      </c>
      <c r="H851" s="1086" t="s">
        <v>4805</v>
      </c>
      <c r="I851" s="415"/>
      <c r="J851" s="415"/>
      <c r="K851" s="945"/>
      <c r="L851" s="416"/>
      <c r="M851" s="1087">
        <v>1500</v>
      </c>
      <c r="N851" s="1119">
        <v>6</v>
      </c>
      <c r="O851" s="1119">
        <v>6</v>
      </c>
      <c r="P851" s="1087">
        <v>1500</v>
      </c>
    </row>
    <row r="852" spans="1:16" x14ac:dyDescent="0.2">
      <c r="A852" s="1152" t="s">
        <v>4669</v>
      </c>
      <c r="B852" s="416" t="s">
        <v>3998</v>
      </c>
      <c r="C852" s="60" t="s">
        <v>398</v>
      </c>
      <c r="D852" s="1086" t="s">
        <v>3187</v>
      </c>
      <c r="E852" s="1087">
        <v>1200</v>
      </c>
      <c r="F852" s="1088">
        <v>129315</v>
      </c>
      <c r="G852" s="1086" t="s">
        <v>4807</v>
      </c>
      <c r="H852" s="1086" t="s">
        <v>3187</v>
      </c>
      <c r="I852" s="415"/>
      <c r="J852" s="415"/>
      <c r="K852" s="945"/>
      <c r="L852" s="416"/>
      <c r="M852" s="1087">
        <v>1200</v>
      </c>
      <c r="N852" s="1119">
        <v>6</v>
      </c>
      <c r="O852" s="1119">
        <v>6</v>
      </c>
      <c r="P852" s="1087">
        <v>1200</v>
      </c>
    </row>
    <row r="853" spans="1:16" ht="24" x14ac:dyDescent="0.2">
      <c r="A853" s="1152" t="s">
        <v>4669</v>
      </c>
      <c r="B853" s="416" t="s">
        <v>3998</v>
      </c>
      <c r="C853" s="60" t="s">
        <v>398</v>
      </c>
      <c r="D853" s="1086" t="s">
        <v>4808</v>
      </c>
      <c r="E853" s="1087">
        <v>1200</v>
      </c>
      <c r="F853" s="1088">
        <v>40323808</v>
      </c>
      <c r="G853" s="1086" t="s">
        <v>4809</v>
      </c>
      <c r="H853" s="1086" t="s">
        <v>4808</v>
      </c>
      <c r="I853" s="415"/>
      <c r="J853" s="415"/>
      <c r="K853" s="945"/>
      <c r="L853" s="416"/>
      <c r="M853" s="1087">
        <v>1200</v>
      </c>
      <c r="N853" s="1119">
        <v>6</v>
      </c>
      <c r="O853" s="1119">
        <v>6</v>
      </c>
      <c r="P853" s="1087">
        <v>1200</v>
      </c>
    </row>
    <row r="854" spans="1:16" ht="24" x14ac:dyDescent="0.2">
      <c r="A854" s="1152" t="s">
        <v>4669</v>
      </c>
      <c r="B854" s="416" t="s">
        <v>3998</v>
      </c>
      <c r="C854" s="60" t="s">
        <v>398</v>
      </c>
      <c r="D854" s="1086" t="s">
        <v>4810</v>
      </c>
      <c r="E854" s="1087">
        <v>2200</v>
      </c>
      <c r="F854" s="1088">
        <v>15739958</v>
      </c>
      <c r="G854" s="1086" t="s">
        <v>4811</v>
      </c>
      <c r="H854" s="1086" t="s">
        <v>4810</v>
      </c>
      <c r="I854" s="415"/>
      <c r="J854" s="415"/>
      <c r="K854" s="945"/>
      <c r="L854" s="416"/>
      <c r="M854" s="1087">
        <v>2200</v>
      </c>
      <c r="N854" s="1119">
        <v>6</v>
      </c>
      <c r="O854" s="1119">
        <v>6</v>
      </c>
      <c r="P854" s="1087">
        <v>2200</v>
      </c>
    </row>
    <row r="855" spans="1:16" ht="24" x14ac:dyDescent="0.2">
      <c r="A855" s="1152" t="s">
        <v>4669</v>
      </c>
      <c r="B855" s="416" t="s">
        <v>3998</v>
      </c>
      <c r="C855" s="60" t="s">
        <v>398</v>
      </c>
      <c r="D855" s="1086" t="s">
        <v>4812</v>
      </c>
      <c r="E855" s="1087">
        <v>1700</v>
      </c>
      <c r="F855" s="1088">
        <v>109249</v>
      </c>
      <c r="G855" s="1086" t="s">
        <v>4813</v>
      </c>
      <c r="H855" s="1086" t="s">
        <v>4812</v>
      </c>
      <c r="I855" s="415"/>
      <c r="J855" s="415"/>
      <c r="K855" s="945"/>
      <c r="L855" s="416"/>
      <c r="M855" s="1087">
        <v>1700</v>
      </c>
      <c r="N855" s="1119">
        <v>6</v>
      </c>
      <c r="O855" s="1119">
        <v>6</v>
      </c>
      <c r="P855" s="1087">
        <v>1700</v>
      </c>
    </row>
    <row r="856" spans="1:16" ht="60" x14ac:dyDescent="0.2">
      <c r="A856" s="1152" t="s">
        <v>4669</v>
      </c>
      <c r="B856" s="416" t="s">
        <v>3998</v>
      </c>
      <c r="C856" s="60" t="s">
        <v>398</v>
      </c>
      <c r="D856" s="1086" t="s">
        <v>4814</v>
      </c>
      <c r="E856" s="1087">
        <v>1600</v>
      </c>
      <c r="F856" s="1088">
        <v>40709271</v>
      </c>
      <c r="G856" s="1086" t="s">
        <v>4815</v>
      </c>
      <c r="H856" s="1086" t="s">
        <v>4814</v>
      </c>
      <c r="I856" s="415"/>
      <c r="J856" s="415"/>
      <c r="K856" s="945"/>
      <c r="L856" s="416"/>
      <c r="M856" s="1087">
        <v>1600</v>
      </c>
      <c r="N856" s="1119">
        <v>6</v>
      </c>
      <c r="O856" s="1119">
        <v>6</v>
      </c>
      <c r="P856" s="1087">
        <v>1600</v>
      </c>
    </row>
    <row r="857" spans="1:16" x14ac:dyDescent="0.2">
      <c r="A857" s="1152" t="s">
        <v>4669</v>
      </c>
      <c r="B857" s="416" t="s">
        <v>3998</v>
      </c>
      <c r="C857" s="60" t="s">
        <v>398</v>
      </c>
      <c r="D857" s="1086" t="s">
        <v>3134</v>
      </c>
      <c r="E857" s="1087">
        <v>1200</v>
      </c>
      <c r="F857" s="1088">
        <v>25680600</v>
      </c>
      <c r="G857" s="1086" t="s">
        <v>4816</v>
      </c>
      <c r="H857" s="1086" t="s">
        <v>3134</v>
      </c>
      <c r="I857" s="415"/>
      <c r="J857" s="415"/>
      <c r="K857" s="945"/>
      <c r="L857" s="416"/>
      <c r="M857" s="1087">
        <v>1200</v>
      </c>
      <c r="N857" s="1119">
        <v>6</v>
      </c>
      <c r="O857" s="1119">
        <v>6</v>
      </c>
      <c r="P857" s="1087">
        <v>1200</v>
      </c>
    </row>
    <row r="858" spans="1:16" ht="24" x14ac:dyDescent="0.2">
      <c r="A858" s="1152" t="s">
        <v>4669</v>
      </c>
      <c r="B858" s="416" t="s">
        <v>3998</v>
      </c>
      <c r="C858" s="60" t="s">
        <v>398</v>
      </c>
      <c r="D858" s="1086" t="s">
        <v>3112</v>
      </c>
      <c r="E858" s="1087">
        <v>1500</v>
      </c>
      <c r="F858" s="1088">
        <v>90546</v>
      </c>
      <c r="G858" s="1086" t="s">
        <v>4817</v>
      </c>
      <c r="H858" s="1086" t="s">
        <v>3112</v>
      </c>
      <c r="I858" s="415"/>
      <c r="J858" s="415"/>
      <c r="K858" s="945"/>
      <c r="L858" s="416"/>
      <c r="M858" s="1087">
        <v>1500</v>
      </c>
      <c r="N858" s="1119">
        <v>6</v>
      </c>
      <c r="O858" s="1119">
        <v>6</v>
      </c>
      <c r="P858" s="1087">
        <v>1500</v>
      </c>
    </row>
    <row r="859" spans="1:16" x14ac:dyDescent="0.2">
      <c r="A859" s="1152" t="s">
        <v>4669</v>
      </c>
      <c r="B859" s="416" t="s">
        <v>3998</v>
      </c>
      <c r="C859" s="60" t="s">
        <v>398</v>
      </c>
      <c r="D859" s="1086" t="s">
        <v>4818</v>
      </c>
      <c r="E859" s="1087">
        <v>1500</v>
      </c>
      <c r="F859" s="1088">
        <v>42753495</v>
      </c>
      <c r="G859" s="1086" t="s">
        <v>4819</v>
      </c>
      <c r="H859" s="1086" t="s">
        <v>4818</v>
      </c>
      <c r="I859" s="415"/>
      <c r="J859" s="415"/>
      <c r="K859" s="945"/>
      <c r="L859" s="416"/>
      <c r="M859" s="1087">
        <v>1500</v>
      </c>
      <c r="N859" s="1119">
        <v>6</v>
      </c>
      <c r="O859" s="1119">
        <v>6</v>
      </c>
      <c r="P859" s="1087">
        <v>1500</v>
      </c>
    </row>
    <row r="860" spans="1:16" x14ac:dyDescent="0.2">
      <c r="A860" s="1152" t="s">
        <v>4669</v>
      </c>
      <c r="B860" s="416" t="s">
        <v>3998</v>
      </c>
      <c r="C860" s="60" t="s">
        <v>398</v>
      </c>
      <c r="D860" s="1086" t="s">
        <v>4820</v>
      </c>
      <c r="E860" s="1087">
        <v>1800</v>
      </c>
      <c r="F860" s="1088">
        <v>46334428</v>
      </c>
      <c r="G860" s="1086" t="s">
        <v>4821</v>
      </c>
      <c r="H860" s="1086" t="s">
        <v>4820</v>
      </c>
      <c r="I860" s="415"/>
      <c r="J860" s="415"/>
      <c r="K860" s="945"/>
      <c r="L860" s="416"/>
      <c r="M860" s="1087">
        <v>1800</v>
      </c>
      <c r="N860" s="1119">
        <v>6</v>
      </c>
      <c r="O860" s="1119">
        <v>6</v>
      </c>
      <c r="P860" s="1087">
        <v>1800</v>
      </c>
    </row>
    <row r="861" spans="1:16" x14ac:dyDescent="0.2">
      <c r="A861" s="1152" t="s">
        <v>4669</v>
      </c>
      <c r="B861" s="416" t="s">
        <v>3998</v>
      </c>
      <c r="C861" s="60" t="s">
        <v>398</v>
      </c>
      <c r="D861" s="1086" t="s">
        <v>4672</v>
      </c>
      <c r="E861" s="1087">
        <v>1500</v>
      </c>
      <c r="F861" s="1088">
        <v>41059343</v>
      </c>
      <c r="G861" s="1086" t="s">
        <v>4822</v>
      </c>
      <c r="H861" s="1086" t="s">
        <v>4672</v>
      </c>
      <c r="I861" s="415"/>
      <c r="J861" s="415"/>
      <c r="K861" s="945"/>
      <c r="L861" s="416"/>
      <c r="M861" s="1087">
        <v>1500</v>
      </c>
      <c r="N861" s="1119">
        <v>6</v>
      </c>
      <c r="O861" s="1119">
        <v>6</v>
      </c>
      <c r="P861" s="1087">
        <v>1500</v>
      </c>
    </row>
    <row r="862" spans="1:16" x14ac:dyDescent="0.2">
      <c r="A862" s="1152" t="s">
        <v>4669</v>
      </c>
      <c r="B862" s="416" t="s">
        <v>3998</v>
      </c>
      <c r="C862" s="60" t="s">
        <v>398</v>
      </c>
      <c r="D862" s="1086" t="s">
        <v>3281</v>
      </c>
      <c r="E862" s="1087">
        <v>2300</v>
      </c>
      <c r="F862" s="1088">
        <v>74580</v>
      </c>
      <c r="G862" s="1086" t="s">
        <v>4823</v>
      </c>
      <c r="H862" s="1086" t="s">
        <v>3281</v>
      </c>
      <c r="I862" s="415"/>
      <c r="J862" s="415"/>
      <c r="K862" s="945"/>
      <c r="L862" s="416"/>
      <c r="M862" s="1087">
        <v>2300</v>
      </c>
      <c r="N862" s="1119">
        <v>6</v>
      </c>
      <c r="O862" s="1119">
        <v>6</v>
      </c>
      <c r="P862" s="1087">
        <v>2300</v>
      </c>
    </row>
    <row r="863" spans="1:16" ht="24" x14ac:dyDescent="0.2">
      <c r="A863" s="1152" t="s">
        <v>4669</v>
      </c>
      <c r="B863" s="416" t="s">
        <v>3998</v>
      </c>
      <c r="C863" s="60" t="s">
        <v>398</v>
      </c>
      <c r="D863" s="1086" t="s">
        <v>4824</v>
      </c>
      <c r="E863" s="1087">
        <v>1700</v>
      </c>
      <c r="F863" s="1088">
        <v>40272805</v>
      </c>
      <c r="G863" s="1086" t="s">
        <v>4825</v>
      </c>
      <c r="H863" s="1086" t="s">
        <v>4824</v>
      </c>
      <c r="I863" s="415"/>
      <c r="J863" s="415"/>
      <c r="K863" s="945"/>
      <c r="L863" s="416"/>
      <c r="M863" s="1087">
        <v>1700</v>
      </c>
      <c r="N863" s="1119">
        <v>6</v>
      </c>
      <c r="O863" s="1119">
        <v>6</v>
      </c>
      <c r="P863" s="1087">
        <v>1700</v>
      </c>
    </row>
    <row r="864" spans="1:16" x14ac:dyDescent="0.2">
      <c r="A864" s="1152" t="s">
        <v>4669</v>
      </c>
      <c r="B864" s="416" t="s">
        <v>3998</v>
      </c>
      <c r="C864" s="60" t="s">
        <v>398</v>
      </c>
      <c r="D864" s="1086" t="s">
        <v>4826</v>
      </c>
      <c r="E864" s="1087">
        <v>1600</v>
      </c>
      <c r="F864" s="1088">
        <v>36073</v>
      </c>
      <c r="G864" s="1086" t="s">
        <v>4827</v>
      </c>
      <c r="H864" s="1086" t="s">
        <v>4826</v>
      </c>
      <c r="I864" s="415"/>
      <c r="J864" s="415"/>
      <c r="K864" s="945"/>
      <c r="L864" s="416"/>
      <c r="M864" s="1087">
        <v>1600</v>
      </c>
      <c r="N864" s="1119">
        <v>6</v>
      </c>
      <c r="O864" s="1119">
        <v>6</v>
      </c>
      <c r="P864" s="1087">
        <v>1600</v>
      </c>
    </row>
    <row r="865" spans="1:16" x14ac:dyDescent="0.2">
      <c r="A865" s="1152" t="s">
        <v>4669</v>
      </c>
      <c r="B865" s="416" t="s">
        <v>3998</v>
      </c>
      <c r="C865" s="60" t="s">
        <v>398</v>
      </c>
      <c r="D865" s="1086" t="s">
        <v>4828</v>
      </c>
      <c r="E865" s="1087">
        <v>1800</v>
      </c>
      <c r="F865" s="1088">
        <v>41712363</v>
      </c>
      <c r="G865" s="1086" t="s">
        <v>4829</v>
      </c>
      <c r="H865" s="1086" t="s">
        <v>4828</v>
      </c>
      <c r="I865" s="415"/>
      <c r="J865" s="415"/>
      <c r="K865" s="945"/>
      <c r="L865" s="416"/>
      <c r="M865" s="1087">
        <v>1800</v>
      </c>
      <c r="N865" s="1119">
        <v>6</v>
      </c>
      <c r="O865" s="1119">
        <v>6</v>
      </c>
      <c r="P865" s="1087">
        <v>1800</v>
      </c>
    </row>
    <row r="866" spans="1:16" ht="24" x14ac:dyDescent="0.2">
      <c r="A866" s="1152" t="s">
        <v>4669</v>
      </c>
      <c r="B866" s="416" t="s">
        <v>3998</v>
      </c>
      <c r="C866" s="60" t="s">
        <v>398</v>
      </c>
      <c r="D866" s="1086" t="s">
        <v>4830</v>
      </c>
      <c r="E866" s="1087">
        <v>2200</v>
      </c>
      <c r="F866" s="1088">
        <v>112244</v>
      </c>
      <c r="G866" s="1086" t="s">
        <v>4831</v>
      </c>
      <c r="H866" s="1086" t="s">
        <v>4830</v>
      </c>
      <c r="I866" s="415"/>
      <c r="J866" s="415"/>
      <c r="K866" s="945"/>
      <c r="L866" s="416"/>
      <c r="M866" s="1087">
        <v>2200</v>
      </c>
      <c r="N866" s="1119">
        <v>6</v>
      </c>
      <c r="O866" s="1119">
        <v>6</v>
      </c>
      <c r="P866" s="1087">
        <v>2200</v>
      </c>
    </row>
    <row r="867" spans="1:16" ht="24" x14ac:dyDescent="0.2">
      <c r="A867" s="1152" t="s">
        <v>4669</v>
      </c>
      <c r="B867" s="416" t="s">
        <v>3998</v>
      </c>
      <c r="C867" s="60" t="s">
        <v>398</v>
      </c>
      <c r="D867" s="1086" t="s">
        <v>4832</v>
      </c>
      <c r="E867" s="1087">
        <v>1600</v>
      </c>
      <c r="F867" s="1088">
        <v>119556</v>
      </c>
      <c r="G867" s="1086" t="s">
        <v>4833</v>
      </c>
      <c r="H867" s="1086" t="s">
        <v>4832</v>
      </c>
      <c r="I867" s="415"/>
      <c r="J867" s="415"/>
      <c r="K867" s="945"/>
      <c r="L867" s="416"/>
      <c r="M867" s="1087">
        <v>1600</v>
      </c>
      <c r="N867" s="1119">
        <v>6</v>
      </c>
      <c r="O867" s="1119">
        <v>6</v>
      </c>
      <c r="P867" s="1087">
        <v>1600</v>
      </c>
    </row>
    <row r="868" spans="1:16" x14ac:dyDescent="0.2">
      <c r="A868" s="1152" t="s">
        <v>4669</v>
      </c>
      <c r="B868" s="416" t="s">
        <v>3998</v>
      </c>
      <c r="C868" s="60" t="s">
        <v>398</v>
      </c>
      <c r="D868" s="1086" t="s">
        <v>4834</v>
      </c>
      <c r="E868" s="1087">
        <v>1500</v>
      </c>
      <c r="F868" s="1088">
        <v>40585659</v>
      </c>
      <c r="G868" s="1086" t="s">
        <v>4835</v>
      </c>
      <c r="H868" s="1086" t="s">
        <v>4834</v>
      </c>
      <c r="I868" s="415"/>
      <c r="J868" s="415"/>
      <c r="K868" s="945"/>
      <c r="L868" s="416"/>
      <c r="M868" s="1087">
        <v>1500</v>
      </c>
      <c r="N868" s="1119">
        <v>6</v>
      </c>
      <c r="O868" s="1119">
        <v>6</v>
      </c>
      <c r="P868" s="1087">
        <v>1500</v>
      </c>
    </row>
    <row r="869" spans="1:16" ht="24" x14ac:dyDescent="0.2">
      <c r="A869" s="1152" t="s">
        <v>4669</v>
      </c>
      <c r="B869" s="416" t="s">
        <v>3998</v>
      </c>
      <c r="C869" s="60" t="s">
        <v>398</v>
      </c>
      <c r="D869" s="1086" t="s">
        <v>4836</v>
      </c>
      <c r="E869" s="1087">
        <v>1500</v>
      </c>
      <c r="F869" s="1088">
        <v>42783002</v>
      </c>
      <c r="G869" s="1086" t="s">
        <v>4837</v>
      </c>
      <c r="H869" s="1086" t="s">
        <v>4836</v>
      </c>
      <c r="I869" s="415"/>
      <c r="J869" s="415"/>
      <c r="K869" s="945"/>
      <c r="L869" s="416"/>
      <c r="M869" s="1087">
        <v>1500</v>
      </c>
      <c r="N869" s="1119">
        <v>6</v>
      </c>
      <c r="O869" s="1119">
        <v>6</v>
      </c>
      <c r="P869" s="1087">
        <v>1500</v>
      </c>
    </row>
    <row r="870" spans="1:16" ht="24" x14ac:dyDescent="0.2">
      <c r="A870" s="1152" t="s">
        <v>4669</v>
      </c>
      <c r="B870" s="416" t="s">
        <v>3998</v>
      </c>
      <c r="C870" s="60" t="s">
        <v>398</v>
      </c>
      <c r="D870" s="1086" t="s">
        <v>4838</v>
      </c>
      <c r="E870" s="1087">
        <v>1000</v>
      </c>
      <c r="F870" s="1088">
        <v>41926677</v>
      </c>
      <c r="G870" s="1086" t="s">
        <v>4839</v>
      </c>
      <c r="H870" s="1086" t="s">
        <v>4838</v>
      </c>
      <c r="I870" s="415"/>
      <c r="J870" s="415"/>
      <c r="K870" s="945"/>
      <c r="L870" s="416"/>
      <c r="M870" s="1087">
        <v>1000</v>
      </c>
      <c r="N870" s="1119">
        <v>6</v>
      </c>
      <c r="O870" s="1119">
        <v>6</v>
      </c>
      <c r="P870" s="1087">
        <v>1000</v>
      </c>
    </row>
    <row r="871" spans="1:16" ht="36" x14ac:dyDescent="0.2">
      <c r="A871" s="1152" t="s">
        <v>4669</v>
      </c>
      <c r="B871" s="416" t="s">
        <v>3998</v>
      </c>
      <c r="C871" s="60" t="s">
        <v>398</v>
      </c>
      <c r="D871" s="1086" t="s">
        <v>4840</v>
      </c>
      <c r="E871" s="1087">
        <v>5950</v>
      </c>
      <c r="F871" s="1088">
        <v>108618</v>
      </c>
      <c r="G871" s="1086" t="s">
        <v>4841</v>
      </c>
      <c r="H871" s="1086" t="s">
        <v>4840</v>
      </c>
      <c r="I871" s="415"/>
      <c r="J871" s="415"/>
      <c r="K871" s="945"/>
      <c r="L871" s="416"/>
      <c r="M871" s="1087">
        <v>5950</v>
      </c>
      <c r="N871" s="1119">
        <v>6</v>
      </c>
      <c r="O871" s="1119">
        <v>6</v>
      </c>
      <c r="P871" s="1087">
        <v>5950</v>
      </c>
    </row>
    <row r="872" spans="1:16" ht="24" x14ac:dyDescent="0.2">
      <c r="A872" s="1152" t="s">
        <v>4669</v>
      </c>
      <c r="B872" s="416" t="s">
        <v>3998</v>
      </c>
      <c r="C872" s="60" t="s">
        <v>398</v>
      </c>
      <c r="D872" s="1086" t="s">
        <v>3100</v>
      </c>
      <c r="E872" s="1087">
        <v>2000</v>
      </c>
      <c r="F872" s="1088">
        <v>42190801</v>
      </c>
      <c r="G872" s="1086" t="s">
        <v>4842</v>
      </c>
      <c r="H872" s="1086" t="s">
        <v>3100</v>
      </c>
      <c r="I872" s="415"/>
      <c r="J872" s="415"/>
      <c r="K872" s="945"/>
      <c r="L872" s="416"/>
      <c r="M872" s="1087">
        <v>2000</v>
      </c>
      <c r="N872" s="1119">
        <v>6</v>
      </c>
      <c r="O872" s="1119">
        <v>6</v>
      </c>
      <c r="P872" s="1087">
        <v>2000</v>
      </c>
    </row>
    <row r="873" spans="1:16" x14ac:dyDescent="0.2">
      <c r="A873" s="1152" t="s">
        <v>4669</v>
      </c>
      <c r="B873" s="416" t="s">
        <v>3998</v>
      </c>
      <c r="C873" s="60" t="s">
        <v>398</v>
      </c>
      <c r="D873" s="1086" t="s">
        <v>3134</v>
      </c>
      <c r="E873" s="1087">
        <v>1000</v>
      </c>
      <c r="F873" s="1088">
        <v>70837883</v>
      </c>
      <c r="G873" s="1086" t="s">
        <v>4843</v>
      </c>
      <c r="H873" s="1086" t="s">
        <v>3134</v>
      </c>
      <c r="I873" s="415"/>
      <c r="J873" s="415"/>
      <c r="K873" s="945"/>
      <c r="L873" s="416"/>
      <c r="M873" s="1087">
        <v>1000</v>
      </c>
      <c r="N873" s="1119">
        <v>6</v>
      </c>
      <c r="O873" s="1119">
        <v>6</v>
      </c>
      <c r="P873" s="1087">
        <v>1000</v>
      </c>
    </row>
    <row r="874" spans="1:16" ht="24" x14ac:dyDescent="0.2">
      <c r="A874" s="1152" t="s">
        <v>4669</v>
      </c>
      <c r="B874" s="416" t="s">
        <v>3998</v>
      </c>
      <c r="C874" s="60" t="s">
        <v>398</v>
      </c>
      <c r="D874" s="1086" t="s">
        <v>4844</v>
      </c>
      <c r="E874" s="1087">
        <v>2200</v>
      </c>
      <c r="F874" s="1088">
        <v>22965177</v>
      </c>
      <c r="G874" s="1086" t="s">
        <v>4845</v>
      </c>
      <c r="H874" s="1086" t="s">
        <v>4844</v>
      </c>
      <c r="I874" s="415"/>
      <c r="J874" s="415"/>
      <c r="K874" s="945"/>
      <c r="L874" s="416"/>
      <c r="M874" s="1087">
        <v>2200</v>
      </c>
      <c r="N874" s="1119">
        <v>6</v>
      </c>
      <c r="O874" s="1119">
        <v>6</v>
      </c>
      <c r="P874" s="1087">
        <v>2200</v>
      </c>
    </row>
    <row r="875" spans="1:16" x14ac:dyDescent="0.2">
      <c r="A875" s="1152" t="s">
        <v>4669</v>
      </c>
      <c r="B875" s="416" t="s">
        <v>3998</v>
      </c>
      <c r="C875" s="60" t="s">
        <v>398</v>
      </c>
      <c r="D875" s="1086" t="s">
        <v>4834</v>
      </c>
      <c r="E875" s="1087">
        <v>1500</v>
      </c>
      <c r="F875" s="1088">
        <v>5935968</v>
      </c>
      <c r="G875" s="1086" t="s">
        <v>4846</v>
      </c>
      <c r="H875" s="1086" t="s">
        <v>4834</v>
      </c>
      <c r="I875" s="415"/>
      <c r="J875" s="415"/>
      <c r="K875" s="945"/>
      <c r="L875" s="416"/>
      <c r="M875" s="1087">
        <v>1500</v>
      </c>
      <c r="N875" s="1119">
        <v>6</v>
      </c>
      <c r="O875" s="1119">
        <v>6</v>
      </c>
      <c r="P875" s="1087">
        <v>1500</v>
      </c>
    </row>
    <row r="876" spans="1:16" ht="24" x14ac:dyDescent="0.2">
      <c r="A876" s="1152" t="s">
        <v>4669</v>
      </c>
      <c r="B876" s="416" t="s">
        <v>3998</v>
      </c>
      <c r="C876" s="60" t="s">
        <v>398</v>
      </c>
      <c r="D876" s="1086" t="s">
        <v>3112</v>
      </c>
      <c r="E876" s="1087">
        <v>1300</v>
      </c>
      <c r="F876" s="1088">
        <v>47596883</v>
      </c>
      <c r="G876" s="1086" t="s">
        <v>4847</v>
      </c>
      <c r="H876" s="1086" t="s">
        <v>3112</v>
      </c>
      <c r="I876" s="415"/>
      <c r="J876" s="415"/>
      <c r="K876" s="945"/>
      <c r="L876" s="416"/>
      <c r="M876" s="1087">
        <v>1300</v>
      </c>
      <c r="N876" s="1119">
        <v>6</v>
      </c>
      <c r="O876" s="1119">
        <v>6</v>
      </c>
      <c r="P876" s="1087">
        <v>1300</v>
      </c>
    </row>
    <row r="877" spans="1:16" x14ac:dyDescent="0.2">
      <c r="A877" s="1152" t="s">
        <v>4669</v>
      </c>
      <c r="B877" s="416" t="s">
        <v>3998</v>
      </c>
      <c r="C877" s="60" t="s">
        <v>398</v>
      </c>
      <c r="D877" s="1086" t="s">
        <v>4799</v>
      </c>
      <c r="E877" s="1087">
        <v>1800</v>
      </c>
      <c r="F877" s="1088">
        <v>5416967</v>
      </c>
      <c r="G877" s="1086" t="s">
        <v>4848</v>
      </c>
      <c r="H877" s="1086" t="s">
        <v>4799</v>
      </c>
      <c r="I877" s="415"/>
      <c r="J877" s="415"/>
      <c r="K877" s="945"/>
      <c r="L877" s="416"/>
      <c r="M877" s="1087">
        <v>1800</v>
      </c>
      <c r="N877" s="1119">
        <v>6</v>
      </c>
      <c r="O877" s="1119">
        <v>6</v>
      </c>
      <c r="P877" s="1087">
        <v>1800</v>
      </c>
    </row>
    <row r="878" spans="1:16" ht="24" x14ac:dyDescent="0.2">
      <c r="A878" s="1152" t="s">
        <v>4669</v>
      </c>
      <c r="B878" s="416" t="s">
        <v>3998</v>
      </c>
      <c r="C878" s="60" t="s">
        <v>398</v>
      </c>
      <c r="D878" s="1086" t="s">
        <v>4849</v>
      </c>
      <c r="E878" s="1087">
        <v>1300</v>
      </c>
      <c r="F878" s="1088">
        <v>44195861</v>
      </c>
      <c r="G878" s="1086" t="s">
        <v>4850</v>
      </c>
      <c r="H878" s="1086" t="s">
        <v>4849</v>
      </c>
      <c r="I878" s="415"/>
      <c r="J878" s="415"/>
      <c r="K878" s="945"/>
      <c r="L878" s="416"/>
      <c r="M878" s="1087">
        <v>1300</v>
      </c>
      <c r="N878" s="1119">
        <v>6</v>
      </c>
      <c r="O878" s="1119">
        <v>6</v>
      </c>
      <c r="P878" s="1087">
        <v>1300</v>
      </c>
    </row>
    <row r="879" spans="1:16" x14ac:dyDescent="0.2">
      <c r="A879" s="1152" t="s">
        <v>4669</v>
      </c>
      <c r="B879" s="416" t="s">
        <v>3998</v>
      </c>
      <c r="C879" s="60" t="s">
        <v>398</v>
      </c>
      <c r="D879" s="1086" t="s">
        <v>3134</v>
      </c>
      <c r="E879" s="1087">
        <v>1400</v>
      </c>
      <c r="F879" s="1088">
        <v>41438651</v>
      </c>
      <c r="G879" s="1086" t="s">
        <v>4851</v>
      </c>
      <c r="H879" s="1086" t="s">
        <v>3134</v>
      </c>
      <c r="I879" s="415"/>
      <c r="J879" s="415"/>
      <c r="K879" s="945"/>
      <c r="L879" s="416"/>
      <c r="M879" s="1087">
        <v>1400</v>
      </c>
      <c r="N879" s="1119">
        <v>6</v>
      </c>
      <c r="O879" s="1119">
        <v>6</v>
      </c>
      <c r="P879" s="1087">
        <v>1400</v>
      </c>
    </row>
    <row r="880" spans="1:16" ht="36" x14ac:dyDescent="0.2">
      <c r="A880" s="1152" t="s">
        <v>4669</v>
      </c>
      <c r="B880" s="416" t="s">
        <v>3998</v>
      </c>
      <c r="C880" s="60" t="s">
        <v>398</v>
      </c>
      <c r="D880" s="1086" t="s">
        <v>4852</v>
      </c>
      <c r="E880" s="1087">
        <v>1300</v>
      </c>
      <c r="F880" s="1088">
        <v>44657842</v>
      </c>
      <c r="G880" s="1086" t="s">
        <v>4853</v>
      </c>
      <c r="H880" s="1086" t="s">
        <v>4852</v>
      </c>
      <c r="I880" s="415"/>
      <c r="J880" s="415"/>
      <c r="K880" s="945"/>
      <c r="L880" s="416"/>
      <c r="M880" s="1087">
        <v>1300</v>
      </c>
      <c r="N880" s="1119">
        <v>6</v>
      </c>
      <c r="O880" s="1119">
        <v>6</v>
      </c>
      <c r="P880" s="1087">
        <v>1300</v>
      </c>
    </row>
    <row r="881" spans="1:16" x14ac:dyDescent="0.2">
      <c r="A881" s="1152" t="s">
        <v>4669</v>
      </c>
      <c r="B881" s="416" t="s">
        <v>3998</v>
      </c>
      <c r="C881" s="60" t="s">
        <v>398</v>
      </c>
      <c r="D881" s="1086" t="s">
        <v>4073</v>
      </c>
      <c r="E881" s="1087">
        <v>1300</v>
      </c>
      <c r="F881" s="1088">
        <v>73721</v>
      </c>
      <c r="G881" s="1086" t="s">
        <v>4854</v>
      </c>
      <c r="H881" s="1086" t="s">
        <v>4073</v>
      </c>
      <c r="I881" s="415"/>
      <c r="J881" s="415"/>
      <c r="K881" s="945"/>
      <c r="L881" s="416"/>
      <c r="M881" s="1087">
        <v>1300</v>
      </c>
      <c r="N881" s="1119">
        <v>6</v>
      </c>
      <c r="O881" s="1119">
        <v>6</v>
      </c>
      <c r="P881" s="1087">
        <v>1300</v>
      </c>
    </row>
    <row r="882" spans="1:16" ht="24" x14ac:dyDescent="0.2">
      <c r="A882" s="1152" t="s">
        <v>4669</v>
      </c>
      <c r="B882" s="416" t="s">
        <v>3998</v>
      </c>
      <c r="C882" s="60" t="s">
        <v>398</v>
      </c>
      <c r="D882" s="1086" t="s">
        <v>4855</v>
      </c>
      <c r="E882" s="1087">
        <v>2000</v>
      </c>
      <c r="F882" s="1088">
        <v>40537427</v>
      </c>
      <c r="G882" s="1086" t="s">
        <v>4856</v>
      </c>
      <c r="H882" s="1086" t="s">
        <v>4855</v>
      </c>
      <c r="I882" s="415"/>
      <c r="J882" s="415"/>
      <c r="K882" s="945"/>
      <c r="L882" s="416"/>
      <c r="M882" s="1087">
        <v>2000</v>
      </c>
      <c r="N882" s="1119">
        <v>6</v>
      </c>
      <c r="O882" s="1119">
        <v>6</v>
      </c>
      <c r="P882" s="1087">
        <v>2000</v>
      </c>
    </row>
    <row r="883" spans="1:16" x14ac:dyDescent="0.2">
      <c r="A883" s="1152" t="s">
        <v>4669</v>
      </c>
      <c r="B883" s="416" t="s">
        <v>3998</v>
      </c>
      <c r="C883" s="60" t="s">
        <v>398</v>
      </c>
      <c r="D883" s="1086" t="s">
        <v>4672</v>
      </c>
      <c r="E883" s="1087">
        <v>1500</v>
      </c>
      <c r="F883" s="1088">
        <v>45961112</v>
      </c>
      <c r="G883" s="1086" t="s">
        <v>4857</v>
      </c>
      <c r="H883" s="1086" t="s">
        <v>4672</v>
      </c>
      <c r="I883" s="415"/>
      <c r="J883" s="415"/>
      <c r="K883" s="945"/>
      <c r="L883" s="416"/>
      <c r="M883" s="1087">
        <v>1500</v>
      </c>
      <c r="N883" s="1119">
        <v>6</v>
      </c>
      <c r="O883" s="1119">
        <v>6</v>
      </c>
      <c r="P883" s="1087">
        <v>1500</v>
      </c>
    </row>
    <row r="884" spans="1:16" ht="36" x14ac:dyDescent="0.2">
      <c r="A884" s="1152" t="s">
        <v>4669</v>
      </c>
      <c r="B884" s="416" t="s">
        <v>3998</v>
      </c>
      <c r="C884" s="60" t="s">
        <v>398</v>
      </c>
      <c r="D884" s="1086" t="s">
        <v>4858</v>
      </c>
      <c r="E884" s="1087">
        <v>1200</v>
      </c>
      <c r="F884" s="1088">
        <v>101037</v>
      </c>
      <c r="G884" s="1086" t="s">
        <v>4859</v>
      </c>
      <c r="H884" s="1086" t="s">
        <v>4858</v>
      </c>
      <c r="I884" s="415"/>
      <c r="J884" s="415"/>
      <c r="K884" s="945"/>
      <c r="L884" s="416"/>
      <c r="M884" s="1087">
        <v>1200</v>
      </c>
      <c r="N884" s="1119">
        <v>6</v>
      </c>
      <c r="O884" s="1119">
        <v>6</v>
      </c>
      <c r="P884" s="1087">
        <v>1200</v>
      </c>
    </row>
    <row r="885" spans="1:16" x14ac:dyDescent="0.2">
      <c r="A885" s="1152" t="s">
        <v>4669</v>
      </c>
      <c r="B885" s="416" t="s">
        <v>3998</v>
      </c>
      <c r="C885" s="60" t="s">
        <v>398</v>
      </c>
      <c r="D885" s="1086" t="s">
        <v>3187</v>
      </c>
      <c r="E885" s="1087">
        <v>1200</v>
      </c>
      <c r="F885" s="1088">
        <v>104309</v>
      </c>
      <c r="G885" s="1086" t="s">
        <v>4860</v>
      </c>
      <c r="H885" s="1086" t="s">
        <v>3187</v>
      </c>
      <c r="I885" s="415"/>
      <c r="J885" s="415"/>
      <c r="K885" s="945"/>
      <c r="L885" s="416"/>
      <c r="M885" s="1087">
        <v>1200</v>
      </c>
      <c r="N885" s="1119">
        <v>6</v>
      </c>
      <c r="O885" s="1119">
        <v>6</v>
      </c>
      <c r="P885" s="1087">
        <v>1200</v>
      </c>
    </row>
    <row r="886" spans="1:16" ht="24" x14ac:dyDescent="0.2">
      <c r="A886" s="1152" t="s">
        <v>4669</v>
      </c>
      <c r="B886" s="416" t="s">
        <v>3998</v>
      </c>
      <c r="C886" s="60" t="s">
        <v>398</v>
      </c>
      <c r="D886" s="1086" t="s">
        <v>4861</v>
      </c>
      <c r="E886" s="1087">
        <v>2200</v>
      </c>
      <c r="F886" s="1088">
        <v>47667056</v>
      </c>
      <c r="G886" s="1086" t="s">
        <v>4862</v>
      </c>
      <c r="H886" s="1086" t="s">
        <v>4861</v>
      </c>
      <c r="I886" s="415"/>
      <c r="J886" s="415"/>
      <c r="K886" s="945"/>
      <c r="L886" s="416"/>
      <c r="M886" s="1087">
        <v>2200</v>
      </c>
      <c r="N886" s="1119">
        <v>6</v>
      </c>
      <c r="O886" s="1119">
        <v>6</v>
      </c>
      <c r="P886" s="1087">
        <v>2200</v>
      </c>
    </row>
    <row r="887" spans="1:16" ht="36" x14ac:dyDescent="0.2">
      <c r="A887" s="1152" t="s">
        <v>4669</v>
      </c>
      <c r="B887" s="416" t="s">
        <v>3998</v>
      </c>
      <c r="C887" s="60" t="s">
        <v>398</v>
      </c>
      <c r="D887" s="1086" t="s">
        <v>4863</v>
      </c>
      <c r="E887" s="1087">
        <v>1800</v>
      </c>
      <c r="F887" s="1088">
        <v>72265552</v>
      </c>
      <c r="G887" s="1086" t="s">
        <v>4864</v>
      </c>
      <c r="H887" s="1086" t="s">
        <v>4863</v>
      </c>
      <c r="I887" s="415"/>
      <c r="J887" s="415"/>
      <c r="K887" s="945"/>
      <c r="L887" s="416"/>
      <c r="M887" s="1087">
        <v>1800</v>
      </c>
      <c r="N887" s="1119">
        <v>6</v>
      </c>
      <c r="O887" s="1119">
        <v>6</v>
      </c>
      <c r="P887" s="1087">
        <v>1800</v>
      </c>
    </row>
    <row r="888" spans="1:16" ht="24" x14ac:dyDescent="0.2">
      <c r="A888" s="1152" t="s">
        <v>4669</v>
      </c>
      <c r="B888" s="416" t="s">
        <v>3998</v>
      </c>
      <c r="C888" s="60" t="s">
        <v>398</v>
      </c>
      <c r="D888" s="1086" t="s">
        <v>4865</v>
      </c>
      <c r="E888" s="1087">
        <v>1500</v>
      </c>
      <c r="F888" s="1088">
        <v>117613</v>
      </c>
      <c r="G888" s="1086" t="s">
        <v>4866</v>
      </c>
      <c r="H888" s="1086" t="s">
        <v>4865</v>
      </c>
      <c r="I888" s="415"/>
      <c r="J888" s="415"/>
      <c r="K888" s="945"/>
      <c r="L888" s="416"/>
      <c r="M888" s="1087">
        <v>1500</v>
      </c>
      <c r="N888" s="1119">
        <v>6</v>
      </c>
      <c r="O888" s="1119">
        <v>6</v>
      </c>
      <c r="P888" s="1087">
        <v>1500</v>
      </c>
    </row>
    <row r="889" spans="1:16" x14ac:dyDescent="0.2">
      <c r="A889" s="1152" t="s">
        <v>4669</v>
      </c>
      <c r="B889" s="416" t="s">
        <v>3998</v>
      </c>
      <c r="C889" s="60" t="s">
        <v>398</v>
      </c>
      <c r="D889" s="1086" t="s">
        <v>3187</v>
      </c>
      <c r="E889" s="1087">
        <v>1200</v>
      </c>
      <c r="F889" s="1088">
        <v>75352</v>
      </c>
      <c r="G889" s="1086" t="s">
        <v>4867</v>
      </c>
      <c r="H889" s="1086" t="s">
        <v>3187</v>
      </c>
      <c r="I889" s="415"/>
      <c r="J889" s="415"/>
      <c r="K889" s="945"/>
      <c r="L889" s="416"/>
      <c r="M889" s="1087">
        <v>1200</v>
      </c>
      <c r="N889" s="1119">
        <v>6</v>
      </c>
      <c r="O889" s="1119">
        <v>6</v>
      </c>
      <c r="P889" s="1087">
        <v>1200</v>
      </c>
    </row>
    <row r="890" spans="1:16" ht="36" x14ac:dyDescent="0.2">
      <c r="A890" s="1152" t="s">
        <v>4669</v>
      </c>
      <c r="B890" s="416" t="s">
        <v>3998</v>
      </c>
      <c r="C890" s="60" t="s">
        <v>398</v>
      </c>
      <c r="D890" s="1086" t="s">
        <v>4868</v>
      </c>
      <c r="E890" s="1087">
        <v>1800</v>
      </c>
      <c r="F890" s="1088">
        <v>110737</v>
      </c>
      <c r="G890" s="1086" t="s">
        <v>4869</v>
      </c>
      <c r="H890" s="1086" t="s">
        <v>4868</v>
      </c>
      <c r="I890" s="415"/>
      <c r="J890" s="415"/>
      <c r="K890" s="945"/>
      <c r="L890" s="416"/>
      <c r="M890" s="1087">
        <v>1800</v>
      </c>
      <c r="N890" s="1119">
        <v>6</v>
      </c>
      <c r="O890" s="1119">
        <v>6</v>
      </c>
      <c r="P890" s="1087">
        <v>1800</v>
      </c>
    </row>
    <row r="891" spans="1:16" ht="24" x14ac:dyDescent="0.2">
      <c r="A891" s="1152" t="s">
        <v>4669</v>
      </c>
      <c r="B891" s="416" t="s">
        <v>3998</v>
      </c>
      <c r="C891" s="60" t="s">
        <v>398</v>
      </c>
      <c r="D891" s="1086" t="s">
        <v>4870</v>
      </c>
      <c r="E891" s="1087">
        <v>2200</v>
      </c>
      <c r="F891" s="1088">
        <v>10330127</v>
      </c>
      <c r="G891" s="1086" t="s">
        <v>4871</v>
      </c>
      <c r="H891" s="1086" t="s">
        <v>4870</v>
      </c>
      <c r="I891" s="415"/>
      <c r="J891" s="415"/>
      <c r="K891" s="945"/>
      <c r="L891" s="416"/>
      <c r="M891" s="1087">
        <v>2200</v>
      </c>
      <c r="N891" s="1119">
        <v>6</v>
      </c>
      <c r="O891" s="1119">
        <v>6</v>
      </c>
      <c r="P891" s="1087">
        <v>2200</v>
      </c>
    </row>
    <row r="892" spans="1:16" ht="24" x14ac:dyDescent="0.2">
      <c r="A892" s="1152" t="s">
        <v>4669</v>
      </c>
      <c r="B892" s="416" t="s">
        <v>3998</v>
      </c>
      <c r="C892" s="60" t="s">
        <v>398</v>
      </c>
      <c r="D892" s="1086" t="s">
        <v>4872</v>
      </c>
      <c r="E892" s="1087">
        <v>2200</v>
      </c>
      <c r="F892" s="1088">
        <v>46476335</v>
      </c>
      <c r="G892" s="1086" t="s">
        <v>4873</v>
      </c>
      <c r="H892" s="1086" t="s">
        <v>4872</v>
      </c>
      <c r="I892" s="415"/>
      <c r="J892" s="415"/>
      <c r="K892" s="945"/>
      <c r="L892" s="416"/>
      <c r="M892" s="1087">
        <v>2200</v>
      </c>
      <c r="N892" s="1119">
        <v>6</v>
      </c>
      <c r="O892" s="1119">
        <v>6</v>
      </c>
      <c r="P892" s="1087">
        <v>2200</v>
      </c>
    </row>
    <row r="893" spans="1:16" x14ac:dyDescent="0.2">
      <c r="A893" s="1152" t="s">
        <v>4669</v>
      </c>
      <c r="B893" s="416" t="s">
        <v>3998</v>
      </c>
      <c r="C893" s="60" t="s">
        <v>398</v>
      </c>
      <c r="D893" s="1086" t="s">
        <v>3134</v>
      </c>
      <c r="E893" s="1087">
        <v>1500</v>
      </c>
      <c r="F893" s="1088">
        <v>40828382</v>
      </c>
      <c r="G893" s="1086" t="s">
        <v>4874</v>
      </c>
      <c r="H893" s="1086" t="s">
        <v>3134</v>
      </c>
      <c r="I893" s="415"/>
      <c r="J893" s="415"/>
      <c r="K893" s="945"/>
      <c r="L893" s="416"/>
      <c r="M893" s="1087">
        <v>1500</v>
      </c>
      <c r="N893" s="1119">
        <v>6</v>
      </c>
      <c r="O893" s="1119">
        <v>6</v>
      </c>
      <c r="P893" s="1087">
        <v>1500</v>
      </c>
    </row>
    <row r="894" spans="1:16" x14ac:dyDescent="0.2">
      <c r="A894" s="1351" t="s">
        <v>584</v>
      </c>
      <c r="B894" s="416"/>
      <c r="C894" s="60"/>
      <c r="D894" s="416"/>
      <c r="E894" s="564">
        <f>SUM(E760:E893)</f>
        <v>229850</v>
      </c>
      <c r="F894" s="416"/>
      <c r="G894" s="416"/>
      <c r="H894" s="416"/>
      <c r="I894" s="415"/>
      <c r="J894" s="415"/>
      <c r="K894" s="945"/>
      <c r="L894" s="1143"/>
      <c r="M894" s="1120">
        <f>SUM(M760:M893)</f>
        <v>229850</v>
      </c>
      <c r="N894" s="416"/>
      <c r="O894" s="416"/>
      <c r="P894" s="1120">
        <f>SUM(P760:P893)</f>
        <v>229850</v>
      </c>
    </row>
    <row r="895" spans="1:16" ht="24" x14ac:dyDescent="0.2">
      <c r="A895" s="1352" t="s">
        <v>4669</v>
      </c>
      <c r="B895" s="898" t="s">
        <v>3998</v>
      </c>
      <c r="C895" s="916" t="s">
        <v>4875</v>
      </c>
      <c r="D895" s="943" t="s">
        <v>3112</v>
      </c>
      <c r="E895" s="1243">
        <v>1200</v>
      </c>
      <c r="F895" s="943">
        <v>44078537</v>
      </c>
      <c r="G895" s="916" t="s">
        <v>4876</v>
      </c>
      <c r="H895" s="943" t="s">
        <v>4877</v>
      </c>
      <c r="I895" s="943" t="s">
        <v>4878</v>
      </c>
      <c r="J895" s="943" t="s">
        <v>3292</v>
      </c>
      <c r="K895" s="946">
        <v>0</v>
      </c>
      <c r="L895" s="899">
        <v>0</v>
      </c>
      <c r="M895" s="899">
        <v>0</v>
      </c>
      <c r="N895" s="1272">
        <v>6</v>
      </c>
      <c r="O895" s="1272">
        <v>6</v>
      </c>
      <c r="P895" s="899">
        <v>7200</v>
      </c>
    </row>
    <row r="896" spans="1:16" x14ac:dyDescent="0.2">
      <c r="A896" s="1352" t="s">
        <v>4669</v>
      </c>
      <c r="B896" s="898" t="s">
        <v>3998</v>
      </c>
      <c r="C896" s="916" t="s">
        <v>4875</v>
      </c>
      <c r="D896" s="898" t="s">
        <v>4879</v>
      </c>
      <c r="E896" s="1243">
        <v>1600</v>
      </c>
      <c r="F896" s="943">
        <v>41588385</v>
      </c>
      <c r="G896" s="916" t="s">
        <v>4880</v>
      </c>
      <c r="H896" s="943" t="s">
        <v>4881</v>
      </c>
      <c r="I896" s="943" t="s">
        <v>3564</v>
      </c>
      <c r="J896" s="943" t="s">
        <v>4882</v>
      </c>
      <c r="K896" s="946">
        <v>0</v>
      </c>
      <c r="L896" s="899">
        <v>0</v>
      </c>
      <c r="M896" s="899">
        <v>0</v>
      </c>
      <c r="N896" s="1272">
        <v>4</v>
      </c>
      <c r="O896" s="1272">
        <v>4</v>
      </c>
      <c r="P896" s="899">
        <v>6400</v>
      </c>
    </row>
    <row r="897" spans="1:16" ht="24" x14ac:dyDescent="0.2">
      <c r="A897" s="1352" t="s">
        <v>4669</v>
      </c>
      <c r="B897" s="898" t="s">
        <v>3998</v>
      </c>
      <c r="C897" s="916" t="s">
        <v>4875</v>
      </c>
      <c r="D897" s="898" t="s">
        <v>4883</v>
      </c>
      <c r="E897" s="1243">
        <v>1200</v>
      </c>
      <c r="F897" s="943">
        <v>72387179</v>
      </c>
      <c r="G897" s="916" t="s">
        <v>4884</v>
      </c>
      <c r="H897" s="943" t="s">
        <v>4885</v>
      </c>
      <c r="I897" s="943" t="s">
        <v>3564</v>
      </c>
      <c r="J897" s="943" t="s">
        <v>3595</v>
      </c>
      <c r="K897" s="946">
        <v>0</v>
      </c>
      <c r="L897" s="899">
        <v>0</v>
      </c>
      <c r="M897" s="899">
        <v>0</v>
      </c>
      <c r="N897" s="1272">
        <v>7</v>
      </c>
      <c r="O897" s="1272">
        <v>7</v>
      </c>
      <c r="P897" s="899">
        <f t="shared" ref="P897:P925" si="40">O897*E897</f>
        <v>8400</v>
      </c>
    </row>
    <row r="898" spans="1:16" x14ac:dyDescent="0.2">
      <c r="A898" s="1352" t="s">
        <v>4669</v>
      </c>
      <c r="B898" s="898" t="s">
        <v>3998</v>
      </c>
      <c r="C898" s="916" t="s">
        <v>4875</v>
      </c>
      <c r="D898" s="943" t="s">
        <v>4886</v>
      </c>
      <c r="E898" s="1243">
        <v>1600</v>
      </c>
      <c r="F898" s="943">
        <v>62230754</v>
      </c>
      <c r="G898" s="916" t="s">
        <v>4887</v>
      </c>
      <c r="H898" s="943" t="s">
        <v>4888</v>
      </c>
      <c r="I898" s="943" t="s">
        <v>3564</v>
      </c>
      <c r="J898" s="943" t="s">
        <v>3568</v>
      </c>
      <c r="K898" s="946">
        <v>0</v>
      </c>
      <c r="L898" s="899">
        <v>0</v>
      </c>
      <c r="M898" s="899">
        <v>0</v>
      </c>
      <c r="N898" s="1272">
        <v>7</v>
      </c>
      <c r="O898" s="1272">
        <v>7</v>
      </c>
      <c r="P898" s="899">
        <f t="shared" si="40"/>
        <v>11200</v>
      </c>
    </row>
    <row r="899" spans="1:16" x14ac:dyDescent="0.2">
      <c r="A899" s="1352" t="s">
        <v>4669</v>
      </c>
      <c r="B899" s="898" t="s">
        <v>3998</v>
      </c>
      <c r="C899" s="916" t="s">
        <v>4875</v>
      </c>
      <c r="D899" s="898"/>
      <c r="E899" s="1243">
        <v>2300</v>
      </c>
      <c r="F899" s="943">
        <v>71852913</v>
      </c>
      <c r="G899" s="916" t="s">
        <v>4889</v>
      </c>
      <c r="H899" s="943" t="s">
        <v>3099</v>
      </c>
      <c r="I899" s="943" t="s">
        <v>3564</v>
      </c>
      <c r="J899" s="943" t="s">
        <v>3568</v>
      </c>
      <c r="K899" s="946">
        <v>0</v>
      </c>
      <c r="L899" s="899">
        <v>0</v>
      </c>
      <c r="M899" s="899">
        <v>0</v>
      </c>
      <c r="N899" s="1272">
        <v>3</v>
      </c>
      <c r="O899" s="1272">
        <v>3</v>
      </c>
      <c r="P899" s="899">
        <f t="shared" si="40"/>
        <v>6900</v>
      </c>
    </row>
    <row r="900" spans="1:16" x14ac:dyDescent="0.2">
      <c r="A900" s="1352" t="s">
        <v>4669</v>
      </c>
      <c r="B900" s="898" t="s">
        <v>3998</v>
      </c>
      <c r="C900" s="916" t="s">
        <v>4875</v>
      </c>
      <c r="D900" s="898" t="s">
        <v>4890</v>
      </c>
      <c r="E900" s="1243">
        <v>1000</v>
      </c>
      <c r="F900" s="943">
        <v>76548194</v>
      </c>
      <c r="G900" s="916" t="s">
        <v>4891</v>
      </c>
      <c r="H900" s="943"/>
      <c r="I900" s="943" t="s">
        <v>3564</v>
      </c>
      <c r="J900" s="943" t="s">
        <v>3292</v>
      </c>
      <c r="K900" s="946">
        <v>0</v>
      </c>
      <c r="L900" s="899">
        <v>0</v>
      </c>
      <c r="M900" s="899">
        <v>0</v>
      </c>
      <c r="N900" s="1272">
        <v>2</v>
      </c>
      <c r="O900" s="1272">
        <v>2</v>
      </c>
      <c r="P900" s="899">
        <f t="shared" si="40"/>
        <v>2000</v>
      </c>
    </row>
    <row r="901" spans="1:16" ht="24" x14ac:dyDescent="0.2">
      <c r="A901" s="1352" t="s">
        <v>4669</v>
      </c>
      <c r="B901" s="898" t="s">
        <v>3998</v>
      </c>
      <c r="C901" s="916" t="s">
        <v>4875</v>
      </c>
      <c r="D901" s="898" t="s">
        <v>4892</v>
      </c>
      <c r="E901" s="1243">
        <v>1200</v>
      </c>
      <c r="F901" s="943">
        <v>70859288</v>
      </c>
      <c r="G901" s="916" t="s">
        <v>4893</v>
      </c>
      <c r="H901" s="943"/>
      <c r="I901" s="943" t="s">
        <v>3564</v>
      </c>
      <c r="J901" s="943" t="s">
        <v>3292</v>
      </c>
      <c r="K901" s="946">
        <v>0</v>
      </c>
      <c r="L901" s="899">
        <v>0</v>
      </c>
      <c r="M901" s="899">
        <v>0</v>
      </c>
      <c r="N901" s="1272">
        <v>7</v>
      </c>
      <c r="O901" s="1272">
        <v>7</v>
      </c>
      <c r="P901" s="899">
        <f t="shared" si="40"/>
        <v>8400</v>
      </c>
    </row>
    <row r="902" spans="1:16" ht="24" x14ac:dyDescent="0.2">
      <c r="A902" s="1352" t="s">
        <v>4669</v>
      </c>
      <c r="B902" s="898" t="s">
        <v>3998</v>
      </c>
      <c r="C902" s="916" t="s">
        <v>4875</v>
      </c>
      <c r="D902" s="898" t="s">
        <v>4894</v>
      </c>
      <c r="E902" s="1243">
        <v>2000</v>
      </c>
      <c r="F902" s="943">
        <v>70759110</v>
      </c>
      <c r="G902" s="916" t="s">
        <v>4895</v>
      </c>
      <c r="H902" s="943" t="s">
        <v>3153</v>
      </c>
      <c r="I902" s="943" t="s">
        <v>3564</v>
      </c>
      <c r="J902" s="943" t="s">
        <v>3568</v>
      </c>
      <c r="K902" s="946"/>
      <c r="L902" s="899"/>
      <c r="M902" s="899"/>
      <c r="N902" s="1272">
        <v>4</v>
      </c>
      <c r="O902" s="1272">
        <v>4</v>
      </c>
      <c r="P902" s="899">
        <f t="shared" si="40"/>
        <v>8000</v>
      </c>
    </row>
    <row r="903" spans="1:16" x14ac:dyDescent="0.2">
      <c r="A903" s="1352" t="s">
        <v>4669</v>
      </c>
      <c r="B903" s="898" t="s">
        <v>3998</v>
      </c>
      <c r="C903" s="916" t="s">
        <v>4875</v>
      </c>
      <c r="D903" s="898" t="s">
        <v>3473</v>
      </c>
      <c r="E903" s="1243">
        <v>2000</v>
      </c>
      <c r="F903" s="943">
        <v>10288941</v>
      </c>
      <c r="G903" s="916" t="s">
        <v>4896</v>
      </c>
      <c r="H903" s="943" t="s">
        <v>4897</v>
      </c>
      <c r="I903" s="943" t="s">
        <v>3564</v>
      </c>
      <c r="J903" s="943" t="s">
        <v>3568</v>
      </c>
      <c r="K903" s="946">
        <v>0</v>
      </c>
      <c r="L903" s="899">
        <v>0</v>
      </c>
      <c r="M903" s="899">
        <v>0</v>
      </c>
      <c r="N903" s="1272">
        <v>1</v>
      </c>
      <c r="O903" s="1272">
        <v>1</v>
      </c>
      <c r="P903" s="899">
        <f t="shared" si="40"/>
        <v>2000</v>
      </c>
    </row>
    <row r="904" spans="1:16" x14ac:dyDescent="0.2">
      <c r="A904" s="1352" t="s">
        <v>4669</v>
      </c>
      <c r="B904" s="898" t="s">
        <v>3998</v>
      </c>
      <c r="C904" s="916" t="s">
        <v>4875</v>
      </c>
      <c r="D904" s="898" t="s">
        <v>3099</v>
      </c>
      <c r="E904" s="1243">
        <v>2000</v>
      </c>
      <c r="F904" s="943">
        <v>43928820</v>
      </c>
      <c r="G904" s="916" t="s">
        <v>4898</v>
      </c>
      <c r="H904" s="943" t="s">
        <v>4897</v>
      </c>
      <c r="I904" s="943" t="s">
        <v>3564</v>
      </c>
      <c r="J904" s="943" t="s">
        <v>4899</v>
      </c>
      <c r="K904" s="946">
        <v>0</v>
      </c>
      <c r="L904" s="899">
        <v>0</v>
      </c>
      <c r="M904" s="899">
        <v>0</v>
      </c>
      <c r="N904" s="1272">
        <v>4</v>
      </c>
      <c r="O904" s="1272">
        <v>4</v>
      </c>
      <c r="P904" s="899">
        <f t="shared" si="40"/>
        <v>8000</v>
      </c>
    </row>
    <row r="905" spans="1:16" x14ac:dyDescent="0.2">
      <c r="A905" s="1352" t="s">
        <v>4669</v>
      </c>
      <c r="B905" s="898" t="s">
        <v>3998</v>
      </c>
      <c r="C905" s="916" t="s">
        <v>4875</v>
      </c>
      <c r="D905" s="898" t="s">
        <v>4900</v>
      </c>
      <c r="E905" s="1243">
        <v>2000</v>
      </c>
      <c r="F905" s="943"/>
      <c r="G905" s="916" t="s">
        <v>4901</v>
      </c>
      <c r="H905" s="943" t="s">
        <v>4897</v>
      </c>
      <c r="I905" s="943" t="s">
        <v>3564</v>
      </c>
      <c r="J905" s="943" t="s">
        <v>3568</v>
      </c>
      <c r="K905" s="946">
        <v>0</v>
      </c>
      <c r="L905" s="899">
        <v>0</v>
      </c>
      <c r="M905" s="899">
        <v>0</v>
      </c>
      <c r="N905" s="1272">
        <v>4</v>
      </c>
      <c r="O905" s="1272">
        <v>4</v>
      </c>
      <c r="P905" s="899">
        <f t="shared" si="40"/>
        <v>8000</v>
      </c>
    </row>
    <row r="906" spans="1:16" x14ac:dyDescent="0.2">
      <c r="A906" s="1352" t="s">
        <v>4669</v>
      </c>
      <c r="B906" s="898" t="s">
        <v>3998</v>
      </c>
      <c r="C906" s="916" t="s">
        <v>4875</v>
      </c>
      <c r="D906" s="898" t="s">
        <v>4902</v>
      </c>
      <c r="E906" s="1243">
        <v>1500</v>
      </c>
      <c r="F906" s="943">
        <v>72891183</v>
      </c>
      <c r="G906" s="916" t="s">
        <v>4903</v>
      </c>
      <c r="H906" s="943" t="s">
        <v>4904</v>
      </c>
      <c r="I906" s="943" t="s">
        <v>3564</v>
      </c>
      <c r="J906" s="943" t="s">
        <v>3595</v>
      </c>
      <c r="K906" s="946">
        <v>0</v>
      </c>
      <c r="L906" s="899">
        <v>0</v>
      </c>
      <c r="M906" s="899">
        <v>0</v>
      </c>
      <c r="N906" s="1272">
        <v>4</v>
      </c>
      <c r="O906" s="1272">
        <v>4</v>
      </c>
      <c r="P906" s="899">
        <f t="shared" si="40"/>
        <v>6000</v>
      </c>
    </row>
    <row r="907" spans="1:16" x14ac:dyDescent="0.2">
      <c r="A907" s="1352" t="s">
        <v>4669</v>
      </c>
      <c r="B907" s="898" t="s">
        <v>3998</v>
      </c>
      <c r="C907" s="916" t="s">
        <v>4875</v>
      </c>
      <c r="D907" s="898" t="s">
        <v>4905</v>
      </c>
      <c r="E907" s="1243">
        <v>1800</v>
      </c>
      <c r="F907" s="943">
        <v>44821695</v>
      </c>
      <c r="G907" s="916" t="s">
        <v>4906</v>
      </c>
      <c r="H907" s="943" t="s">
        <v>4907</v>
      </c>
      <c r="I907" s="943" t="s">
        <v>3564</v>
      </c>
      <c r="J907" s="943" t="s">
        <v>3568</v>
      </c>
      <c r="K907" s="946">
        <v>0</v>
      </c>
      <c r="L907" s="899">
        <v>0</v>
      </c>
      <c r="M907" s="899">
        <v>0</v>
      </c>
      <c r="N907" s="1272">
        <v>6</v>
      </c>
      <c r="O907" s="1272">
        <v>6</v>
      </c>
      <c r="P907" s="899">
        <f t="shared" si="40"/>
        <v>10800</v>
      </c>
    </row>
    <row r="908" spans="1:16" x14ac:dyDescent="0.2">
      <c r="A908" s="1352" t="s">
        <v>4669</v>
      </c>
      <c r="B908" s="898" t="s">
        <v>3998</v>
      </c>
      <c r="C908" s="916" t="s">
        <v>4875</v>
      </c>
      <c r="D908" s="898" t="s">
        <v>4908</v>
      </c>
      <c r="E908" s="1243">
        <v>2000</v>
      </c>
      <c r="F908" s="1273" t="s">
        <v>4909</v>
      </c>
      <c r="G908" s="916" t="s">
        <v>4910</v>
      </c>
      <c r="H908" s="943" t="s">
        <v>4897</v>
      </c>
      <c r="I908" s="943" t="s">
        <v>3564</v>
      </c>
      <c r="J908" s="943" t="s">
        <v>3568</v>
      </c>
      <c r="K908" s="946">
        <v>0</v>
      </c>
      <c r="L908" s="899">
        <v>0</v>
      </c>
      <c r="M908" s="899">
        <v>0</v>
      </c>
      <c r="N908" s="1272">
        <v>4</v>
      </c>
      <c r="O908" s="1272">
        <v>4</v>
      </c>
      <c r="P908" s="899">
        <f t="shared" si="40"/>
        <v>8000</v>
      </c>
    </row>
    <row r="909" spans="1:16" x14ac:dyDescent="0.2">
      <c r="A909" s="1352" t="s">
        <v>4669</v>
      </c>
      <c r="B909" s="898" t="s">
        <v>3998</v>
      </c>
      <c r="C909" s="916" t="s">
        <v>4875</v>
      </c>
      <c r="D909" s="898" t="s">
        <v>4911</v>
      </c>
      <c r="E909" s="1243">
        <v>1800</v>
      </c>
      <c r="F909" s="943">
        <v>40884157</v>
      </c>
      <c r="G909" s="916" t="s">
        <v>4912</v>
      </c>
      <c r="H909" s="943"/>
      <c r="I909" s="943"/>
      <c r="J909" s="943"/>
      <c r="K909" s="946">
        <v>0</v>
      </c>
      <c r="L909" s="899">
        <v>0</v>
      </c>
      <c r="M909" s="899">
        <v>0</v>
      </c>
      <c r="N909" s="1272">
        <v>4</v>
      </c>
      <c r="O909" s="1272">
        <v>4</v>
      </c>
      <c r="P909" s="899">
        <f t="shared" si="40"/>
        <v>7200</v>
      </c>
    </row>
    <row r="910" spans="1:16" x14ac:dyDescent="0.2">
      <c r="A910" s="1352" t="s">
        <v>4669</v>
      </c>
      <c r="B910" s="898" t="s">
        <v>3998</v>
      </c>
      <c r="C910" s="916" t="s">
        <v>4875</v>
      </c>
      <c r="D910" s="898" t="s">
        <v>3103</v>
      </c>
      <c r="E910" s="1243">
        <v>1800</v>
      </c>
      <c r="F910" s="943">
        <v>47114171</v>
      </c>
      <c r="G910" s="916" t="s">
        <v>4913</v>
      </c>
      <c r="H910" s="943" t="s">
        <v>4914</v>
      </c>
      <c r="I910" s="943" t="s">
        <v>3564</v>
      </c>
      <c r="J910" s="943" t="s">
        <v>3595</v>
      </c>
      <c r="K910" s="946">
        <v>0</v>
      </c>
      <c r="L910" s="899">
        <v>0</v>
      </c>
      <c r="M910" s="899">
        <v>0</v>
      </c>
      <c r="N910" s="1272">
        <v>4</v>
      </c>
      <c r="O910" s="1272">
        <v>4</v>
      </c>
      <c r="P910" s="899">
        <f t="shared" si="40"/>
        <v>7200</v>
      </c>
    </row>
    <row r="911" spans="1:16" ht="24" x14ac:dyDescent="0.2">
      <c r="A911" s="1352" t="s">
        <v>4669</v>
      </c>
      <c r="B911" s="898" t="s">
        <v>3998</v>
      </c>
      <c r="C911" s="916" t="s">
        <v>4875</v>
      </c>
      <c r="D911" s="898" t="s">
        <v>4905</v>
      </c>
      <c r="E911" s="1243">
        <v>1000</v>
      </c>
      <c r="F911" s="943">
        <v>77694363</v>
      </c>
      <c r="G911" s="916" t="s">
        <v>4915</v>
      </c>
      <c r="H911" s="943" t="s">
        <v>3292</v>
      </c>
      <c r="I911" s="943" t="s">
        <v>3564</v>
      </c>
      <c r="J911" s="943" t="s">
        <v>3292</v>
      </c>
      <c r="K911" s="946">
        <v>0</v>
      </c>
      <c r="L911" s="899">
        <v>0</v>
      </c>
      <c r="M911" s="899">
        <v>0</v>
      </c>
      <c r="N911" s="1272">
        <v>1</v>
      </c>
      <c r="O911" s="1272">
        <v>1</v>
      </c>
      <c r="P911" s="899">
        <f t="shared" si="40"/>
        <v>1000</v>
      </c>
    </row>
    <row r="912" spans="1:16" x14ac:dyDescent="0.2">
      <c r="A912" s="1352" t="s">
        <v>4669</v>
      </c>
      <c r="B912" s="898" t="s">
        <v>3998</v>
      </c>
      <c r="C912" s="916" t="s">
        <v>4875</v>
      </c>
      <c r="D912" s="898" t="s">
        <v>4916</v>
      </c>
      <c r="E912" s="1243">
        <v>1500</v>
      </c>
      <c r="F912" s="1273" t="s">
        <v>4917</v>
      </c>
      <c r="G912" s="916" t="s">
        <v>4918</v>
      </c>
      <c r="H912" s="943" t="s">
        <v>4919</v>
      </c>
      <c r="I912" s="943" t="s">
        <v>3564</v>
      </c>
      <c r="J912" s="943" t="s">
        <v>3292</v>
      </c>
      <c r="K912" s="946">
        <v>0</v>
      </c>
      <c r="L912" s="899">
        <v>0</v>
      </c>
      <c r="M912" s="899">
        <v>0</v>
      </c>
      <c r="N912" s="1272">
        <v>6</v>
      </c>
      <c r="O912" s="1272">
        <v>6</v>
      </c>
      <c r="P912" s="899">
        <f t="shared" si="40"/>
        <v>9000</v>
      </c>
    </row>
    <row r="913" spans="1:16" x14ac:dyDescent="0.2">
      <c r="A913" s="1352" t="s">
        <v>4669</v>
      </c>
      <c r="B913" s="898" t="s">
        <v>3998</v>
      </c>
      <c r="C913" s="916" t="s">
        <v>4875</v>
      </c>
      <c r="D913" s="898" t="s">
        <v>3164</v>
      </c>
      <c r="E913" s="1243">
        <v>1500</v>
      </c>
      <c r="F913" s="943">
        <v>48756508</v>
      </c>
      <c r="G913" s="916" t="s">
        <v>4920</v>
      </c>
      <c r="H913" s="943"/>
      <c r="I913" s="943"/>
      <c r="J913" s="943"/>
      <c r="K913" s="946">
        <v>0</v>
      </c>
      <c r="L913" s="899">
        <v>0</v>
      </c>
      <c r="M913" s="899">
        <v>0</v>
      </c>
      <c r="N913" s="1272">
        <v>5</v>
      </c>
      <c r="O913" s="1272">
        <v>5</v>
      </c>
      <c r="P913" s="899">
        <f t="shared" si="40"/>
        <v>7500</v>
      </c>
    </row>
    <row r="914" spans="1:16" ht="24" x14ac:dyDescent="0.2">
      <c r="A914" s="1352" t="s">
        <v>4669</v>
      </c>
      <c r="B914" s="898" t="s">
        <v>3998</v>
      </c>
      <c r="C914" s="916" t="s">
        <v>4875</v>
      </c>
      <c r="D914" s="898" t="s">
        <v>4905</v>
      </c>
      <c r="E914" s="1243">
        <v>2000</v>
      </c>
      <c r="F914" s="1273" t="s">
        <v>4921</v>
      </c>
      <c r="G914" s="916" t="s">
        <v>4922</v>
      </c>
      <c r="H914" s="943" t="s">
        <v>4897</v>
      </c>
      <c r="I914" s="943" t="s">
        <v>3564</v>
      </c>
      <c r="J914" s="943" t="s">
        <v>3568</v>
      </c>
      <c r="K914" s="946">
        <v>0</v>
      </c>
      <c r="L914" s="899">
        <v>0</v>
      </c>
      <c r="M914" s="899">
        <v>0</v>
      </c>
      <c r="N914" s="1272">
        <v>2</v>
      </c>
      <c r="O914" s="1272">
        <v>2</v>
      </c>
      <c r="P914" s="899">
        <f t="shared" si="40"/>
        <v>4000</v>
      </c>
    </row>
    <row r="915" spans="1:16" x14ac:dyDescent="0.2">
      <c r="A915" s="1352" t="s">
        <v>4669</v>
      </c>
      <c r="B915" s="898" t="s">
        <v>3998</v>
      </c>
      <c r="C915" s="916" t="s">
        <v>4875</v>
      </c>
      <c r="D915" s="898" t="s">
        <v>4905</v>
      </c>
      <c r="E915" s="1243">
        <v>1900</v>
      </c>
      <c r="F915" s="943"/>
      <c r="G915" s="916" t="s">
        <v>4923</v>
      </c>
      <c r="H915" s="943" t="s">
        <v>4924</v>
      </c>
      <c r="I915" s="943" t="s">
        <v>3564</v>
      </c>
      <c r="J915" s="943" t="s">
        <v>3595</v>
      </c>
      <c r="K915" s="946">
        <v>0</v>
      </c>
      <c r="L915" s="899">
        <v>0</v>
      </c>
      <c r="M915" s="899">
        <v>0</v>
      </c>
      <c r="N915" s="1272">
        <v>7</v>
      </c>
      <c r="O915" s="1272">
        <v>7</v>
      </c>
      <c r="P915" s="899">
        <f t="shared" si="40"/>
        <v>13300</v>
      </c>
    </row>
    <row r="916" spans="1:16" x14ac:dyDescent="0.2">
      <c r="A916" s="1352" t="s">
        <v>4669</v>
      </c>
      <c r="B916" s="898" t="s">
        <v>3998</v>
      </c>
      <c r="C916" s="916" t="s">
        <v>4875</v>
      </c>
      <c r="D916" s="898" t="s">
        <v>4925</v>
      </c>
      <c r="E916" s="1243">
        <v>1500</v>
      </c>
      <c r="F916" s="943">
        <v>44362625</v>
      </c>
      <c r="G916" s="916" t="s">
        <v>4926</v>
      </c>
      <c r="H916" s="943" t="s">
        <v>4927</v>
      </c>
      <c r="I916" s="943" t="s">
        <v>3564</v>
      </c>
      <c r="J916" s="943" t="s">
        <v>3292</v>
      </c>
      <c r="K916" s="946">
        <v>0</v>
      </c>
      <c r="L916" s="899">
        <v>0</v>
      </c>
      <c r="M916" s="899">
        <v>0</v>
      </c>
      <c r="N916" s="1272">
        <v>5</v>
      </c>
      <c r="O916" s="1272">
        <v>5</v>
      </c>
      <c r="P916" s="899">
        <f t="shared" si="40"/>
        <v>7500</v>
      </c>
    </row>
    <row r="917" spans="1:16" x14ac:dyDescent="0.2">
      <c r="A917" s="1352" t="s">
        <v>4669</v>
      </c>
      <c r="B917" s="898" t="s">
        <v>3998</v>
      </c>
      <c r="C917" s="916" t="s">
        <v>4875</v>
      </c>
      <c r="D917" s="898" t="s">
        <v>4905</v>
      </c>
      <c r="E917" s="1243">
        <v>1600</v>
      </c>
      <c r="F917" s="943">
        <v>41748416</v>
      </c>
      <c r="G917" s="916" t="s">
        <v>4928</v>
      </c>
      <c r="H917" s="943" t="s">
        <v>4919</v>
      </c>
      <c r="I917" s="943" t="s">
        <v>3564</v>
      </c>
      <c r="J917" s="943" t="s">
        <v>3292</v>
      </c>
      <c r="K917" s="946">
        <v>0</v>
      </c>
      <c r="L917" s="899">
        <v>0</v>
      </c>
      <c r="M917" s="899">
        <v>0</v>
      </c>
      <c r="N917" s="1272">
        <v>5</v>
      </c>
      <c r="O917" s="1272">
        <v>5</v>
      </c>
      <c r="P917" s="899">
        <f t="shared" si="40"/>
        <v>8000</v>
      </c>
    </row>
    <row r="918" spans="1:16" ht="24" x14ac:dyDescent="0.2">
      <c r="A918" s="1352" t="s">
        <v>4669</v>
      </c>
      <c r="B918" s="898" t="s">
        <v>3998</v>
      </c>
      <c r="C918" s="916" t="s">
        <v>4875</v>
      </c>
      <c r="D918" s="898" t="s">
        <v>4929</v>
      </c>
      <c r="E918" s="1243">
        <v>1000</v>
      </c>
      <c r="F918" s="943">
        <v>72977273</v>
      </c>
      <c r="G918" s="916" t="s">
        <v>4930</v>
      </c>
      <c r="H918" s="943" t="s">
        <v>4931</v>
      </c>
      <c r="I918" s="943" t="s">
        <v>3564</v>
      </c>
      <c r="J918" s="943" t="s">
        <v>3632</v>
      </c>
      <c r="K918" s="946">
        <v>0</v>
      </c>
      <c r="L918" s="899">
        <v>0</v>
      </c>
      <c r="M918" s="899">
        <v>0</v>
      </c>
      <c r="N918" s="1272">
        <v>1</v>
      </c>
      <c r="O918" s="1272">
        <v>1</v>
      </c>
      <c r="P918" s="899">
        <f t="shared" si="40"/>
        <v>1000</v>
      </c>
    </row>
    <row r="919" spans="1:16" ht="24" x14ac:dyDescent="0.2">
      <c r="A919" s="1352" t="s">
        <v>4669</v>
      </c>
      <c r="B919" s="898" t="s">
        <v>3998</v>
      </c>
      <c r="C919" s="916" t="s">
        <v>4875</v>
      </c>
      <c r="D919" s="898" t="s">
        <v>3809</v>
      </c>
      <c r="E919" s="1243">
        <v>1600</v>
      </c>
      <c r="F919" s="943">
        <v>48220468</v>
      </c>
      <c r="G919" s="916" t="s">
        <v>4932</v>
      </c>
      <c r="H919" s="943" t="s">
        <v>4919</v>
      </c>
      <c r="I919" s="943" t="s">
        <v>4878</v>
      </c>
      <c r="J919" s="943" t="s">
        <v>3292</v>
      </c>
      <c r="K919" s="946">
        <v>0</v>
      </c>
      <c r="L919" s="899">
        <v>0</v>
      </c>
      <c r="M919" s="899">
        <v>0</v>
      </c>
      <c r="N919" s="1272">
        <v>4</v>
      </c>
      <c r="O919" s="1272">
        <v>4</v>
      </c>
      <c r="P919" s="899">
        <f t="shared" si="40"/>
        <v>6400</v>
      </c>
    </row>
    <row r="920" spans="1:16" x14ac:dyDescent="0.2">
      <c r="A920" s="1352" t="s">
        <v>4669</v>
      </c>
      <c r="B920" s="898" t="s">
        <v>3998</v>
      </c>
      <c r="C920" s="916" t="s">
        <v>4875</v>
      </c>
      <c r="D920" s="898" t="s">
        <v>4933</v>
      </c>
      <c r="E920" s="1243">
        <v>1600</v>
      </c>
      <c r="F920" s="943">
        <v>44633792</v>
      </c>
      <c r="G920" s="943" t="s">
        <v>4934</v>
      </c>
      <c r="H920" s="943" t="s">
        <v>4935</v>
      </c>
      <c r="I920" s="943"/>
      <c r="J920" s="943"/>
      <c r="K920" s="946">
        <v>0</v>
      </c>
      <c r="L920" s="899">
        <v>0</v>
      </c>
      <c r="M920" s="899">
        <v>0</v>
      </c>
      <c r="N920" s="1272">
        <v>3</v>
      </c>
      <c r="O920" s="1272">
        <v>3</v>
      </c>
      <c r="P920" s="899">
        <f t="shared" si="40"/>
        <v>4800</v>
      </c>
    </row>
    <row r="921" spans="1:16" x14ac:dyDescent="0.2">
      <c r="A921" s="1352" t="s">
        <v>4669</v>
      </c>
      <c r="B921" s="898" t="s">
        <v>3998</v>
      </c>
      <c r="C921" s="916" t="s">
        <v>4875</v>
      </c>
      <c r="D921" s="898" t="s">
        <v>3164</v>
      </c>
      <c r="E921" s="1243">
        <v>1600</v>
      </c>
      <c r="F921" s="1273" t="s">
        <v>4936</v>
      </c>
      <c r="G921" s="916" t="s">
        <v>4937</v>
      </c>
      <c r="H921" s="943"/>
      <c r="I921" s="943"/>
      <c r="J921" s="943"/>
      <c r="K921" s="946">
        <v>0</v>
      </c>
      <c r="L921" s="899">
        <v>0</v>
      </c>
      <c r="M921" s="899">
        <v>0</v>
      </c>
      <c r="N921" s="1272">
        <v>8</v>
      </c>
      <c r="O921" s="1272">
        <v>8</v>
      </c>
      <c r="P921" s="899">
        <f t="shared" si="40"/>
        <v>12800</v>
      </c>
    </row>
    <row r="922" spans="1:16" x14ac:dyDescent="0.2">
      <c r="A922" s="1352" t="s">
        <v>4669</v>
      </c>
      <c r="B922" s="898" t="s">
        <v>3998</v>
      </c>
      <c r="C922" s="916" t="s">
        <v>4875</v>
      </c>
      <c r="D922" s="898" t="s">
        <v>4116</v>
      </c>
      <c r="E922" s="1243">
        <v>1600</v>
      </c>
      <c r="F922" s="1273" t="s">
        <v>4938</v>
      </c>
      <c r="G922" s="916" t="s">
        <v>4939</v>
      </c>
      <c r="H922" s="943"/>
      <c r="I922" s="943"/>
      <c r="J922" s="943"/>
      <c r="K922" s="946">
        <v>0</v>
      </c>
      <c r="L922" s="899">
        <v>0</v>
      </c>
      <c r="M922" s="899">
        <v>0</v>
      </c>
      <c r="N922" s="1272">
        <v>4</v>
      </c>
      <c r="O922" s="1272">
        <v>4</v>
      </c>
      <c r="P922" s="899">
        <f t="shared" si="40"/>
        <v>6400</v>
      </c>
    </row>
    <row r="923" spans="1:16" x14ac:dyDescent="0.2">
      <c r="A923" s="1352" t="s">
        <v>4669</v>
      </c>
      <c r="B923" s="898" t="s">
        <v>3998</v>
      </c>
      <c r="C923" s="916" t="s">
        <v>4875</v>
      </c>
      <c r="D923" s="898" t="s">
        <v>4116</v>
      </c>
      <c r="E923" s="1243">
        <v>1600</v>
      </c>
      <c r="F923" s="943">
        <v>41300405</v>
      </c>
      <c r="G923" s="916" t="s">
        <v>4940</v>
      </c>
      <c r="H923" s="943"/>
      <c r="I923" s="943"/>
      <c r="J923" s="943"/>
      <c r="K923" s="946">
        <v>0</v>
      </c>
      <c r="L923" s="899">
        <v>0</v>
      </c>
      <c r="M923" s="899">
        <v>0</v>
      </c>
      <c r="N923" s="1272">
        <v>4</v>
      </c>
      <c r="O923" s="1272">
        <v>4</v>
      </c>
      <c r="P923" s="899">
        <f t="shared" si="40"/>
        <v>6400</v>
      </c>
    </row>
    <row r="924" spans="1:16" ht="24" x14ac:dyDescent="0.2">
      <c r="A924" s="1352" t="s">
        <v>4669</v>
      </c>
      <c r="B924" s="898" t="s">
        <v>3998</v>
      </c>
      <c r="C924" s="916" t="s">
        <v>4875</v>
      </c>
      <c r="D924" s="898" t="s">
        <v>4116</v>
      </c>
      <c r="E924" s="1243">
        <v>1600</v>
      </c>
      <c r="F924" s="943">
        <v>46753063</v>
      </c>
      <c r="G924" s="916" t="s">
        <v>4941</v>
      </c>
      <c r="H924" s="943"/>
      <c r="I924" s="943"/>
      <c r="J924" s="943"/>
      <c r="K924" s="946">
        <v>0</v>
      </c>
      <c r="L924" s="899">
        <v>0</v>
      </c>
      <c r="M924" s="899">
        <v>0</v>
      </c>
      <c r="N924" s="1272">
        <v>3</v>
      </c>
      <c r="O924" s="1272">
        <v>3</v>
      </c>
      <c r="P924" s="899">
        <f t="shared" si="40"/>
        <v>4800</v>
      </c>
    </row>
    <row r="925" spans="1:16" x14ac:dyDescent="0.2">
      <c r="A925" s="1352" t="s">
        <v>4669</v>
      </c>
      <c r="B925" s="898" t="s">
        <v>3998</v>
      </c>
      <c r="C925" s="916" t="s">
        <v>4875</v>
      </c>
      <c r="D925" s="898" t="s">
        <v>4646</v>
      </c>
      <c r="E925" s="1243">
        <v>2000</v>
      </c>
      <c r="F925" s="1273" t="s">
        <v>4942</v>
      </c>
      <c r="G925" s="916" t="s">
        <v>4943</v>
      </c>
      <c r="H925" s="943"/>
      <c r="I925" s="943"/>
      <c r="J925" s="943"/>
      <c r="K925" s="946">
        <v>0</v>
      </c>
      <c r="L925" s="899">
        <v>0</v>
      </c>
      <c r="M925" s="899">
        <v>0</v>
      </c>
      <c r="N925" s="1272">
        <v>3</v>
      </c>
      <c r="O925" s="1272">
        <v>3</v>
      </c>
      <c r="P925" s="899">
        <f t="shared" si="40"/>
        <v>6000</v>
      </c>
    </row>
    <row r="926" spans="1:16" ht="24" x14ac:dyDescent="0.2">
      <c r="A926" s="1352" t="s">
        <v>4669</v>
      </c>
      <c r="B926" s="898" t="s">
        <v>3998</v>
      </c>
      <c r="C926" s="916" t="s">
        <v>4875</v>
      </c>
      <c r="D926" s="898" t="s">
        <v>3112</v>
      </c>
      <c r="E926" s="1243">
        <v>1500</v>
      </c>
      <c r="F926" s="943"/>
      <c r="G926" s="916" t="s">
        <v>4874</v>
      </c>
      <c r="H926" s="943" t="s">
        <v>3284</v>
      </c>
      <c r="I926" s="943" t="s">
        <v>4878</v>
      </c>
      <c r="J926" s="943" t="s">
        <v>3292</v>
      </c>
      <c r="K926" s="946">
        <v>6</v>
      </c>
      <c r="L926" s="899">
        <v>6</v>
      </c>
      <c r="M926" s="899">
        <f t="shared" ref="M926:M985" si="41">L926*E926</f>
        <v>9000</v>
      </c>
      <c r="N926" s="1272"/>
      <c r="O926" s="1272"/>
      <c r="P926" s="899"/>
    </row>
    <row r="927" spans="1:16" ht="24" x14ac:dyDescent="0.2">
      <c r="A927" s="1352" t="s">
        <v>4669</v>
      </c>
      <c r="B927" s="898" t="s">
        <v>3998</v>
      </c>
      <c r="C927" s="916" t="s">
        <v>4875</v>
      </c>
      <c r="D927" s="898" t="s">
        <v>3100</v>
      </c>
      <c r="E927" s="1243">
        <v>1800</v>
      </c>
      <c r="F927" s="943">
        <v>45120505</v>
      </c>
      <c r="G927" s="916" t="s">
        <v>4747</v>
      </c>
      <c r="H927" s="943" t="s">
        <v>3284</v>
      </c>
      <c r="I927" s="943" t="s">
        <v>4878</v>
      </c>
      <c r="J927" s="943" t="s">
        <v>3292</v>
      </c>
      <c r="K927" s="946">
        <v>6</v>
      </c>
      <c r="L927" s="899">
        <v>6</v>
      </c>
      <c r="M927" s="899">
        <f t="shared" si="41"/>
        <v>10800</v>
      </c>
      <c r="N927" s="1272"/>
      <c r="O927" s="1272"/>
      <c r="P927" s="899"/>
    </row>
    <row r="928" spans="1:16" ht="24" x14ac:dyDescent="0.2">
      <c r="A928" s="1352" t="s">
        <v>4669</v>
      </c>
      <c r="B928" s="898" t="s">
        <v>3998</v>
      </c>
      <c r="C928" s="916" t="s">
        <v>4875</v>
      </c>
      <c r="D928" s="898" t="s">
        <v>4073</v>
      </c>
      <c r="E928" s="1243">
        <v>1200</v>
      </c>
      <c r="F928" s="943">
        <v>45826272</v>
      </c>
      <c r="G928" s="916" t="s">
        <v>4944</v>
      </c>
      <c r="H928" s="943" t="s">
        <v>4945</v>
      </c>
      <c r="I928" s="943" t="s">
        <v>4878</v>
      </c>
      <c r="J928" s="943" t="s">
        <v>3292</v>
      </c>
      <c r="K928" s="946">
        <v>6</v>
      </c>
      <c r="L928" s="899">
        <v>6</v>
      </c>
      <c r="M928" s="899">
        <f t="shared" si="41"/>
        <v>7200</v>
      </c>
      <c r="N928" s="1272"/>
      <c r="O928" s="1272"/>
      <c r="P928" s="899"/>
    </row>
    <row r="929" spans="1:16" ht="24" x14ac:dyDescent="0.2">
      <c r="A929" s="1352" t="s">
        <v>4669</v>
      </c>
      <c r="B929" s="898" t="s">
        <v>3998</v>
      </c>
      <c r="C929" s="916" t="s">
        <v>4875</v>
      </c>
      <c r="D929" s="898" t="s">
        <v>578</v>
      </c>
      <c r="E929" s="1243">
        <v>1300</v>
      </c>
      <c r="F929" s="943">
        <v>71051356</v>
      </c>
      <c r="G929" s="916" t="s">
        <v>4946</v>
      </c>
      <c r="H929" s="943" t="s">
        <v>4036</v>
      </c>
      <c r="I929" s="943" t="s">
        <v>4878</v>
      </c>
      <c r="J929" s="943" t="s">
        <v>3292</v>
      </c>
      <c r="K929" s="946">
        <v>6</v>
      </c>
      <c r="L929" s="899">
        <v>6</v>
      </c>
      <c r="M929" s="899">
        <f t="shared" si="41"/>
        <v>7800</v>
      </c>
      <c r="N929" s="1272"/>
      <c r="O929" s="1272"/>
      <c r="P929" s="899"/>
    </row>
    <row r="930" spans="1:16" x14ac:dyDescent="0.2">
      <c r="A930" s="1352" t="s">
        <v>4669</v>
      </c>
      <c r="B930" s="898" t="s">
        <v>3998</v>
      </c>
      <c r="C930" s="916" t="s">
        <v>4875</v>
      </c>
      <c r="D930" s="898" t="s">
        <v>578</v>
      </c>
      <c r="E930" s="1243">
        <v>2000</v>
      </c>
      <c r="F930" s="943"/>
      <c r="G930" s="916" t="s">
        <v>4947</v>
      </c>
      <c r="H930" s="943" t="s">
        <v>3129</v>
      </c>
      <c r="I930" s="943" t="s">
        <v>3564</v>
      </c>
      <c r="J930" s="943" t="s">
        <v>3568</v>
      </c>
      <c r="K930" s="946">
        <v>6</v>
      </c>
      <c r="L930" s="899">
        <v>6</v>
      </c>
      <c r="M930" s="899">
        <f t="shared" si="41"/>
        <v>12000</v>
      </c>
      <c r="N930" s="1272"/>
      <c r="O930" s="1272"/>
      <c r="P930" s="899"/>
    </row>
    <row r="931" spans="1:16" ht="24" x14ac:dyDescent="0.2">
      <c r="A931" s="1352" t="s">
        <v>4669</v>
      </c>
      <c r="B931" s="898" t="s">
        <v>3998</v>
      </c>
      <c r="C931" s="916" t="s">
        <v>4875</v>
      </c>
      <c r="D931" s="898" t="s">
        <v>3100</v>
      </c>
      <c r="E931" s="1243">
        <v>1400</v>
      </c>
      <c r="F931" s="943">
        <v>73014597</v>
      </c>
      <c r="G931" s="916" t="s">
        <v>4948</v>
      </c>
      <c r="H931" s="943" t="s">
        <v>4949</v>
      </c>
      <c r="I931" s="943" t="s">
        <v>4950</v>
      </c>
      <c r="J931" s="943" t="s">
        <v>3632</v>
      </c>
      <c r="K931" s="946">
        <v>6</v>
      </c>
      <c r="L931" s="899">
        <v>6</v>
      </c>
      <c r="M931" s="899">
        <f t="shared" si="41"/>
        <v>8400</v>
      </c>
      <c r="N931" s="1272"/>
      <c r="O931" s="1272"/>
      <c r="P931" s="899"/>
    </row>
    <row r="932" spans="1:16" x14ac:dyDescent="0.2">
      <c r="A932" s="1352" t="s">
        <v>4669</v>
      </c>
      <c r="B932" s="898" t="s">
        <v>3998</v>
      </c>
      <c r="C932" s="916" t="s">
        <v>4875</v>
      </c>
      <c r="D932" s="898" t="s">
        <v>3103</v>
      </c>
      <c r="E932" s="1243">
        <v>1800</v>
      </c>
      <c r="F932" s="943"/>
      <c r="G932" s="916" t="s">
        <v>4951</v>
      </c>
      <c r="H932" s="943" t="s">
        <v>4914</v>
      </c>
      <c r="I932" s="943" t="s">
        <v>4952</v>
      </c>
      <c r="J932" s="943" t="s">
        <v>3595</v>
      </c>
      <c r="K932" s="946">
        <v>6</v>
      </c>
      <c r="L932" s="899">
        <v>6</v>
      </c>
      <c r="M932" s="899">
        <f t="shared" si="41"/>
        <v>10800</v>
      </c>
      <c r="N932" s="1272"/>
      <c r="O932" s="1272"/>
      <c r="P932" s="899"/>
    </row>
    <row r="933" spans="1:16" x14ac:dyDescent="0.2">
      <c r="A933" s="1352" t="s">
        <v>4669</v>
      </c>
      <c r="B933" s="898" t="s">
        <v>3998</v>
      </c>
      <c r="C933" s="916" t="s">
        <v>4875</v>
      </c>
      <c r="D933" s="898" t="s">
        <v>3112</v>
      </c>
      <c r="E933" s="1243">
        <v>1500</v>
      </c>
      <c r="F933" s="943"/>
      <c r="G933" s="916" t="s">
        <v>4690</v>
      </c>
      <c r="H933" s="943" t="s">
        <v>3647</v>
      </c>
      <c r="I933" s="943" t="s">
        <v>4953</v>
      </c>
      <c r="J933" s="943" t="s">
        <v>3632</v>
      </c>
      <c r="K933" s="946">
        <v>6</v>
      </c>
      <c r="L933" s="899">
        <v>6</v>
      </c>
      <c r="M933" s="899">
        <f t="shared" si="41"/>
        <v>9000</v>
      </c>
      <c r="N933" s="1272"/>
      <c r="O933" s="1272"/>
      <c r="P933" s="899"/>
    </row>
    <row r="934" spans="1:16" x14ac:dyDescent="0.2">
      <c r="A934" s="1352" t="s">
        <v>4669</v>
      </c>
      <c r="B934" s="898" t="s">
        <v>3998</v>
      </c>
      <c r="C934" s="916" t="s">
        <v>4875</v>
      </c>
      <c r="D934" s="898" t="s">
        <v>3100</v>
      </c>
      <c r="E934" s="1243">
        <v>1200</v>
      </c>
      <c r="F934" s="943">
        <v>41588385</v>
      </c>
      <c r="G934" s="916" t="s">
        <v>4954</v>
      </c>
      <c r="H934" s="943" t="s">
        <v>4881</v>
      </c>
      <c r="I934" s="943" t="s">
        <v>3564</v>
      </c>
      <c r="J934" s="943" t="s">
        <v>3568</v>
      </c>
      <c r="K934" s="946">
        <v>6</v>
      </c>
      <c r="L934" s="899">
        <v>6</v>
      </c>
      <c r="M934" s="899">
        <f t="shared" si="41"/>
        <v>7200</v>
      </c>
      <c r="N934" s="1272"/>
      <c r="O934" s="1272"/>
      <c r="P934" s="899"/>
    </row>
    <row r="935" spans="1:16" x14ac:dyDescent="0.2">
      <c r="A935" s="1352" t="s">
        <v>4669</v>
      </c>
      <c r="B935" s="898" t="s">
        <v>3998</v>
      </c>
      <c r="C935" s="916" t="s">
        <v>4875</v>
      </c>
      <c r="D935" s="898" t="s">
        <v>3112</v>
      </c>
      <c r="E935" s="1243">
        <v>1200</v>
      </c>
      <c r="F935" s="943"/>
      <c r="G935" s="916" t="s">
        <v>4955</v>
      </c>
      <c r="H935" s="943"/>
      <c r="I935" s="943"/>
      <c r="J935" s="943"/>
      <c r="K935" s="946">
        <v>6</v>
      </c>
      <c r="L935" s="899">
        <v>6</v>
      </c>
      <c r="M935" s="899">
        <f t="shared" si="41"/>
        <v>7200</v>
      </c>
      <c r="N935" s="1272"/>
      <c r="O935" s="1272"/>
      <c r="P935" s="899"/>
    </row>
    <row r="936" spans="1:16" x14ac:dyDescent="0.2">
      <c r="A936" s="1352" t="s">
        <v>4669</v>
      </c>
      <c r="B936" s="898" t="s">
        <v>3998</v>
      </c>
      <c r="C936" s="916" t="s">
        <v>4875</v>
      </c>
      <c r="D936" s="898" t="s">
        <v>3112</v>
      </c>
      <c r="E936" s="1243">
        <v>1800</v>
      </c>
      <c r="F936" s="943"/>
      <c r="G936" s="916" t="s">
        <v>4956</v>
      </c>
      <c r="H936" s="943"/>
      <c r="I936" s="943"/>
      <c r="J936" s="943"/>
      <c r="K936" s="946">
        <v>6</v>
      </c>
      <c r="L936" s="899">
        <v>6</v>
      </c>
      <c r="M936" s="899">
        <f t="shared" si="41"/>
        <v>10800</v>
      </c>
      <c r="N936" s="1272"/>
      <c r="O936" s="1272"/>
      <c r="P936" s="899"/>
    </row>
    <row r="937" spans="1:16" x14ac:dyDescent="0.2">
      <c r="A937" s="1352" t="s">
        <v>4669</v>
      </c>
      <c r="B937" s="898" t="s">
        <v>3998</v>
      </c>
      <c r="C937" s="916" t="s">
        <v>4875</v>
      </c>
      <c r="D937" s="898" t="s">
        <v>3160</v>
      </c>
      <c r="E937" s="1243">
        <v>3000</v>
      </c>
      <c r="F937" s="943"/>
      <c r="G937" s="916" t="s">
        <v>4957</v>
      </c>
      <c r="H937" s="943" t="s">
        <v>3099</v>
      </c>
      <c r="I937" s="943" t="s">
        <v>3564</v>
      </c>
      <c r="J937" s="943" t="s">
        <v>3568</v>
      </c>
      <c r="K937" s="946">
        <v>6</v>
      </c>
      <c r="L937" s="899">
        <v>6</v>
      </c>
      <c r="M937" s="899">
        <f t="shared" si="41"/>
        <v>18000</v>
      </c>
      <c r="N937" s="1272"/>
      <c r="O937" s="1272"/>
      <c r="P937" s="899"/>
    </row>
    <row r="938" spans="1:16" x14ac:dyDescent="0.2">
      <c r="A938" s="1352" t="s">
        <v>4669</v>
      </c>
      <c r="B938" s="898" t="s">
        <v>3998</v>
      </c>
      <c r="C938" s="916" t="s">
        <v>4875</v>
      </c>
      <c r="D938" s="898" t="s">
        <v>3160</v>
      </c>
      <c r="E938" s="1243">
        <v>2000</v>
      </c>
      <c r="F938" s="943"/>
      <c r="G938" s="916" t="s">
        <v>3589</v>
      </c>
      <c r="H938" s="943" t="s">
        <v>3099</v>
      </c>
      <c r="I938" s="943" t="s">
        <v>3564</v>
      </c>
      <c r="J938" s="943" t="s">
        <v>3568</v>
      </c>
      <c r="K938" s="946">
        <v>6</v>
      </c>
      <c r="L938" s="899">
        <v>6</v>
      </c>
      <c r="M938" s="899">
        <f t="shared" si="41"/>
        <v>12000</v>
      </c>
      <c r="N938" s="1272"/>
      <c r="O938" s="1272"/>
      <c r="P938" s="899"/>
    </row>
    <row r="939" spans="1:16" x14ac:dyDescent="0.2">
      <c r="A939" s="1352" t="s">
        <v>4669</v>
      </c>
      <c r="B939" s="898" t="s">
        <v>3998</v>
      </c>
      <c r="C939" s="916" t="s">
        <v>4875</v>
      </c>
      <c r="D939" s="898" t="s">
        <v>3473</v>
      </c>
      <c r="E939" s="1243">
        <v>2000</v>
      </c>
      <c r="F939" s="898"/>
      <c r="G939" s="943" t="s">
        <v>4958</v>
      </c>
      <c r="H939" s="943" t="s">
        <v>4959</v>
      </c>
      <c r="I939" s="943" t="s">
        <v>3564</v>
      </c>
      <c r="J939" s="943" t="s">
        <v>3568</v>
      </c>
      <c r="K939" s="946">
        <v>6</v>
      </c>
      <c r="L939" s="899">
        <v>6</v>
      </c>
      <c r="M939" s="899">
        <f t="shared" si="41"/>
        <v>12000</v>
      </c>
      <c r="N939" s="1249"/>
      <c r="O939" s="1249"/>
      <c r="P939" s="899"/>
    </row>
    <row r="940" spans="1:16" ht="24" x14ac:dyDescent="0.2">
      <c r="A940" s="1352" t="s">
        <v>4669</v>
      </c>
      <c r="B940" s="898" t="s">
        <v>3998</v>
      </c>
      <c r="C940" s="916" t="s">
        <v>4875</v>
      </c>
      <c r="D940" s="898" t="s">
        <v>3473</v>
      </c>
      <c r="E940" s="1243">
        <v>2000</v>
      </c>
      <c r="F940" s="898"/>
      <c r="G940" s="898" t="s">
        <v>4960</v>
      </c>
      <c r="H940" s="898" t="s">
        <v>4961</v>
      </c>
      <c r="I940" s="943" t="s">
        <v>3564</v>
      </c>
      <c r="J940" s="943" t="s">
        <v>3595</v>
      </c>
      <c r="K940" s="946">
        <v>6</v>
      </c>
      <c r="L940" s="899">
        <v>6</v>
      </c>
      <c r="M940" s="899">
        <f t="shared" si="41"/>
        <v>12000</v>
      </c>
      <c r="N940" s="1249"/>
      <c r="O940" s="1249"/>
      <c r="P940" s="899"/>
    </row>
    <row r="941" spans="1:16" x14ac:dyDescent="0.2">
      <c r="A941" s="1352" t="s">
        <v>4669</v>
      </c>
      <c r="B941" s="898" t="s">
        <v>3998</v>
      </c>
      <c r="C941" s="916" t="s">
        <v>4875</v>
      </c>
      <c r="D941" s="898" t="s">
        <v>3473</v>
      </c>
      <c r="E941" s="1243">
        <v>1800</v>
      </c>
      <c r="F941" s="898"/>
      <c r="G941" s="898" t="s">
        <v>4811</v>
      </c>
      <c r="H941" s="898" t="s">
        <v>4897</v>
      </c>
      <c r="I941" s="943" t="s">
        <v>3564</v>
      </c>
      <c r="J941" s="943" t="s">
        <v>3568</v>
      </c>
      <c r="K941" s="946">
        <v>6</v>
      </c>
      <c r="L941" s="899">
        <v>6</v>
      </c>
      <c r="M941" s="899">
        <f t="shared" si="41"/>
        <v>10800</v>
      </c>
      <c r="N941" s="1249"/>
      <c r="O941" s="1249"/>
      <c r="P941" s="899"/>
    </row>
    <row r="942" spans="1:16" x14ac:dyDescent="0.2">
      <c r="A942" s="1352" t="s">
        <v>4669</v>
      </c>
      <c r="B942" s="898" t="s">
        <v>3998</v>
      </c>
      <c r="C942" s="916" t="s">
        <v>4875</v>
      </c>
      <c r="D942" s="898" t="s">
        <v>4962</v>
      </c>
      <c r="E942" s="1243">
        <v>1300</v>
      </c>
      <c r="F942" s="898"/>
      <c r="G942" s="898" t="s">
        <v>4963</v>
      </c>
      <c r="H942" s="898" t="s">
        <v>4881</v>
      </c>
      <c r="I942" s="943" t="s">
        <v>3564</v>
      </c>
      <c r="J942" s="943" t="s">
        <v>3568</v>
      </c>
      <c r="K942" s="946">
        <v>6</v>
      </c>
      <c r="L942" s="899">
        <v>6</v>
      </c>
      <c r="M942" s="899">
        <f t="shared" si="41"/>
        <v>7800</v>
      </c>
      <c r="N942" s="1249"/>
      <c r="O942" s="1249"/>
      <c r="P942" s="899"/>
    </row>
    <row r="943" spans="1:16" ht="24" x14ac:dyDescent="0.2">
      <c r="A943" s="1352" t="s">
        <v>4669</v>
      </c>
      <c r="B943" s="898" t="s">
        <v>3998</v>
      </c>
      <c r="C943" s="916" t="s">
        <v>4875</v>
      </c>
      <c r="D943" s="898" t="s">
        <v>4964</v>
      </c>
      <c r="E943" s="1243">
        <v>1200</v>
      </c>
      <c r="F943" s="898"/>
      <c r="G943" s="943" t="s">
        <v>4965</v>
      </c>
      <c r="H943" s="943" t="s">
        <v>4966</v>
      </c>
      <c r="I943" s="943" t="s">
        <v>3564</v>
      </c>
      <c r="J943" s="943" t="s">
        <v>4967</v>
      </c>
      <c r="K943" s="946">
        <v>6</v>
      </c>
      <c r="L943" s="899">
        <v>6</v>
      </c>
      <c r="M943" s="899">
        <f t="shared" si="41"/>
        <v>7200</v>
      </c>
      <c r="N943" s="1249"/>
      <c r="O943" s="1249"/>
      <c r="P943" s="899"/>
    </row>
    <row r="944" spans="1:16" ht="24" x14ac:dyDescent="0.2">
      <c r="A944" s="1352" t="s">
        <v>4669</v>
      </c>
      <c r="B944" s="898" t="s">
        <v>3998</v>
      </c>
      <c r="C944" s="916" t="s">
        <v>4875</v>
      </c>
      <c r="D944" s="898" t="s">
        <v>4968</v>
      </c>
      <c r="E944" s="1243">
        <v>2500</v>
      </c>
      <c r="F944" s="898"/>
      <c r="G944" s="898" t="s">
        <v>4969</v>
      </c>
      <c r="H944" s="898" t="s">
        <v>3131</v>
      </c>
      <c r="I944" s="943" t="s">
        <v>3564</v>
      </c>
      <c r="J944" s="943" t="s">
        <v>3568</v>
      </c>
      <c r="K944" s="946">
        <v>6</v>
      </c>
      <c r="L944" s="899">
        <v>6</v>
      </c>
      <c r="M944" s="899">
        <f t="shared" si="41"/>
        <v>15000</v>
      </c>
      <c r="N944" s="1249"/>
      <c r="O944" s="1249"/>
      <c r="P944" s="899"/>
    </row>
    <row r="945" spans="1:16" ht="24" x14ac:dyDescent="0.2">
      <c r="A945" s="1352" t="s">
        <v>4669</v>
      </c>
      <c r="B945" s="898" t="s">
        <v>3998</v>
      </c>
      <c r="C945" s="916" t="s">
        <v>4875</v>
      </c>
      <c r="D945" s="898" t="s">
        <v>3100</v>
      </c>
      <c r="E945" s="1243">
        <v>1500</v>
      </c>
      <c r="F945" s="898"/>
      <c r="G945" s="898" t="s">
        <v>4817</v>
      </c>
      <c r="H945" s="898" t="s">
        <v>4881</v>
      </c>
      <c r="I945" s="943" t="s">
        <v>3564</v>
      </c>
      <c r="J945" s="943" t="s">
        <v>3568</v>
      </c>
      <c r="K945" s="946">
        <v>6</v>
      </c>
      <c r="L945" s="899">
        <v>6</v>
      </c>
      <c r="M945" s="899">
        <f t="shared" si="41"/>
        <v>9000</v>
      </c>
      <c r="N945" s="1249"/>
      <c r="O945" s="1249"/>
      <c r="P945" s="899"/>
    </row>
    <row r="946" spans="1:16" x14ac:dyDescent="0.2">
      <c r="A946" s="1352" t="s">
        <v>4669</v>
      </c>
      <c r="B946" s="898" t="s">
        <v>3998</v>
      </c>
      <c r="C946" s="916" t="s">
        <v>4875</v>
      </c>
      <c r="D946" s="898" t="s">
        <v>3100</v>
      </c>
      <c r="E946" s="1243">
        <v>2500</v>
      </c>
      <c r="F946" s="898">
        <v>41443133</v>
      </c>
      <c r="G946" s="898" t="s">
        <v>4970</v>
      </c>
      <c r="H946" s="898" t="s">
        <v>3131</v>
      </c>
      <c r="I946" s="943" t="s">
        <v>3564</v>
      </c>
      <c r="J946" s="943" t="s">
        <v>3568</v>
      </c>
      <c r="K946" s="946">
        <v>6</v>
      </c>
      <c r="L946" s="899">
        <v>6</v>
      </c>
      <c r="M946" s="899">
        <f t="shared" si="41"/>
        <v>15000</v>
      </c>
      <c r="N946" s="1249"/>
      <c r="O946" s="1249"/>
      <c r="P946" s="899"/>
    </row>
    <row r="947" spans="1:16" x14ac:dyDescent="0.2">
      <c r="A947" s="1352" t="s">
        <v>4669</v>
      </c>
      <c r="B947" s="898" t="s">
        <v>3998</v>
      </c>
      <c r="C947" s="916" t="s">
        <v>4875</v>
      </c>
      <c r="D947" s="898" t="s">
        <v>3112</v>
      </c>
      <c r="E947" s="1243">
        <v>1000</v>
      </c>
      <c r="F947" s="898">
        <v>71717687</v>
      </c>
      <c r="G947" s="898" t="s">
        <v>4971</v>
      </c>
      <c r="H947" s="898"/>
      <c r="I947" s="943"/>
      <c r="J947" s="943"/>
      <c r="K947" s="946">
        <v>6</v>
      </c>
      <c r="L947" s="899">
        <v>6</v>
      </c>
      <c r="M947" s="899">
        <f t="shared" si="41"/>
        <v>6000</v>
      </c>
      <c r="N947" s="1249"/>
      <c r="O947" s="1249"/>
      <c r="P947" s="899"/>
    </row>
    <row r="948" spans="1:16" x14ac:dyDescent="0.2">
      <c r="A948" s="1352" t="s">
        <v>4669</v>
      </c>
      <c r="B948" s="898" t="s">
        <v>3998</v>
      </c>
      <c r="C948" s="916" t="s">
        <v>4875</v>
      </c>
      <c r="D948" s="898" t="s">
        <v>4972</v>
      </c>
      <c r="E948" s="1243">
        <v>1200</v>
      </c>
      <c r="F948" s="898">
        <v>76377192</v>
      </c>
      <c r="G948" s="943" t="s">
        <v>4973</v>
      </c>
      <c r="H948" s="898" t="s">
        <v>3632</v>
      </c>
      <c r="I948" s="943" t="s">
        <v>4974</v>
      </c>
      <c r="J948" s="943" t="s">
        <v>3632</v>
      </c>
      <c r="K948" s="946">
        <v>6</v>
      </c>
      <c r="L948" s="899">
        <v>6</v>
      </c>
      <c r="M948" s="899">
        <f t="shared" si="41"/>
        <v>7200</v>
      </c>
      <c r="N948" s="1249"/>
      <c r="O948" s="1249"/>
      <c r="P948" s="899"/>
    </row>
    <row r="949" spans="1:16" x14ac:dyDescent="0.2">
      <c r="A949" s="1352" t="s">
        <v>4669</v>
      </c>
      <c r="B949" s="898" t="s">
        <v>3998</v>
      </c>
      <c r="C949" s="916" t="s">
        <v>4875</v>
      </c>
      <c r="D949" s="898" t="s">
        <v>4975</v>
      </c>
      <c r="E949" s="1243">
        <v>3000</v>
      </c>
      <c r="F949" s="1273" t="s">
        <v>4976</v>
      </c>
      <c r="G949" s="898" t="s">
        <v>4977</v>
      </c>
      <c r="H949" s="898"/>
      <c r="I949" s="943"/>
      <c r="J949" s="943"/>
      <c r="K949" s="946">
        <v>6</v>
      </c>
      <c r="L949" s="899">
        <v>6</v>
      </c>
      <c r="M949" s="899">
        <f t="shared" si="41"/>
        <v>18000</v>
      </c>
      <c r="N949" s="1249"/>
      <c r="O949" s="1249"/>
      <c r="P949" s="899"/>
    </row>
    <row r="950" spans="1:16" ht="24" x14ac:dyDescent="0.2">
      <c r="A950" s="1352" t="s">
        <v>4669</v>
      </c>
      <c r="B950" s="898" t="s">
        <v>3998</v>
      </c>
      <c r="C950" s="916" t="s">
        <v>4875</v>
      </c>
      <c r="D950" s="898" t="s">
        <v>4929</v>
      </c>
      <c r="E950" s="1243">
        <v>1600</v>
      </c>
      <c r="F950" s="898">
        <v>70944084</v>
      </c>
      <c r="G950" s="898" t="s">
        <v>4978</v>
      </c>
      <c r="H950" s="898" t="s">
        <v>4931</v>
      </c>
      <c r="I950" s="943" t="s">
        <v>3564</v>
      </c>
      <c r="J950" s="943" t="s">
        <v>3632</v>
      </c>
      <c r="K950" s="946">
        <v>6</v>
      </c>
      <c r="L950" s="899">
        <v>6</v>
      </c>
      <c r="M950" s="899">
        <f t="shared" si="41"/>
        <v>9600</v>
      </c>
      <c r="N950" s="1249"/>
      <c r="O950" s="1249"/>
      <c r="P950" s="899"/>
    </row>
    <row r="951" spans="1:16" x14ac:dyDescent="0.2">
      <c r="A951" s="1352" t="s">
        <v>4669</v>
      </c>
      <c r="B951" s="898" t="s">
        <v>3998</v>
      </c>
      <c r="C951" s="916" t="s">
        <v>4875</v>
      </c>
      <c r="D951" s="898" t="s">
        <v>4979</v>
      </c>
      <c r="E951" s="1243">
        <v>2500</v>
      </c>
      <c r="F951" s="898">
        <v>44318256</v>
      </c>
      <c r="G951" s="898" t="s">
        <v>4980</v>
      </c>
      <c r="H951" s="898" t="s">
        <v>3099</v>
      </c>
      <c r="I951" s="943" t="s">
        <v>3564</v>
      </c>
      <c r="J951" s="943" t="s">
        <v>3568</v>
      </c>
      <c r="K951" s="946">
        <v>6</v>
      </c>
      <c r="L951" s="899">
        <v>6</v>
      </c>
      <c r="M951" s="899">
        <f t="shared" si="41"/>
        <v>15000</v>
      </c>
      <c r="N951" s="1249"/>
      <c r="O951" s="1249"/>
      <c r="P951" s="899"/>
    </row>
    <row r="952" spans="1:16" x14ac:dyDescent="0.2">
      <c r="A952" s="1352" t="s">
        <v>4669</v>
      </c>
      <c r="B952" s="898" t="s">
        <v>3998</v>
      </c>
      <c r="C952" s="916" t="s">
        <v>4875</v>
      </c>
      <c r="D952" s="898" t="s">
        <v>4981</v>
      </c>
      <c r="E952" s="1243">
        <v>1600</v>
      </c>
      <c r="F952" s="898">
        <v>46344643</v>
      </c>
      <c r="G952" s="898" t="s">
        <v>4982</v>
      </c>
      <c r="H952" s="898"/>
      <c r="I952" s="943"/>
      <c r="J952" s="943"/>
      <c r="K952" s="946">
        <v>6</v>
      </c>
      <c r="L952" s="899">
        <v>6</v>
      </c>
      <c r="M952" s="899">
        <f t="shared" si="41"/>
        <v>9600</v>
      </c>
      <c r="N952" s="1249"/>
      <c r="O952" s="1249"/>
      <c r="P952" s="899"/>
    </row>
    <row r="953" spans="1:16" x14ac:dyDescent="0.2">
      <c r="A953" s="1352" t="s">
        <v>4669</v>
      </c>
      <c r="B953" s="898" t="s">
        <v>3998</v>
      </c>
      <c r="C953" s="916" t="s">
        <v>4875</v>
      </c>
      <c r="D953" s="898" t="s">
        <v>4983</v>
      </c>
      <c r="E953" s="1243">
        <v>1500</v>
      </c>
      <c r="F953" s="898">
        <v>44821695</v>
      </c>
      <c r="G953" s="898" t="s">
        <v>4984</v>
      </c>
      <c r="H953" s="898"/>
      <c r="I953" s="943"/>
      <c r="J953" s="943"/>
      <c r="K953" s="946">
        <v>6</v>
      </c>
      <c r="L953" s="899">
        <v>6</v>
      </c>
      <c r="M953" s="899">
        <f t="shared" si="41"/>
        <v>9000</v>
      </c>
      <c r="N953" s="1249"/>
      <c r="O953" s="1249"/>
      <c r="P953" s="899"/>
    </row>
    <row r="954" spans="1:16" x14ac:dyDescent="0.2">
      <c r="A954" s="1352" t="s">
        <v>4669</v>
      </c>
      <c r="B954" s="898" t="s">
        <v>3998</v>
      </c>
      <c r="C954" s="916" t="s">
        <v>4875</v>
      </c>
      <c r="D954" s="898" t="s">
        <v>4985</v>
      </c>
      <c r="E954" s="1243">
        <v>3000</v>
      </c>
      <c r="F954" s="1273" t="s">
        <v>4986</v>
      </c>
      <c r="G954" s="898" t="s">
        <v>4987</v>
      </c>
      <c r="H954" s="898"/>
      <c r="I954" s="943"/>
      <c r="J954" s="943"/>
      <c r="K954" s="946">
        <v>6</v>
      </c>
      <c r="L954" s="899">
        <v>6</v>
      </c>
      <c r="M954" s="899">
        <f t="shared" si="41"/>
        <v>18000</v>
      </c>
      <c r="N954" s="1249"/>
      <c r="O954" s="1249"/>
      <c r="P954" s="899"/>
    </row>
    <row r="955" spans="1:16" x14ac:dyDescent="0.2">
      <c r="A955" s="1352" t="s">
        <v>4669</v>
      </c>
      <c r="B955" s="898" t="s">
        <v>3998</v>
      </c>
      <c r="C955" s="916" t="s">
        <v>4875</v>
      </c>
      <c r="D955" s="898" t="s">
        <v>4988</v>
      </c>
      <c r="E955" s="1243">
        <v>2000</v>
      </c>
      <c r="F955" s="898">
        <v>42890281</v>
      </c>
      <c r="G955" s="898" t="s">
        <v>4989</v>
      </c>
      <c r="H955" s="898"/>
      <c r="I955" s="943"/>
      <c r="J955" s="943"/>
      <c r="K955" s="946">
        <v>6</v>
      </c>
      <c r="L955" s="899">
        <v>6</v>
      </c>
      <c r="M955" s="899">
        <f t="shared" si="41"/>
        <v>12000</v>
      </c>
      <c r="N955" s="1249"/>
      <c r="O955" s="1249"/>
      <c r="P955" s="899"/>
    </row>
    <row r="956" spans="1:16" x14ac:dyDescent="0.2">
      <c r="A956" s="1352" t="s">
        <v>4669</v>
      </c>
      <c r="B956" s="898" t="s">
        <v>3998</v>
      </c>
      <c r="C956" s="916" t="s">
        <v>4875</v>
      </c>
      <c r="D956" s="898" t="s">
        <v>4929</v>
      </c>
      <c r="E956" s="1243">
        <v>1600</v>
      </c>
      <c r="F956" s="898">
        <v>45183109</v>
      </c>
      <c r="G956" s="898" t="s">
        <v>4990</v>
      </c>
      <c r="H956" s="898"/>
      <c r="I956" s="943"/>
      <c r="J956" s="943"/>
      <c r="K956" s="946">
        <v>6</v>
      </c>
      <c r="L956" s="899">
        <v>6</v>
      </c>
      <c r="M956" s="899">
        <f t="shared" si="41"/>
        <v>9600</v>
      </c>
      <c r="N956" s="1249"/>
      <c r="O956" s="1249"/>
      <c r="P956" s="899"/>
    </row>
    <row r="957" spans="1:16" ht="24" x14ac:dyDescent="0.2">
      <c r="A957" s="1352" t="s">
        <v>4669</v>
      </c>
      <c r="B957" s="898" t="s">
        <v>3998</v>
      </c>
      <c r="C957" s="916" t="s">
        <v>4875</v>
      </c>
      <c r="D957" s="898" t="s">
        <v>4991</v>
      </c>
      <c r="E957" s="1243">
        <v>2500</v>
      </c>
      <c r="F957" s="898">
        <v>80453439</v>
      </c>
      <c r="G957" s="898" t="s">
        <v>4992</v>
      </c>
      <c r="H957" s="898" t="s">
        <v>4897</v>
      </c>
      <c r="I957" s="943" t="s">
        <v>3564</v>
      </c>
      <c r="J957" s="943" t="s">
        <v>3568</v>
      </c>
      <c r="K957" s="946">
        <v>6</v>
      </c>
      <c r="L957" s="899">
        <v>6</v>
      </c>
      <c r="M957" s="899">
        <f t="shared" si="41"/>
        <v>15000</v>
      </c>
      <c r="N957" s="1249"/>
      <c r="O957" s="1249"/>
      <c r="P957" s="899"/>
    </row>
    <row r="958" spans="1:16" x14ac:dyDescent="0.2">
      <c r="A958" s="1352" t="s">
        <v>4669</v>
      </c>
      <c r="B958" s="898" t="s">
        <v>3998</v>
      </c>
      <c r="C958" s="916" t="s">
        <v>4875</v>
      </c>
      <c r="D958" s="898" t="s">
        <v>3100</v>
      </c>
      <c r="E958" s="1243">
        <v>1400</v>
      </c>
      <c r="F958" s="898"/>
      <c r="G958" s="898" t="s">
        <v>4993</v>
      </c>
      <c r="H958" s="898" t="s">
        <v>4877</v>
      </c>
      <c r="I958" s="943" t="s">
        <v>3564</v>
      </c>
      <c r="J958" s="943" t="s">
        <v>3292</v>
      </c>
      <c r="K958" s="946">
        <v>6</v>
      </c>
      <c r="L958" s="899">
        <v>6</v>
      </c>
      <c r="M958" s="899">
        <f t="shared" si="41"/>
        <v>8400</v>
      </c>
      <c r="N958" s="1249"/>
      <c r="O958" s="1249"/>
      <c r="P958" s="899"/>
    </row>
    <row r="959" spans="1:16" ht="24" x14ac:dyDescent="0.2">
      <c r="A959" s="1352" t="s">
        <v>4669</v>
      </c>
      <c r="B959" s="898" t="s">
        <v>3998</v>
      </c>
      <c r="C959" s="916" t="s">
        <v>4875</v>
      </c>
      <c r="D959" s="898" t="s">
        <v>3112</v>
      </c>
      <c r="E959" s="1243">
        <v>1200</v>
      </c>
      <c r="F959" s="898"/>
      <c r="G959" s="898" t="s">
        <v>4994</v>
      </c>
      <c r="H959" s="898" t="s">
        <v>4995</v>
      </c>
      <c r="I959" s="943" t="s">
        <v>3564</v>
      </c>
      <c r="J959" s="943" t="s">
        <v>3632</v>
      </c>
      <c r="K959" s="946">
        <v>6</v>
      </c>
      <c r="L959" s="899">
        <v>6</v>
      </c>
      <c r="M959" s="899">
        <f t="shared" si="41"/>
        <v>7200</v>
      </c>
      <c r="N959" s="1249"/>
      <c r="O959" s="1249"/>
      <c r="P959" s="899"/>
    </row>
    <row r="960" spans="1:16" ht="24" x14ac:dyDescent="0.2">
      <c r="A960" s="1352" t="s">
        <v>4669</v>
      </c>
      <c r="B960" s="898" t="s">
        <v>3998</v>
      </c>
      <c r="C960" s="916" t="s">
        <v>4875</v>
      </c>
      <c r="D960" s="898" t="s">
        <v>4646</v>
      </c>
      <c r="E960" s="1243">
        <v>2500</v>
      </c>
      <c r="F960" s="898"/>
      <c r="G960" s="898" t="s">
        <v>4996</v>
      </c>
      <c r="H960" s="898" t="s">
        <v>4997</v>
      </c>
      <c r="I960" s="943" t="s">
        <v>3564</v>
      </c>
      <c r="J960" s="943" t="s">
        <v>3292</v>
      </c>
      <c r="K960" s="946">
        <v>6</v>
      </c>
      <c r="L960" s="899">
        <v>6</v>
      </c>
      <c r="M960" s="899">
        <f t="shared" si="41"/>
        <v>15000</v>
      </c>
      <c r="N960" s="1249"/>
      <c r="O960" s="1249"/>
      <c r="P960" s="899"/>
    </row>
    <row r="961" spans="1:16" x14ac:dyDescent="0.2">
      <c r="A961" s="1352" t="s">
        <v>4669</v>
      </c>
      <c r="B961" s="898" t="s">
        <v>3998</v>
      </c>
      <c r="C961" s="916" t="s">
        <v>4875</v>
      </c>
      <c r="D961" s="898" t="s">
        <v>4998</v>
      </c>
      <c r="E961" s="1243">
        <v>1800</v>
      </c>
      <c r="F961" s="898"/>
      <c r="G961" s="898" t="s">
        <v>4999</v>
      </c>
      <c r="H961" s="898" t="s">
        <v>5000</v>
      </c>
      <c r="I961" s="943" t="s">
        <v>5000</v>
      </c>
      <c r="J961" s="943" t="s">
        <v>5000</v>
      </c>
      <c r="K961" s="946">
        <v>6</v>
      </c>
      <c r="L961" s="899">
        <v>6</v>
      </c>
      <c r="M961" s="899">
        <f t="shared" si="41"/>
        <v>10800</v>
      </c>
      <c r="N961" s="1249"/>
      <c r="O961" s="1249"/>
      <c r="P961" s="899"/>
    </row>
    <row r="962" spans="1:16" ht="24" x14ac:dyDescent="0.2">
      <c r="A962" s="1352" t="s">
        <v>4669</v>
      </c>
      <c r="B962" s="898" t="s">
        <v>3998</v>
      </c>
      <c r="C962" s="916" t="s">
        <v>4875</v>
      </c>
      <c r="D962" s="898" t="s">
        <v>4998</v>
      </c>
      <c r="E962" s="1243">
        <v>1800</v>
      </c>
      <c r="F962" s="898"/>
      <c r="G962" s="898" t="s">
        <v>4941</v>
      </c>
      <c r="H962" s="898" t="s">
        <v>5000</v>
      </c>
      <c r="I962" s="943" t="s">
        <v>5000</v>
      </c>
      <c r="J962" s="943" t="s">
        <v>5000</v>
      </c>
      <c r="K962" s="946">
        <v>6</v>
      </c>
      <c r="L962" s="899">
        <v>6</v>
      </c>
      <c r="M962" s="899">
        <f t="shared" si="41"/>
        <v>10800</v>
      </c>
      <c r="N962" s="1249"/>
      <c r="O962" s="1249"/>
      <c r="P962" s="899"/>
    </row>
    <row r="963" spans="1:16" x14ac:dyDescent="0.2">
      <c r="A963" s="1352" t="s">
        <v>4669</v>
      </c>
      <c r="B963" s="898" t="s">
        <v>3998</v>
      </c>
      <c r="C963" s="916" t="s">
        <v>4875</v>
      </c>
      <c r="D963" s="898" t="s">
        <v>4998</v>
      </c>
      <c r="E963" s="1243">
        <v>1800</v>
      </c>
      <c r="F963" s="898"/>
      <c r="G963" s="898" t="s">
        <v>4939</v>
      </c>
      <c r="H963" s="898" t="s">
        <v>5000</v>
      </c>
      <c r="I963" s="943" t="s">
        <v>5000</v>
      </c>
      <c r="J963" s="943" t="s">
        <v>5000</v>
      </c>
      <c r="K963" s="946">
        <v>6</v>
      </c>
      <c r="L963" s="899">
        <v>6</v>
      </c>
      <c r="M963" s="899">
        <f t="shared" si="41"/>
        <v>10800</v>
      </c>
      <c r="N963" s="1249"/>
      <c r="O963" s="1249"/>
      <c r="P963" s="899"/>
    </row>
    <row r="964" spans="1:16" x14ac:dyDescent="0.2">
      <c r="A964" s="1352" t="s">
        <v>4669</v>
      </c>
      <c r="B964" s="898" t="s">
        <v>3998</v>
      </c>
      <c r="C964" s="916" t="s">
        <v>4875</v>
      </c>
      <c r="D964" s="898" t="s">
        <v>4998</v>
      </c>
      <c r="E964" s="1243">
        <v>1800</v>
      </c>
      <c r="F964" s="898"/>
      <c r="G964" s="898" t="s">
        <v>4846</v>
      </c>
      <c r="H964" s="898" t="s">
        <v>5000</v>
      </c>
      <c r="I964" s="943" t="s">
        <v>5000</v>
      </c>
      <c r="J964" s="943" t="s">
        <v>5000</v>
      </c>
      <c r="K964" s="946">
        <v>6</v>
      </c>
      <c r="L964" s="899">
        <v>6</v>
      </c>
      <c r="M964" s="899">
        <f t="shared" si="41"/>
        <v>10800</v>
      </c>
      <c r="N964" s="1249"/>
      <c r="O964" s="1249"/>
      <c r="P964" s="899"/>
    </row>
    <row r="965" spans="1:16" x14ac:dyDescent="0.2">
      <c r="A965" s="1352" t="s">
        <v>4669</v>
      </c>
      <c r="B965" s="898" t="s">
        <v>3998</v>
      </c>
      <c r="C965" s="916" t="s">
        <v>4875</v>
      </c>
      <c r="D965" s="898" t="s">
        <v>4998</v>
      </c>
      <c r="E965" s="1243">
        <v>1800</v>
      </c>
      <c r="F965" s="898"/>
      <c r="G965" s="898" t="s">
        <v>4835</v>
      </c>
      <c r="H965" s="898" t="s">
        <v>5000</v>
      </c>
      <c r="I965" s="943" t="s">
        <v>5000</v>
      </c>
      <c r="J965" s="943" t="s">
        <v>5000</v>
      </c>
      <c r="K965" s="946">
        <v>6</v>
      </c>
      <c r="L965" s="899">
        <v>6</v>
      </c>
      <c r="M965" s="899">
        <f t="shared" si="41"/>
        <v>10800</v>
      </c>
      <c r="N965" s="1249"/>
      <c r="O965" s="1249"/>
      <c r="P965" s="899"/>
    </row>
    <row r="966" spans="1:16" x14ac:dyDescent="0.2">
      <c r="A966" s="1352" t="s">
        <v>4669</v>
      </c>
      <c r="B966" s="898" t="s">
        <v>3998</v>
      </c>
      <c r="C966" s="916" t="s">
        <v>4875</v>
      </c>
      <c r="D966" s="898" t="s">
        <v>4998</v>
      </c>
      <c r="E966" s="1243">
        <v>1800</v>
      </c>
      <c r="F966" s="898"/>
      <c r="G966" s="898" t="s">
        <v>5001</v>
      </c>
      <c r="H966" s="898" t="s">
        <v>5000</v>
      </c>
      <c r="I966" s="943" t="s">
        <v>5000</v>
      </c>
      <c r="J966" s="943" t="s">
        <v>5000</v>
      </c>
      <c r="K966" s="946">
        <v>6</v>
      </c>
      <c r="L966" s="899">
        <v>6</v>
      </c>
      <c r="M966" s="899">
        <f t="shared" si="41"/>
        <v>10800</v>
      </c>
      <c r="N966" s="1249"/>
      <c r="O966" s="1249"/>
      <c r="P966" s="899"/>
    </row>
    <row r="967" spans="1:16" x14ac:dyDescent="0.2">
      <c r="A967" s="1352" t="s">
        <v>4669</v>
      </c>
      <c r="B967" s="898" t="s">
        <v>3998</v>
      </c>
      <c r="C967" s="916" t="s">
        <v>4875</v>
      </c>
      <c r="D967" s="898" t="s">
        <v>3164</v>
      </c>
      <c r="E967" s="1243">
        <v>2000</v>
      </c>
      <c r="F967" s="898"/>
      <c r="G967" s="898" t="s">
        <v>4937</v>
      </c>
      <c r="H967" s="898" t="s">
        <v>4919</v>
      </c>
      <c r="I967" s="943" t="s">
        <v>3564</v>
      </c>
      <c r="J967" s="943" t="s">
        <v>3292</v>
      </c>
      <c r="K967" s="946">
        <v>6</v>
      </c>
      <c r="L967" s="899">
        <v>6</v>
      </c>
      <c r="M967" s="899">
        <f t="shared" si="41"/>
        <v>12000</v>
      </c>
      <c r="N967" s="1249"/>
      <c r="O967" s="1249"/>
      <c r="P967" s="899"/>
    </row>
    <row r="968" spans="1:16" x14ac:dyDescent="0.2">
      <c r="A968" s="1352" t="s">
        <v>4669</v>
      </c>
      <c r="B968" s="898" t="s">
        <v>3998</v>
      </c>
      <c r="C968" s="916" t="s">
        <v>4875</v>
      </c>
      <c r="D968" s="898" t="s">
        <v>5002</v>
      </c>
      <c r="E968" s="1243">
        <v>3000</v>
      </c>
      <c r="F968" s="898"/>
      <c r="G968" s="898" t="s">
        <v>4695</v>
      </c>
      <c r="H968" s="898" t="s">
        <v>4897</v>
      </c>
      <c r="I968" s="943" t="s">
        <v>3564</v>
      </c>
      <c r="J968" s="943" t="s">
        <v>3568</v>
      </c>
      <c r="K968" s="946">
        <v>6</v>
      </c>
      <c r="L968" s="899">
        <v>6</v>
      </c>
      <c r="M968" s="899">
        <f t="shared" si="41"/>
        <v>18000</v>
      </c>
      <c r="N968" s="1249"/>
      <c r="O968" s="1249"/>
      <c r="P968" s="899"/>
    </row>
    <row r="969" spans="1:16" ht="24" x14ac:dyDescent="0.2">
      <c r="A969" s="1352" t="s">
        <v>4669</v>
      </c>
      <c r="B969" s="898" t="s">
        <v>3998</v>
      </c>
      <c r="C969" s="916" t="s">
        <v>4875</v>
      </c>
      <c r="D969" s="898" t="s">
        <v>5003</v>
      </c>
      <c r="E969" s="1243">
        <v>1300</v>
      </c>
      <c r="F969" s="898">
        <v>71051240</v>
      </c>
      <c r="G969" s="898" t="s">
        <v>5004</v>
      </c>
      <c r="H969" s="898"/>
      <c r="I969" s="943"/>
      <c r="J969" s="943"/>
      <c r="K969" s="946">
        <v>6</v>
      </c>
      <c r="L969" s="899">
        <v>6</v>
      </c>
      <c r="M969" s="899">
        <f t="shared" si="41"/>
        <v>7800</v>
      </c>
      <c r="N969" s="1249"/>
      <c r="O969" s="1249"/>
      <c r="P969" s="899"/>
    </row>
    <row r="970" spans="1:16" x14ac:dyDescent="0.2">
      <c r="A970" s="1352" t="s">
        <v>4669</v>
      </c>
      <c r="B970" s="898" t="s">
        <v>3998</v>
      </c>
      <c r="C970" s="916" t="s">
        <v>4875</v>
      </c>
      <c r="D970" s="898" t="s">
        <v>5005</v>
      </c>
      <c r="E970" s="1243">
        <v>2000</v>
      </c>
      <c r="F970" s="898">
        <v>72512912</v>
      </c>
      <c r="G970" s="898" t="s">
        <v>5006</v>
      </c>
      <c r="H970" s="898"/>
      <c r="I970" s="943"/>
      <c r="J970" s="943"/>
      <c r="K970" s="946">
        <v>6</v>
      </c>
      <c r="L970" s="899">
        <v>6</v>
      </c>
      <c r="M970" s="899">
        <f t="shared" si="41"/>
        <v>12000</v>
      </c>
      <c r="N970" s="1249"/>
      <c r="O970" s="1249"/>
      <c r="P970" s="899"/>
    </row>
    <row r="971" spans="1:16" x14ac:dyDescent="0.2">
      <c r="A971" s="1352" t="s">
        <v>4669</v>
      </c>
      <c r="B971" s="898" t="s">
        <v>3998</v>
      </c>
      <c r="C971" s="916" t="s">
        <v>4875</v>
      </c>
      <c r="D971" s="898" t="s">
        <v>4905</v>
      </c>
      <c r="E971" s="1243">
        <v>1200</v>
      </c>
      <c r="F971" s="898"/>
      <c r="G971" s="898" t="s">
        <v>5007</v>
      </c>
      <c r="H971" s="898" t="s">
        <v>4924</v>
      </c>
      <c r="I971" s="943" t="s">
        <v>3564</v>
      </c>
      <c r="J971" s="943" t="s">
        <v>3595</v>
      </c>
      <c r="K971" s="946">
        <v>6</v>
      </c>
      <c r="L971" s="899">
        <v>6</v>
      </c>
      <c r="M971" s="899">
        <f t="shared" si="41"/>
        <v>7200</v>
      </c>
      <c r="N971" s="1249"/>
      <c r="O971" s="1249"/>
      <c r="P971" s="899"/>
    </row>
    <row r="972" spans="1:16" x14ac:dyDescent="0.2">
      <c r="A972" s="1352" t="s">
        <v>4669</v>
      </c>
      <c r="B972" s="898" t="s">
        <v>3998</v>
      </c>
      <c r="C972" s="916" t="s">
        <v>4875</v>
      </c>
      <c r="D972" s="898" t="s">
        <v>5008</v>
      </c>
      <c r="E972" s="1243">
        <v>1200</v>
      </c>
      <c r="F972" s="898"/>
      <c r="G972" s="898" t="s">
        <v>5009</v>
      </c>
      <c r="H972" s="898" t="s">
        <v>4877</v>
      </c>
      <c r="I972" s="943" t="s">
        <v>3564</v>
      </c>
      <c r="J972" s="943" t="s">
        <v>3292</v>
      </c>
      <c r="K972" s="946">
        <v>6</v>
      </c>
      <c r="L972" s="899">
        <v>6</v>
      </c>
      <c r="M972" s="899">
        <f t="shared" si="41"/>
        <v>7200</v>
      </c>
      <c r="N972" s="1249"/>
      <c r="O972" s="1249"/>
      <c r="P972" s="899"/>
    </row>
    <row r="973" spans="1:16" ht="24" x14ac:dyDescent="0.2">
      <c r="A973" s="1352" t="s">
        <v>4669</v>
      </c>
      <c r="B973" s="898" t="s">
        <v>3998</v>
      </c>
      <c r="C973" s="916" t="s">
        <v>4875</v>
      </c>
      <c r="D973" s="898" t="s">
        <v>3112</v>
      </c>
      <c r="E973" s="1243">
        <v>1200</v>
      </c>
      <c r="F973" s="898"/>
      <c r="G973" s="898" t="s">
        <v>5010</v>
      </c>
      <c r="H973" s="898" t="s">
        <v>5011</v>
      </c>
      <c r="I973" s="943" t="s">
        <v>3564</v>
      </c>
      <c r="J973" s="943" t="s">
        <v>3595</v>
      </c>
      <c r="K973" s="946">
        <v>6</v>
      </c>
      <c r="L973" s="899">
        <v>6</v>
      </c>
      <c r="M973" s="899">
        <f t="shared" si="41"/>
        <v>7200</v>
      </c>
      <c r="N973" s="1249"/>
      <c r="O973" s="1249"/>
      <c r="P973" s="899"/>
    </row>
    <row r="974" spans="1:16" ht="24" x14ac:dyDescent="0.2">
      <c r="A974" s="1352" t="s">
        <v>4669</v>
      </c>
      <c r="B974" s="898" t="s">
        <v>3998</v>
      </c>
      <c r="C974" s="916" t="s">
        <v>4875</v>
      </c>
      <c r="D974" s="898" t="s">
        <v>3112</v>
      </c>
      <c r="E974" s="1243">
        <v>1500</v>
      </c>
      <c r="F974" s="898">
        <v>77021194</v>
      </c>
      <c r="G974" s="898" t="s">
        <v>5012</v>
      </c>
      <c r="H974" s="898" t="s">
        <v>5013</v>
      </c>
      <c r="I974" s="943" t="s">
        <v>3564</v>
      </c>
      <c r="J974" s="943" t="s">
        <v>4967</v>
      </c>
      <c r="K974" s="946">
        <v>6</v>
      </c>
      <c r="L974" s="899">
        <v>6</v>
      </c>
      <c r="M974" s="899">
        <f t="shared" si="41"/>
        <v>9000</v>
      </c>
      <c r="N974" s="1249"/>
      <c r="O974" s="1249"/>
      <c r="P974" s="899"/>
    </row>
    <row r="975" spans="1:16" x14ac:dyDescent="0.2">
      <c r="A975" s="1352" t="s">
        <v>4669</v>
      </c>
      <c r="B975" s="898" t="s">
        <v>3998</v>
      </c>
      <c r="C975" s="916" t="s">
        <v>4875</v>
      </c>
      <c r="D975" s="898" t="s">
        <v>5003</v>
      </c>
      <c r="E975" s="1243">
        <v>1500</v>
      </c>
      <c r="F975" s="1273" t="s">
        <v>5014</v>
      </c>
      <c r="G975" s="898" t="s">
        <v>5015</v>
      </c>
      <c r="H975" s="898" t="s">
        <v>5016</v>
      </c>
      <c r="I975" s="943" t="s">
        <v>3564</v>
      </c>
      <c r="J975" s="943" t="s">
        <v>3568</v>
      </c>
      <c r="K975" s="946">
        <v>6</v>
      </c>
      <c r="L975" s="899">
        <v>6</v>
      </c>
      <c r="M975" s="899">
        <f t="shared" si="41"/>
        <v>9000</v>
      </c>
      <c r="N975" s="1249"/>
      <c r="O975" s="1249"/>
      <c r="P975" s="899"/>
    </row>
    <row r="976" spans="1:16" x14ac:dyDescent="0.2">
      <c r="A976" s="1352" t="s">
        <v>4669</v>
      </c>
      <c r="B976" s="898" t="s">
        <v>3998</v>
      </c>
      <c r="C976" s="916" t="s">
        <v>4875</v>
      </c>
      <c r="D976" s="898" t="s">
        <v>5017</v>
      </c>
      <c r="E976" s="1243">
        <v>2000</v>
      </c>
      <c r="F976" s="898">
        <v>46113111</v>
      </c>
      <c r="G976" s="898" t="s">
        <v>5018</v>
      </c>
      <c r="H976" s="898" t="s">
        <v>3099</v>
      </c>
      <c r="I976" s="943" t="s">
        <v>3564</v>
      </c>
      <c r="J976" s="943" t="s">
        <v>3568</v>
      </c>
      <c r="K976" s="946">
        <v>6</v>
      </c>
      <c r="L976" s="899">
        <v>6</v>
      </c>
      <c r="M976" s="899">
        <f t="shared" si="41"/>
        <v>12000</v>
      </c>
      <c r="N976" s="1249"/>
      <c r="O976" s="1249"/>
      <c r="P976" s="899"/>
    </row>
    <row r="977" spans="1:16" x14ac:dyDescent="0.2">
      <c r="A977" s="1352" t="s">
        <v>4669</v>
      </c>
      <c r="B977" s="898" t="s">
        <v>3998</v>
      </c>
      <c r="C977" s="916" t="s">
        <v>4875</v>
      </c>
      <c r="D977" s="898" t="s">
        <v>5017</v>
      </c>
      <c r="E977" s="1243">
        <v>2500</v>
      </c>
      <c r="F977" s="898">
        <v>40339472</v>
      </c>
      <c r="G977" s="898" t="s">
        <v>5019</v>
      </c>
      <c r="H977" s="898" t="s">
        <v>3099</v>
      </c>
      <c r="I977" s="943" t="s">
        <v>3564</v>
      </c>
      <c r="J977" s="943" t="s">
        <v>3568</v>
      </c>
      <c r="K977" s="946">
        <v>6</v>
      </c>
      <c r="L977" s="899">
        <v>6</v>
      </c>
      <c r="M977" s="899">
        <f t="shared" si="41"/>
        <v>15000</v>
      </c>
      <c r="N977" s="1249"/>
      <c r="O977" s="1249"/>
      <c r="P977" s="899"/>
    </row>
    <row r="978" spans="1:16" x14ac:dyDescent="0.2">
      <c r="A978" s="1352" t="s">
        <v>4669</v>
      </c>
      <c r="B978" s="898" t="s">
        <v>3998</v>
      </c>
      <c r="C978" s="916" t="s">
        <v>4875</v>
      </c>
      <c r="D978" s="898" t="s">
        <v>5020</v>
      </c>
      <c r="E978" s="1243">
        <v>1500</v>
      </c>
      <c r="F978" s="898">
        <v>40884157</v>
      </c>
      <c r="G978" s="898" t="s">
        <v>4912</v>
      </c>
      <c r="H978" s="898" t="s">
        <v>4897</v>
      </c>
      <c r="I978" s="943" t="s">
        <v>3564</v>
      </c>
      <c r="J978" s="943" t="s">
        <v>3568</v>
      </c>
      <c r="K978" s="946">
        <v>6</v>
      </c>
      <c r="L978" s="899">
        <v>6</v>
      </c>
      <c r="M978" s="899">
        <f t="shared" si="41"/>
        <v>9000</v>
      </c>
      <c r="N978" s="1249"/>
      <c r="O978" s="1249"/>
      <c r="P978" s="899"/>
    </row>
    <row r="979" spans="1:16" x14ac:dyDescent="0.2">
      <c r="A979" s="1352" t="s">
        <v>4669</v>
      </c>
      <c r="B979" s="898" t="s">
        <v>3998</v>
      </c>
      <c r="C979" s="916" t="s">
        <v>4875</v>
      </c>
      <c r="D979" s="898" t="s">
        <v>5020</v>
      </c>
      <c r="E979" s="1243">
        <v>1500</v>
      </c>
      <c r="F979" s="898">
        <v>40991768</v>
      </c>
      <c r="G979" s="898" t="s">
        <v>5021</v>
      </c>
      <c r="H979" s="898" t="s">
        <v>5022</v>
      </c>
      <c r="I979" s="943" t="s">
        <v>3564</v>
      </c>
      <c r="J979" s="943" t="s">
        <v>3595</v>
      </c>
      <c r="K979" s="946">
        <v>6</v>
      </c>
      <c r="L979" s="899">
        <v>6</v>
      </c>
      <c r="M979" s="899">
        <f t="shared" si="41"/>
        <v>9000</v>
      </c>
      <c r="N979" s="1249"/>
      <c r="O979" s="1249"/>
      <c r="P979" s="899"/>
    </row>
    <row r="980" spans="1:16" x14ac:dyDescent="0.2">
      <c r="A980" s="1352" t="s">
        <v>4669</v>
      </c>
      <c r="B980" s="898" t="s">
        <v>3998</v>
      </c>
      <c r="C980" s="916" t="s">
        <v>4875</v>
      </c>
      <c r="D980" s="898" t="s">
        <v>5023</v>
      </c>
      <c r="E980" s="1243">
        <v>2000</v>
      </c>
      <c r="F980" s="898"/>
      <c r="G980" s="898" t="s">
        <v>3589</v>
      </c>
      <c r="H980" s="898" t="s">
        <v>5024</v>
      </c>
      <c r="I980" s="943" t="s">
        <v>3564</v>
      </c>
      <c r="J980" s="943" t="s">
        <v>3595</v>
      </c>
      <c r="K980" s="946">
        <v>6</v>
      </c>
      <c r="L980" s="899">
        <v>6</v>
      </c>
      <c r="M980" s="899">
        <f t="shared" si="41"/>
        <v>12000</v>
      </c>
      <c r="N980" s="1249"/>
      <c r="O980" s="1249"/>
      <c r="P980" s="899"/>
    </row>
    <row r="981" spans="1:16" x14ac:dyDescent="0.2">
      <c r="A981" s="1352" t="s">
        <v>4669</v>
      </c>
      <c r="B981" s="898" t="s">
        <v>3998</v>
      </c>
      <c r="C981" s="916" t="s">
        <v>4875</v>
      </c>
      <c r="D981" s="898" t="s">
        <v>5025</v>
      </c>
      <c r="E981" s="1243">
        <v>1500</v>
      </c>
      <c r="F981" s="898">
        <v>46053291</v>
      </c>
      <c r="G981" s="898" t="s">
        <v>5026</v>
      </c>
      <c r="H981" s="898" t="s">
        <v>4919</v>
      </c>
      <c r="I981" s="943" t="s">
        <v>3564</v>
      </c>
      <c r="J981" s="943" t="s">
        <v>3292</v>
      </c>
      <c r="K981" s="946">
        <v>6</v>
      </c>
      <c r="L981" s="899">
        <v>6</v>
      </c>
      <c r="M981" s="899">
        <f t="shared" si="41"/>
        <v>9000</v>
      </c>
      <c r="N981" s="1249"/>
      <c r="O981" s="1249"/>
      <c r="P981" s="899"/>
    </row>
    <row r="982" spans="1:16" x14ac:dyDescent="0.2">
      <c r="A982" s="1352" t="s">
        <v>4669</v>
      </c>
      <c r="B982" s="898" t="s">
        <v>3998</v>
      </c>
      <c r="C982" s="916" t="s">
        <v>4875</v>
      </c>
      <c r="D982" s="898" t="s">
        <v>5027</v>
      </c>
      <c r="E982" s="1243">
        <v>1700</v>
      </c>
      <c r="F982" s="898">
        <v>44816712</v>
      </c>
      <c r="G982" s="898" t="s">
        <v>5028</v>
      </c>
      <c r="H982" s="898" t="s">
        <v>5022</v>
      </c>
      <c r="I982" s="943" t="s">
        <v>3564</v>
      </c>
      <c r="J982" s="943" t="s">
        <v>3595</v>
      </c>
      <c r="K982" s="946">
        <v>6</v>
      </c>
      <c r="L982" s="899">
        <v>6</v>
      </c>
      <c r="M982" s="899">
        <f t="shared" si="41"/>
        <v>10200</v>
      </c>
      <c r="N982" s="1249"/>
      <c r="O982" s="1249"/>
      <c r="P982" s="899"/>
    </row>
    <row r="983" spans="1:16" x14ac:dyDescent="0.2">
      <c r="A983" s="1352" t="s">
        <v>4669</v>
      </c>
      <c r="B983" s="898" t="s">
        <v>3998</v>
      </c>
      <c r="C983" s="916" t="s">
        <v>4875</v>
      </c>
      <c r="D983" s="898" t="s">
        <v>4672</v>
      </c>
      <c r="E983" s="1243">
        <v>1500</v>
      </c>
      <c r="F983" s="898">
        <v>42377072</v>
      </c>
      <c r="G983" s="898" t="s">
        <v>4923</v>
      </c>
      <c r="H983" s="898" t="s">
        <v>5022</v>
      </c>
      <c r="I983" s="943" t="s">
        <v>3564</v>
      </c>
      <c r="J983" s="943" t="s">
        <v>3595</v>
      </c>
      <c r="K983" s="946">
        <v>6</v>
      </c>
      <c r="L983" s="899">
        <v>6</v>
      </c>
      <c r="M983" s="899">
        <f t="shared" si="41"/>
        <v>9000</v>
      </c>
      <c r="N983" s="1249"/>
      <c r="O983" s="1249"/>
      <c r="P983" s="899"/>
    </row>
    <row r="984" spans="1:16" ht="24" x14ac:dyDescent="0.2">
      <c r="A984" s="1352" t="s">
        <v>4669</v>
      </c>
      <c r="B984" s="898" t="s">
        <v>3998</v>
      </c>
      <c r="C984" s="916" t="s">
        <v>4875</v>
      </c>
      <c r="D984" s="898" t="s">
        <v>5029</v>
      </c>
      <c r="E984" s="1243">
        <v>2500</v>
      </c>
      <c r="F984" s="898"/>
      <c r="G984" s="898" t="s">
        <v>5030</v>
      </c>
      <c r="H984" s="898" t="s">
        <v>5031</v>
      </c>
      <c r="I984" s="943" t="s">
        <v>3564</v>
      </c>
      <c r="J984" s="943" t="s">
        <v>3568</v>
      </c>
      <c r="K984" s="946">
        <v>6</v>
      </c>
      <c r="L984" s="899">
        <v>6</v>
      </c>
      <c r="M984" s="899">
        <f t="shared" si="41"/>
        <v>15000</v>
      </c>
      <c r="N984" s="1249"/>
      <c r="O984" s="1249"/>
      <c r="P984" s="899"/>
    </row>
    <row r="985" spans="1:16" x14ac:dyDescent="0.2">
      <c r="A985" s="1352" t="s">
        <v>4669</v>
      </c>
      <c r="B985" s="898" t="s">
        <v>3998</v>
      </c>
      <c r="C985" s="916" t="s">
        <v>4875</v>
      </c>
      <c r="D985" s="898" t="s">
        <v>5032</v>
      </c>
      <c r="E985" s="1243">
        <v>1500</v>
      </c>
      <c r="F985" s="898">
        <v>46078111</v>
      </c>
      <c r="G985" s="898" t="s">
        <v>5033</v>
      </c>
      <c r="H985" s="898" t="s">
        <v>4897</v>
      </c>
      <c r="I985" s="943" t="s">
        <v>3564</v>
      </c>
      <c r="J985" s="943" t="s">
        <v>3568</v>
      </c>
      <c r="K985" s="946">
        <v>6</v>
      </c>
      <c r="L985" s="899">
        <v>6</v>
      </c>
      <c r="M985" s="899">
        <f t="shared" si="41"/>
        <v>9000</v>
      </c>
      <c r="N985" s="1249"/>
      <c r="O985" s="1249"/>
      <c r="P985" s="899"/>
    </row>
    <row r="986" spans="1:16" x14ac:dyDescent="0.2">
      <c r="A986" s="916"/>
      <c r="B986" s="898"/>
      <c r="C986" s="916"/>
      <c r="D986" s="898"/>
      <c r="E986" s="1144"/>
      <c r="F986" s="898"/>
      <c r="G986" s="898"/>
      <c r="H986" s="898"/>
      <c r="I986" s="943"/>
      <c r="J986" s="943"/>
      <c r="K986" s="946"/>
      <c r="L986" s="899"/>
      <c r="M986" s="899"/>
      <c r="N986" s="1249"/>
      <c r="O986" s="1249"/>
      <c r="P986" s="899"/>
    </row>
    <row r="987" spans="1:16" x14ac:dyDescent="0.2">
      <c r="A987" s="916"/>
      <c r="B987" s="898"/>
      <c r="C987" s="916"/>
      <c r="D987" s="898"/>
      <c r="E987" s="1144"/>
      <c r="F987" s="898"/>
      <c r="G987" s="898"/>
      <c r="H987" s="898"/>
      <c r="I987" s="943"/>
      <c r="J987" s="943"/>
      <c r="K987" s="944"/>
      <c r="L987" s="1249"/>
      <c r="M987" s="899"/>
      <c r="N987" s="1249"/>
      <c r="O987" s="1249"/>
      <c r="P987" s="899"/>
    </row>
    <row r="988" spans="1:16" x14ac:dyDescent="0.2">
      <c r="A988" s="1545" t="s">
        <v>3485</v>
      </c>
      <c r="B988" s="1545"/>
      <c r="C988" s="1545"/>
      <c r="D988" s="898"/>
      <c r="E988" s="1243">
        <f>SUM(E895:E987)</f>
        <v>157600</v>
      </c>
      <c r="F988" s="1247"/>
      <c r="G988" s="898"/>
      <c r="H988" s="898"/>
      <c r="I988" s="943"/>
      <c r="J988" s="943"/>
      <c r="K988" s="944"/>
      <c r="L988" s="1249"/>
      <c r="M988" s="1246">
        <f>SUM(M895:M987)</f>
        <v>642000</v>
      </c>
      <c r="N988" s="1249"/>
      <c r="O988" s="1249"/>
      <c r="P988" s="1274">
        <f>SUM(P895:P987)</f>
        <v>214600</v>
      </c>
    </row>
    <row r="989" spans="1:16" x14ac:dyDescent="0.2">
      <c r="A989" s="1543" t="s">
        <v>169</v>
      </c>
      <c r="B989" s="1543"/>
      <c r="C989" s="1543"/>
      <c r="D989" s="1543"/>
      <c r="E989" s="1232">
        <f>E894+E988</f>
        <v>387450</v>
      </c>
      <c r="F989" s="1230"/>
      <c r="G989" s="1230"/>
      <c r="H989" s="1230"/>
      <c r="I989" s="1233"/>
      <c r="J989" s="1233"/>
      <c r="K989" s="1368"/>
      <c r="L989" s="1234"/>
      <c r="M989" s="1235">
        <f>M894+M988</f>
        <v>871850</v>
      </c>
      <c r="N989" s="1230"/>
      <c r="O989" s="1230"/>
      <c r="P989" s="1235">
        <f>P894+P988</f>
        <v>444450</v>
      </c>
    </row>
    <row r="990" spans="1:16" x14ac:dyDescent="0.2">
      <c r="A990" s="1248"/>
      <c r="B990" s="898"/>
      <c r="C990" s="916"/>
      <c r="D990" s="898"/>
      <c r="E990" s="1144"/>
      <c r="F990" s="898"/>
      <c r="G990" s="898"/>
      <c r="H990" s="898"/>
      <c r="I990" s="943"/>
      <c r="J990" s="943"/>
      <c r="K990" s="944"/>
      <c r="L990" s="1249"/>
      <c r="M990" s="899"/>
      <c r="N990" s="898"/>
      <c r="O990" s="898"/>
      <c r="P990" s="899"/>
    </row>
    <row r="991" spans="1:16" x14ac:dyDescent="0.2">
      <c r="A991" s="1546" t="s">
        <v>5034</v>
      </c>
      <c r="B991" s="1546"/>
      <c r="C991" s="1546"/>
      <c r="D991" s="1230"/>
      <c r="E991" s="1232"/>
      <c r="F991" s="1230"/>
      <c r="G991" s="1230"/>
      <c r="H991" s="1230"/>
      <c r="I991" s="1233"/>
      <c r="J991" s="1233"/>
      <c r="K991" s="1368"/>
      <c r="L991" s="1234"/>
      <c r="M991" s="1235"/>
      <c r="N991" s="1230"/>
      <c r="O991" s="1230"/>
      <c r="P991" s="1235"/>
    </row>
    <row r="992" spans="1:16" x14ac:dyDescent="0.2">
      <c r="A992" s="1543" t="s">
        <v>3075</v>
      </c>
      <c r="B992" s="1543"/>
      <c r="C992" s="1543"/>
      <c r="D992" s="1543"/>
      <c r="E992" s="1543"/>
      <c r="F992" s="1543" t="s">
        <v>3076</v>
      </c>
      <c r="G992" s="1543"/>
      <c r="H992" s="1543"/>
      <c r="I992" s="1543"/>
      <c r="J992" s="1543"/>
      <c r="K992" s="1544" t="s">
        <v>3077</v>
      </c>
      <c r="L992" s="1544"/>
      <c r="M992" s="1544"/>
      <c r="N992" s="1544" t="s">
        <v>3078</v>
      </c>
      <c r="O992" s="1544"/>
      <c r="P992" s="1544"/>
    </row>
    <row r="993" spans="1:16" ht="90" customHeight="1" x14ac:dyDescent="0.2">
      <c r="A993" s="1237" t="s">
        <v>2829</v>
      </c>
      <c r="B993" s="1239" t="s">
        <v>3079</v>
      </c>
      <c r="C993" s="1237" t="s">
        <v>3080</v>
      </c>
      <c r="D993" s="1239" t="s">
        <v>3081</v>
      </c>
      <c r="E993" s="1240" t="s">
        <v>3082</v>
      </c>
      <c r="F993" s="1239" t="s">
        <v>3083</v>
      </c>
      <c r="G993" s="1239" t="s">
        <v>3084</v>
      </c>
      <c r="H993" s="1239" t="s">
        <v>3085</v>
      </c>
      <c r="I993" s="1239" t="s">
        <v>3086</v>
      </c>
      <c r="J993" s="1239" t="s">
        <v>3087</v>
      </c>
      <c r="K993" s="1369" t="s">
        <v>3088</v>
      </c>
      <c r="L993" s="1241" t="s">
        <v>3089</v>
      </c>
      <c r="M993" s="1242" t="s">
        <v>3090</v>
      </c>
      <c r="N993" s="1241" t="s">
        <v>3088</v>
      </c>
      <c r="O993" s="1241" t="s">
        <v>3089</v>
      </c>
      <c r="P993" s="1242" t="s">
        <v>3090</v>
      </c>
    </row>
    <row r="994" spans="1:16" x14ac:dyDescent="0.2">
      <c r="A994" s="916" t="s">
        <v>5035</v>
      </c>
      <c r="B994" s="943" t="s">
        <v>3092</v>
      </c>
      <c r="C994" s="916" t="s">
        <v>5036</v>
      </c>
      <c r="D994" s="943" t="s">
        <v>491</v>
      </c>
      <c r="E994" s="1144">
        <v>1200</v>
      </c>
      <c r="F994" s="943" t="s">
        <v>5037</v>
      </c>
      <c r="G994" s="1245" t="s">
        <v>5038</v>
      </c>
      <c r="H994" s="1245" t="s">
        <v>5039</v>
      </c>
      <c r="I994" s="1147"/>
      <c r="J994" s="943"/>
      <c r="K994" s="944">
        <v>1</v>
      </c>
      <c r="L994" s="898">
        <v>12</v>
      </c>
      <c r="M994" s="899">
        <f>+L994*E994</f>
        <v>14400</v>
      </c>
      <c r="N994" s="898">
        <v>1</v>
      </c>
      <c r="O994" s="898">
        <v>12</v>
      </c>
      <c r="P994" s="899">
        <f>+O994*E994</f>
        <v>14400</v>
      </c>
    </row>
    <row r="995" spans="1:16" ht="24" x14ac:dyDescent="0.2">
      <c r="A995" s="916" t="s">
        <v>5035</v>
      </c>
      <c r="B995" s="943" t="s">
        <v>3092</v>
      </c>
      <c r="C995" s="916" t="s">
        <v>5036</v>
      </c>
      <c r="D995" s="943" t="s">
        <v>5040</v>
      </c>
      <c r="E995" s="1144">
        <v>1200</v>
      </c>
      <c r="F995" s="943" t="s">
        <v>5041</v>
      </c>
      <c r="G995" s="1245" t="s">
        <v>5042</v>
      </c>
      <c r="H995" s="1245" t="s">
        <v>5043</v>
      </c>
      <c r="I995" s="1147"/>
      <c r="J995" s="943"/>
      <c r="K995" s="944">
        <v>1</v>
      </c>
      <c r="L995" s="898">
        <v>12</v>
      </c>
      <c r="M995" s="899">
        <f>+L995*E995</f>
        <v>14400</v>
      </c>
      <c r="N995" s="898">
        <v>1</v>
      </c>
      <c r="O995" s="898">
        <v>12</v>
      </c>
      <c r="P995" s="899">
        <f>+O995*E995</f>
        <v>14400</v>
      </c>
    </row>
    <row r="996" spans="1:16" x14ac:dyDescent="0.2">
      <c r="A996" s="916" t="s">
        <v>5035</v>
      </c>
      <c r="B996" s="943" t="s">
        <v>3092</v>
      </c>
      <c r="C996" s="916" t="s">
        <v>5036</v>
      </c>
      <c r="D996" s="943" t="s">
        <v>491</v>
      </c>
      <c r="E996" s="1144">
        <v>1200</v>
      </c>
      <c r="F996" s="943" t="s">
        <v>5044</v>
      </c>
      <c r="G996" s="1245" t="s">
        <v>5045</v>
      </c>
      <c r="H996" s="1245" t="s">
        <v>3284</v>
      </c>
      <c r="I996" s="1147"/>
      <c r="J996" s="943"/>
      <c r="K996" s="944">
        <v>1</v>
      </c>
      <c r="L996" s="898">
        <v>12</v>
      </c>
      <c r="M996" s="899">
        <f t="shared" ref="M996:M1059" si="42">+L996*E996</f>
        <v>14400</v>
      </c>
      <c r="N996" s="898">
        <v>1</v>
      </c>
      <c r="O996" s="898">
        <v>12</v>
      </c>
      <c r="P996" s="899">
        <f t="shared" ref="P996:P1059" si="43">+O996*E996</f>
        <v>14400</v>
      </c>
    </row>
    <row r="997" spans="1:16" ht="24" x14ac:dyDescent="0.2">
      <c r="A997" s="916" t="s">
        <v>5035</v>
      </c>
      <c r="B997" s="943" t="s">
        <v>3092</v>
      </c>
      <c r="C997" s="916" t="s">
        <v>5036</v>
      </c>
      <c r="D997" s="943" t="s">
        <v>491</v>
      </c>
      <c r="E997" s="1144">
        <v>2200</v>
      </c>
      <c r="F997" s="943" t="s">
        <v>5046</v>
      </c>
      <c r="G997" s="1245" t="s">
        <v>5047</v>
      </c>
      <c r="H997" s="1245" t="s">
        <v>3212</v>
      </c>
      <c r="I997" s="1147"/>
      <c r="J997" s="943"/>
      <c r="K997" s="944">
        <v>1</v>
      </c>
      <c r="L997" s="898">
        <v>12</v>
      </c>
      <c r="M997" s="899">
        <f t="shared" si="42"/>
        <v>26400</v>
      </c>
      <c r="N997" s="898">
        <v>1</v>
      </c>
      <c r="O997" s="898">
        <v>12</v>
      </c>
      <c r="P997" s="899">
        <f t="shared" si="43"/>
        <v>26400</v>
      </c>
    </row>
    <row r="998" spans="1:16" ht="24" x14ac:dyDescent="0.2">
      <c r="A998" s="916" t="s">
        <v>5035</v>
      </c>
      <c r="B998" s="943" t="s">
        <v>3092</v>
      </c>
      <c r="C998" s="916" t="s">
        <v>5036</v>
      </c>
      <c r="D998" s="943" t="s">
        <v>491</v>
      </c>
      <c r="E998" s="1144">
        <v>1200</v>
      </c>
      <c r="F998" s="943" t="s">
        <v>5048</v>
      </c>
      <c r="G998" s="1245" t="s">
        <v>5049</v>
      </c>
      <c r="H998" s="1245" t="s">
        <v>3115</v>
      </c>
      <c r="I998" s="1147"/>
      <c r="J998" s="943"/>
      <c r="K998" s="944">
        <v>1</v>
      </c>
      <c r="L998" s="898">
        <v>12</v>
      </c>
      <c r="M998" s="899">
        <f t="shared" si="42"/>
        <v>14400</v>
      </c>
      <c r="N998" s="898">
        <v>1</v>
      </c>
      <c r="O998" s="898">
        <v>12</v>
      </c>
      <c r="P998" s="899">
        <f t="shared" si="43"/>
        <v>14400</v>
      </c>
    </row>
    <row r="999" spans="1:16" x14ac:dyDescent="0.2">
      <c r="A999" s="916" t="s">
        <v>5035</v>
      </c>
      <c r="B999" s="943" t="s">
        <v>3092</v>
      </c>
      <c r="C999" s="916" t="s">
        <v>5036</v>
      </c>
      <c r="D999" s="943" t="s">
        <v>5040</v>
      </c>
      <c r="E999" s="1144">
        <v>1500</v>
      </c>
      <c r="F999" s="943" t="s">
        <v>5050</v>
      </c>
      <c r="G999" s="1245" t="s">
        <v>5051</v>
      </c>
      <c r="H999" s="1245" t="s">
        <v>3187</v>
      </c>
      <c r="I999" s="1147"/>
      <c r="J999" s="943"/>
      <c r="K999" s="944">
        <v>1</v>
      </c>
      <c r="L999" s="898">
        <v>12</v>
      </c>
      <c r="M999" s="899">
        <f t="shared" si="42"/>
        <v>18000</v>
      </c>
      <c r="N999" s="898">
        <v>1</v>
      </c>
      <c r="O999" s="898">
        <v>12</v>
      </c>
      <c r="P999" s="899">
        <f t="shared" si="43"/>
        <v>18000</v>
      </c>
    </row>
    <row r="1000" spans="1:16" ht="24" x14ac:dyDescent="0.2">
      <c r="A1000" s="916" t="s">
        <v>5035</v>
      </c>
      <c r="B1000" s="943" t="s">
        <v>3092</v>
      </c>
      <c r="C1000" s="916" t="s">
        <v>5036</v>
      </c>
      <c r="D1000" s="943" t="s">
        <v>491</v>
      </c>
      <c r="E1000" s="1144">
        <v>1000</v>
      </c>
      <c r="F1000" s="943" t="s">
        <v>5052</v>
      </c>
      <c r="G1000" s="1245" t="s">
        <v>5053</v>
      </c>
      <c r="H1000" s="1245" t="s">
        <v>583</v>
      </c>
      <c r="I1000" s="1147"/>
      <c r="J1000" s="943"/>
      <c r="K1000" s="944">
        <v>1</v>
      </c>
      <c r="L1000" s="898">
        <v>12</v>
      </c>
      <c r="M1000" s="899">
        <f t="shared" si="42"/>
        <v>12000</v>
      </c>
      <c r="N1000" s="898">
        <v>1</v>
      </c>
      <c r="O1000" s="898">
        <v>12</v>
      </c>
      <c r="P1000" s="899">
        <f t="shared" si="43"/>
        <v>12000</v>
      </c>
    </row>
    <row r="1001" spans="1:16" ht="24" x14ac:dyDescent="0.2">
      <c r="A1001" s="916" t="s">
        <v>5035</v>
      </c>
      <c r="B1001" s="943" t="s">
        <v>3092</v>
      </c>
      <c r="C1001" s="916" t="s">
        <v>5036</v>
      </c>
      <c r="D1001" s="943" t="s">
        <v>5040</v>
      </c>
      <c r="E1001" s="1144">
        <v>1200</v>
      </c>
      <c r="F1001" s="943" t="s">
        <v>5054</v>
      </c>
      <c r="G1001" s="1245" t="s">
        <v>5055</v>
      </c>
      <c r="H1001" s="1245" t="s">
        <v>5043</v>
      </c>
      <c r="I1001" s="1147"/>
      <c r="J1001" s="943"/>
      <c r="K1001" s="944">
        <v>1</v>
      </c>
      <c r="L1001" s="898">
        <v>12</v>
      </c>
      <c r="M1001" s="899">
        <f t="shared" si="42"/>
        <v>14400</v>
      </c>
      <c r="N1001" s="898">
        <v>1</v>
      </c>
      <c r="O1001" s="898">
        <v>12</v>
      </c>
      <c r="P1001" s="899">
        <f t="shared" si="43"/>
        <v>14400</v>
      </c>
    </row>
    <row r="1002" spans="1:16" ht="24" x14ac:dyDescent="0.2">
      <c r="A1002" s="916" t="s">
        <v>5035</v>
      </c>
      <c r="B1002" s="943" t="s">
        <v>3092</v>
      </c>
      <c r="C1002" s="916" t="s">
        <v>5036</v>
      </c>
      <c r="D1002" s="943" t="s">
        <v>5040</v>
      </c>
      <c r="E1002" s="1144">
        <v>1500</v>
      </c>
      <c r="F1002" s="943" t="s">
        <v>5056</v>
      </c>
      <c r="G1002" s="1245" t="s">
        <v>5057</v>
      </c>
      <c r="H1002" s="1245" t="s">
        <v>5058</v>
      </c>
      <c r="I1002" s="1147"/>
      <c r="J1002" s="943"/>
      <c r="K1002" s="944">
        <v>1</v>
      </c>
      <c r="L1002" s="898">
        <v>12</v>
      </c>
      <c r="M1002" s="899">
        <f t="shared" si="42"/>
        <v>18000</v>
      </c>
      <c r="N1002" s="898">
        <v>1</v>
      </c>
      <c r="O1002" s="898">
        <v>12</v>
      </c>
      <c r="P1002" s="899">
        <f t="shared" si="43"/>
        <v>18000</v>
      </c>
    </row>
    <row r="1003" spans="1:16" ht="24" x14ac:dyDescent="0.2">
      <c r="A1003" s="916" t="s">
        <v>5035</v>
      </c>
      <c r="B1003" s="943" t="s">
        <v>3092</v>
      </c>
      <c r="C1003" s="916" t="s">
        <v>5036</v>
      </c>
      <c r="D1003" s="943" t="s">
        <v>5040</v>
      </c>
      <c r="E1003" s="1144">
        <v>1800</v>
      </c>
      <c r="F1003" s="943" t="s">
        <v>5059</v>
      </c>
      <c r="G1003" s="1245" t="s">
        <v>5060</v>
      </c>
      <c r="H1003" s="1245" t="s">
        <v>5043</v>
      </c>
      <c r="I1003" s="1147"/>
      <c r="J1003" s="943"/>
      <c r="K1003" s="944">
        <v>1</v>
      </c>
      <c r="L1003" s="898">
        <v>12</v>
      </c>
      <c r="M1003" s="899">
        <f t="shared" si="42"/>
        <v>21600</v>
      </c>
      <c r="N1003" s="898">
        <v>1</v>
      </c>
      <c r="O1003" s="898">
        <v>12</v>
      </c>
      <c r="P1003" s="899">
        <f t="shared" si="43"/>
        <v>21600</v>
      </c>
    </row>
    <row r="1004" spans="1:16" x14ac:dyDescent="0.2">
      <c r="A1004" s="916" t="s">
        <v>5035</v>
      </c>
      <c r="B1004" s="943" t="s">
        <v>3092</v>
      </c>
      <c r="C1004" s="916" t="s">
        <v>5036</v>
      </c>
      <c r="D1004" s="943" t="s">
        <v>5040</v>
      </c>
      <c r="E1004" s="1144">
        <v>3200</v>
      </c>
      <c r="F1004" s="943" t="s">
        <v>5061</v>
      </c>
      <c r="G1004" s="1245" t="s">
        <v>5062</v>
      </c>
      <c r="H1004" s="1245" t="s">
        <v>5063</v>
      </c>
      <c r="I1004" s="1147"/>
      <c r="J1004" s="943"/>
      <c r="K1004" s="944">
        <v>1</v>
      </c>
      <c r="L1004" s="898">
        <v>12</v>
      </c>
      <c r="M1004" s="899">
        <f t="shared" si="42"/>
        <v>38400</v>
      </c>
      <c r="N1004" s="898">
        <v>1</v>
      </c>
      <c r="O1004" s="898">
        <v>12</v>
      </c>
      <c r="P1004" s="899">
        <f t="shared" si="43"/>
        <v>38400</v>
      </c>
    </row>
    <row r="1005" spans="1:16" ht="24" x14ac:dyDescent="0.2">
      <c r="A1005" s="916" t="s">
        <v>5035</v>
      </c>
      <c r="B1005" s="943" t="s">
        <v>3092</v>
      </c>
      <c r="C1005" s="916" t="s">
        <v>5036</v>
      </c>
      <c r="D1005" s="943" t="s">
        <v>491</v>
      </c>
      <c r="E1005" s="1144">
        <v>1000</v>
      </c>
      <c r="F1005" s="943" t="s">
        <v>5064</v>
      </c>
      <c r="G1005" s="1245" t="s">
        <v>5065</v>
      </c>
      <c r="H1005" s="1245" t="s">
        <v>583</v>
      </c>
      <c r="I1005" s="1147"/>
      <c r="J1005" s="943"/>
      <c r="K1005" s="944">
        <v>1</v>
      </c>
      <c r="L1005" s="898">
        <v>12</v>
      </c>
      <c r="M1005" s="899">
        <f t="shared" si="42"/>
        <v>12000</v>
      </c>
      <c r="N1005" s="898">
        <v>1</v>
      </c>
      <c r="O1005" s="898">
        <v>12</v>
      </c>
      <c r="P1005" s="899">
        <f t="shared" si="43"/>
        <v>12000</v>
      </c>
    </row>
    <row r="1006" spans="1:16" ht="24" x14ac:dyDescent="0.2">
      <c r="A1006" s="916" t="s">
        <v>5035</v>
      </c>
      <c r="B1006" s="943" t="s">
        <v>3092</v>
      </c>
      <c r="C1006" s="916" t="s">
        <v>5036</v>
      </c>
      <c r="D1006" s="943" t="s">
        <v>5040</v>
      </c>
      <c r="E1006" s="1144">
        <v>1000</v>
      </c>
      <c r="F1006" s="943" t="s">
        <v>5066</v>
      </c>
      <c r="G1006" s="1245" t="s">
        <v>5067</v>
      </c>
      <c r="H1006" s="1245" t="s">
        <v>5068</v>
      </c>
      <c r="I1006" s="1147"/>
      <c r="J1006" s="943"/>
      <c r="K1006" s="944">
        <v>1</v>
      </c>
      <c r="L1006" s="898">
        <v>12</v>
      </c>
      <c r="M1006" s="899">
        <f t="shared" si="42"/>
        <v>12000</v>
      </c>
      <c r="N1006" s="898">
        <v>1</v>
      </c>
      <c r="O1006" s="898">
        <v>12</v>
      </c>
      <c r="P1006" s="899">
        <f t="shared" si="43"/>
        <v>12000</v>
      </c>
    </row>
    <row r="1007" spans="1:16" ht="24" x14ac:dyDescent="0.2">
      <c r="A1007" s="916" t="s">
        <v>5035</v>
      </c>
      <c r="B1007" s="943" t="s">
        <v>3092</v>
      </c>
      <c r="C1007" s="916" t="s">
        <v>5036</v>
      </c>
      <c r="D1007" s="943" t="s">
        <v>491</v>
      </c>
      <c r="E1007" s="1144">
        <v>1000</v>
      </c>
      <c r="F1007" s="943" t="s">
        <v>5069</v>
      </c>
      <c r="G1007" s="1245" t="s">
        <v>5070</v>
      </c>
      <c r="H1007" s="1245" t="s">
        <v>583</v>
      </c>
      <c r="I1007" s="1147"/>
      <c r="J1007" s="943"/>
      <c r="K1007" s="944">
        <v>1</v>
      </c>
      <c r="L1007" s="898">
        <v>12</v>
      </c>
      <c r="M1007" s="899">
        <f t="shared" si="42"/>
        <v>12000</v>
      </c>
      <c r="N1007" s="898">
        <v>1</v>
      </c>
      <c r="O1007" s="898">
        <v>12</v>
      </c>
      <c r="P1007" s="899">
        <f t="shared" si="43"/>
        <v>12000</v>
      </c>
    </row>
    <row r="1008" spans="1:16" x14ac:dyDescent="0.2">
      <c r="A1008" s="916" t="s">
        <v>5035</v>
      </c>
      <c r="B1008" s="943" t="s">
        <v>3092</v>
      </c>
      <c r="C1008" s="916" t="s">
        <v>5036</v>
      </c>
      <c r="D1008" s="943" t="s">
        <v>5040</v>
      </c>
      <c r="E1008" s="1144">
        <v>2500</v>
      </c>
      <c r="F1008" s="943" t="s">
        <v>5071</v>
      </c>
      <c r="G1008" s="1245" t="s">
        <v>5072</v>
      </c>
      <c r="H1008" s="1245" t="s">
        <v>517</v>
      </c>
      <c r="I1008" s="1147"/>
      <c r="J1008" s="943"/>
      <c r="K1008" s="944">
        <v>1</v>
      </c>
      <c r="L1008" s="898">
        <v>12</v>
      </c>
      <c r="M1008" s="899">
        <f t="shared" si="42"/>
        <v>30000</v>
      </c>
      <c r="N1008" s="898">
        <v>1</v>
      </c>
      <c r="O1008" s="898">
        <v>12</v>
      </c>
      <c r="P1008" s="899">
        <f t="shared" si="43"/>
        <v>30000</v>
      </c>
    </row>
    <row r="1009" spans="1:16" ht="24" x14ac:dyDescent="0.2">
      <c r="A1009" s="916" t="s">
        <v>5035</v>
      </c>
      <c r="B1009" s="943" t="s">
        <v>3092</v>
      </c>
      <c r="C1009" s="916" t="s">
        <v>5036</v>
      </c>
      <c r="D1009" s="943" t="s">
        <v>5040</v>
      </c>
      <c r="E1009" s="1144">
        <v>1200</v>
      </c>
      <c r="F1009" s="943" t="s">
        <v>5073</v>
      </c>
      <c r="G1009" s="1245" t="s">
        <v>5074</v>
      </c>
      <c r="H1009" s="1245" t="s">
        <v>5043</v>
      </c>
      <c r="I1009" s="1147"/>
      <c r="J1009" s="943"/>
      <c r="K1009" s="944">
        <v>1</v>
      </c>
      <c r="L1009" s="898">
        <v>12</v>
      </c>
      <c r="M1009" s="899">
        <f t="shared" si="42"/>
        <v>14400</v>
      </c>
      <c r="N1009" s="898">
        <v>1</v>
      </c>
      <c r="O1009" s="898">
        <v>12</v>
      </c>
      <c r="P1009" s="899">
        <f t="shared" si="43"/>
        <v>14400</v>
      </c>
    </row>
    <row r="1010" spans="1:16" ht="24" x14ac:dyDescent="0.2">
      <c r="A1010" s="916" t="s">
        <v>5035</v>
      </c>
      <c r="B1010" s="943" t="s">
        <v>3092</v>
      </c>
      <c r="C1010" s="916" t="s">
        <v>5036</v>
      </c>
      <c r="D1010" s="943" t="s">
        <v>5040</v>
      </c>
      <c r="E1010" s="1144">
        <v>6000</v>
      </c>
      <c r="F1010" s="943" t="s">
        <v>5075</v>
      </c>
      <c r="G1010" s="1245" t="s">
        <v>5076</v>
      </c>
      <c r="H1010" s="1245" t="s">
        <v>5077</v>
      </c>
      <c r="I1010" s="1147"/>
      <c r="J1010" s="943"/>
      <c r="K1010" s="944">
        <v>1</v>
      </c>
      <c r="L1010" s="898">
        <v>12</v>
      </c>
      <c r="M1010" s="899">
        <f t="shared" si="42"/>
        <v>72000</v>
      </c>
      <c r="N1010" s="898">
        <v>1</v>
      </c>
      <c r="O1010" s="898">
        <v>12</v>
      </c>
      <c r="P1010" s="899">
        <f t="shared" si="43"/>
        <v>72000</v>
      </c>
    </row>
    <row r="1011" spans="1:16" ht="24" x14ac:dyDescent="0.2">
      <c r="A1011" s="916" t="s">
        <v>5035</v>
      </c>
      <c r="B1011" s="943" t="s">
        <v>3092</v>
      </c>
      <c r="C1011" s="916" t="s">
        <v>5036</v>
      </c>
      <c r="D1011" s="943" t="s">
        <v>5040</v>
      </c>
      <c r="E1011" s="1144">
        <v>2200</v>
      </c>
      <c r="F1011" s="943" t="s">
        <v>5078</v>
      </c>
      <c r="G1011" s="1245" t="s">
        <v>5079</v>
      </c>
      <c r="H1011" s="1245" t="s">
        <v>486</v>
      </c>
      <c r="I1011" s="1147"/>
      <c r="J1011" s="943"/>
      <c r="K1011" s="944">
        <v>1</v>
      </c>
      <c r="L1011" s="898">
        <v>12</v>
      </c>
      <c r="M1011" s="899">
        <f t="shared" si="42"/>
        <v>26400</v>
      </c>
      <c r="N1011" s="898">
        <v>1</v>
      </c>
      <c r="O1011" s="898">
        <v>12</v>
      </c>
      <c r="P1011" s="899">
        <f t="shared" si="43"/>
        <v>26400</v>
      </c>
    </row>
    <row r="1012" spans="1:16" ht="24" x14ac:dyDescent="0.2">
      <c r="A1012" s="916" t="s">
        <v>5035</v>
      </c>
      <c r="B1012" s="943" t="s">
        <v>3092</v>
      </c>
      <c r="C1012" s="916" t="s">
        <v>5036</v>
      </c>
      <c r="D1012" s="943" t="s">
        <v>491</v>
      </c>
      <c r="E1012" s="1144">
        <v>1200</v>
      </c>
      <c r="F1012" s="943" t="s">
        <v>5080</v>
      </c>
      <c r="G1012" s="1245" t="s">
        <v>5081</v>
      </c>
      <c r="H1012" s="1245" t="s">
        <v>3115</v>
      </c>
      <c r="I1012" s="1147"/>
      <c r="J1012" s="943"/>
      <c r="K1012" s="944">
        <v>1</v>
      </c>
      <c r="L1012" s="898">
        <v>12</v>
      </c>
      <c r="M1012" s="899">
        <f t="shared" si="42"/>
        <v>14400</v>
      </c>
      <c r="N1012" s="898">
        <v>1</v>
      </c>
      <c r="O1012" s="898">
        <v>12</v>
      </c>
      <c r="P1012" s="899">
        <f t="shared" si="43"/>
        <v>14400</v>
      </c>
    </row>
    <row r="1013" spans="1:16" x14ac:dyDescent="0.2">
      <c r="A1013" s="916" t="s">
        <v>5035</v>
      </c>
      <c r="B1013" s="943" t="s">
        <v>3092</v>
      </c>
      <c r="C1013" s="916" t="s">
        <v>5036</v>
      </c>
      <c r="D1013" s="943" t="s">
        <v>5040</v>
      </c>
      <c r="E1013" s="1144">
        <v>1200</v>
      </c>
      <c r="F1013" s="943" t="s">
        <v>5082</v>
      </c>
      <c r="G1013" s="1245" t="s">
        <v>5083</v>
      </c>
      <c r="H1013" s="1245" t="s">
        <v>5084</v>
      </c>
      <c r="I1013" s="1147"/>
      <c r="J1013" s="943"/>
      <c r="K1013" s="944">
        <v>1</v>
      </c>
      <c r="L1013" s="898">
        <v>12</v>
      </c>
      <c r="M1013" s="899">
        <f t="shared" si="42"/>
        <v>14400</v>
      </c>
      <c r="N1013" s="898">
        <v>1</v>
      </c>
      <c r="O1013" s="898">
        <v>12</v>
      </c>
      <c r="P1013" s="899">
        <f t="shared" si="43"/>
        <v>14400</v>
      </c>
    </row>
    <row r="1014" spans="1:16" x14ac:dyDescent="0.2">
      <c r="A1014" s="916" t="s">
        <v>5035</v>
      </c>
      <c r="B1014" s="943" t="s">
        <v>3092</v>
      </c>
      <c r="C1014" s="916" t="s">
        <v>5036</v>
      </c>
      <c r="D1014" s="943" t="s">
        <v>5040</v>
      </c>
      <c r="E1014" s="1144">
        <v>1200</v>
      </c>
      <c r="F1014" s="943" t="s">
        <v>5085</v>
      </c>
      <c r="G1014" s="1245" t="s">
        <v>5086</v>
      </c>
      <c r="H1014" s="1245" t="s">
        <v>5084</v>
      </c>
      <c r="I1014" s="1147"/>
      <c r="J1014" s="943"/>
      <c r="K1014" s="944">
        <v>1</v>
      </c>
      <c r="L1014" s="898">
        <v>12</v>
      </c>
      <c r="M1014" s="899">
        <f t="shared" si="42"/>
        <v>14400</v>
      </c>
      <c r="N1014" s="898">
        <v>1</v>
      </c>
      <c r="O1014" s="898">
        <v>12</v>
      </c>
      <c r="P1014" s="899">
        <f t="shared" si="43"/>
        <v>14400</v>
      </c>
    </row>
    <row r="1015" spans="1:16" ht="24" x14ac:dyDescent="0.2">
      <c r="A1015" s="916" t="s">
        <v>5035</v>
      </c>
      <c r="B1015" s="943" t="s">
        <v>3092</v>
      </c>
      <c r="C1015" s="916" t="s">
        <v>5036</v>
      </c>
      <c r="D1015" s="943" t="s">
        <v>5040</v>
      </c>
      <c r="E1015" s="1144">
        <v>1000</v>
      </c>
      <c r="F1015" s="943" t="s">
        <v>5087</v>
      </c>
      <c r="G1015" s="1245" t="s">
        <v>5088</v>
      </c>
      <c r="H1015" s="1245" t="s">
        <v>5058</v>
      </c>
      <c r="I1015" s="1147"/>
      <c r="J1015" s="943"/>
      <c r="K1015" s="944">
        <v>1</v>
      </c>
      <c r="L1015" s="898">
        <v>12</v>
      </c>
      <c r="M1015" s="899">
        <f t="shared" si="42"/>
        <v>12000</v>
      </c>
      <c r="N1015" s="898">
        <v>1</v>
      </c>
      <c r="O1015" s="898">
        <v>12</v>
      </c>
      <c r="P1015" s="899">
        <f t="shared" si="43"/>
        <v>12000</v>
      </c>
    </row>
    <row r="1016" spans="1:16" ht="24" x14ac:dyDescent="0.2">
      <c r="A1016" s="916" t="s">
        <v>5035</v>
      </c>
      <c r="B1016" s="943" t="s">
        <v>3092</v>
      </c>
      <c r="C1016" s="916" t="s">
        <v>5036</v>
      </c>
      <c r="D1016" s="943" t="s">
        <v>5040</v>
      </c>
      <c r="E1016" s="1144">
        <v>1200</v>
      </c>
      <c r="F1016" s="943" t="s">
        <v>5089</v>
      </c>
      <c r="G1016" s="1245" t="s">
        <v>5090</v>
      </c>
      <c r="H1016" s="1245" t="s">
        <v>5043</v>
      </c>
      <c r="I1016" s="1147"/>
      <c r="J1016" s="943"/>
      <c r="K1016" s="944">
        <v>1</v>
      </c>
      <c r="L1016" s="898">
        <v>12</v>
      </c>
      <c r="M1016" s="899">
        <f t="shared" si="42"/>
        <v>14400</v>
      </c>
      <c r="N1016" s="898">
        <v>1</v>
      </c>
      <c r="O1016" s="898">
        <v>12</v>
      </c>
      <c r="P1016" s="899">
        <f t="shared" si="43"/>
        <v>14400</v>
      </c>
    </row>
    <row r="1017" spans="1:16" ht="24" x14ac:dyDescent="0.2">
      <c r="A1017" s="916" t="s">
        <v>5035</v>
      </c>
      <c r="B1017" s="943" t="s">
        <v>3092</v>
      </c>
      <c r="C1017" s="916" t="s">
        <v>5036</v>
      </c>
      <c r="D1017" s="943" t="s">
        <v>491</v>
      </c>
      <c r="E1017" s="1144">
        <v>2150</v>
      </c>
      <c r="F1017" s="943" t="s">
        <v>5091</v>
      </c>
      <c r="G1017" s="1245" t="s">
        <v>5092</v>
      </c>
      <c r="H1017" s="1245" t="s">
        <v>3168</v>
      </c>
      <c r="I1017" s="1147"/>
      <c r="J1017" s="943"/>
      <c r="K1017" s="944">
        <v>1</v>
      </c>
      <c r="L1017" s="898">
        <v>12</v>
      </c>
      <c r="M1017" s="899">
        <f t="shared" si="42"/>
        <v>25800</v>
      </c>
      <c r="N1017" s="898">
        <v>1</v>
      </c>
      <c r="O1017" s="898">
        <v>12</v>
      </c>
      <c r="P1017" s="899">
        <f t="shared" si="43"/>
        <v>25800</v>
      </c>
    </row>
    <row r="1018" spans="1:16" ht="24" x14ac:dyDescent="0.2">
      <c r="A1018" s="916" t="s">
        <v>5035</v>
      </c>
      <c r="B1018" s="943" t="s">
        <v>3092</v>
      </c>
      <c r="C1018" s="916" t="s">
        <v>5036</v>
      </c>
      <c r="D1018" s="943" t="s">
        <v>5040</v>
      </c>
      <c r="E1018" s="1144">
        <v>1000</v>
      </c>
      <c r="F1018" s="943" t="s">
        <v>5093</v>
      </c>
      <c r="G1018" s="1245" t="s">
        <v>5094</v>
      </c>
      <c r="H1018" s="1245" t="s">
        <v>5095</v>
      </c>
      <c r="I1018" s="1147"/>
      <c r="J1018" s="943"/>
      <c r="K1018" s="944">
        <v>1</v>
      </c>
      <c r="L1018" s="898">
        <v>12</v>
      </c>
      <c r="M1018" s="899">
        <f t="shared" si="42"/>
        <v>12000</v>
      </c>
      <c r="N1018" s="898">
        <v>1</v>
      </c>
      <c r="O1018" s="898">
        <v>12</v>
      </c>
      <c r="P1018" s="899">
        <f t="shared" si="43"/>
        <v>12000</v>
      </c>
    </row>
    <row r="1019" spans="1:16" ht="24" x14ac:dyDescent="0.2">
      <c r="A1019" s="916" t="s">
        <v>5035</v>
      </c>
      <c r="B1019" s="943" t="s">
        <v>3092</v>
      </c>
      <c r="C1019" s="916" t="s">
        <v>5036</v>
      </c>
      <c r="D1019" s="943" t="s">
        <v>5040</v>
      </c>
      <c r="E1019" s="1144">
        <v>1200</v>
      </c>
      <c r="F1019" s="943" t="s">
        <v>5096</v>
      </c>
      <c r="G1019" s="1245" t="s">
        <v>5097</v>
      </c>
      <c r="H1019" s="1245" t="s">
        <v>5043</v>
      </c>
      <c r="I1019" s="1147"/>
      <c r="J1019" s="943"/>
      <c r="K1019" s="944">
        <v>1</v>
      </c>
      <c r="L1019" s="898">
        <v>12</v>
      </c>
      <c r="M1019" s="899">
        <f t="shared" si="42"/>
        <v>14400</v>
      </c>
      <c r="N1019" s="898">
        <v>1</v>
      </c>
      <c r="O1019" s="898">
        <v>12</v>
      </c>
      <c r="P1019" s="899">
        <f t="shared" si="43"/>
        <v>14400</v>
      </c>
    </row>
    <row r="1020" spans="1:16" x14ac:dyDescent="0.2">
      <c r="A1020" s="916" t="s">
        <v>5035</v>
      </c>
      <c r="B1020" s="943" t="s">
        <v>3092</v>
      </c>
      <c r="C1020" s="916" t="s">
        <v>5036</v>
      </c>
      <c r="D1020" s="943" t="s">
        <v>5040</v>
      </c>
      <c r="E1020" s="1144">
        <v>1000</v>
      </c>
      <c r="F1020" s="943" t="s">
        <v>5098</v>
      </c>
      <c r="G1020" s="1245" t="s">
        <v>5099</v>
      </c>
      <c r="H1020" s="1245" t="s">
        <v>3187</v>
      </c>
      <c r="I1020" s="1147"/>
      <c r="J1020" s="943"/>
      <c r="K1020" s="944">
        <v>1</v>
      </c>
      <c r="L1020" s="898">
        <v>12</v>
      </c>
      <c r="M1020" s="899">
        <f t="shared" si="42"/>
        <v>12000</v>
      </c>
      <c r="N1020" s="898">
        <v>1</v>
      </c>
      <c r="O1020" s="898">
        <v>12</v>
      </c>
      <c r="P1020" s="899">
        <f t="shared" si="43"/>
        <v>12000</v>
      </c>
    </row>
    <row r="1021" spans="1:16" x14ac:dyDescent="0.2">
      <c r="A1021" s="916" t="s">
        <v>5035</v>
      </c>
      <c r="B1021" s="943" t="s">
        <v>3092</v>
      </c>
      <c r="C1021" s="916" t="s">
        <v>5036</v>
      </c>
      <c r="D1021" s="943" t="s">
        <v>5040</v>
      </c>
      <c r="E1021" s="1144">
        <v>1800</v>
      </c>
      <c r="F1021" s="943" t="s">
        <v>5100</v>
      </c>
      <c r="G1021" s="1245" t="s">
        <v>5101</v>
      </c>
      <c r="H1021" s="1245" t="s">
        <v>581</v>
      </c>
      <c r="I1021" s="1147"/>
      <c r="J1021" s="943"/>
      <c r="K1021" s="944">
        <v>1</v>
      </c>
      <c r="L1021" s="898">
        <v>12</v>
      </c>
      <c r="M1021" s="899">
        <f t="shared" si="42"/>
        <v>21600</v>
      </c>
      <c r="N1021" s="898">
        <v>1</v>
      </c>
      <c r="O1021" s="898">
        <v>12</v>
      </c>
      <c r="P1021" s="899">
        <f t="shared" si="43"/>
        <v>21600</v>
      </c>
    </row>
    <row r="1022" spans="1:16" ht="24" x14ac:dyDescent="0.2">
      <c r="A1022" s="916" t="s">
        <v>5035</v>
      </c>
      <c r="B1022" s="943" t="s">
        <v>3092</v>
      </c>
      <c r="C1022" s="916" t="s">
        <v>5036</v>
      </c>
      <c r="D1022" s="943" t="s">
        <v>491</v>
      </c>
      <c r="E1022" s="1144">
        <v>1000</v>
      </c>
      <c r="F1022" s="943" t="s">
        <v>5102</v>
      </c>
      <c r="G1022" s="1245" t="s">
        <v>5103</v>
      </c>
      <c r="H1022" s="1245" t="s">
        <v>583</v>
      </c>
      <c r="I1022" s="1147"/>
      <c r="J1022" s="943"/>
      <c r="K1022" s="944">
        <v>1</v>
      </c>
      <c r="L1022" s="898">
        <v>12</v>
      </c>
      <c r="M1022" s="899">
        <f t="shared" si="42"/>
        <v>12000</v>
      </c>
      <c r="N1022" s="898">
        <v>1</v>
      </c>
      <c r="O1022" s="898">
        <v>12</v>
      </c>
      <c r="P1022" s="899">
        <f t="shared" si="43"/>
        <v>12000</v>
      </c>
    </row>
    <row r="1023" spans="1:16" ht="24" x14ac:dyDescent="0.2">
      <c r="A1023" s="916" t="s">
        <v>5035</v>
      </c>
      <c r="B1023" s="943" t="s">
        <v>3092</v>
      </c>
      <c r="C1023" s="916" t="s">
        <v>5036</v>
      </c>
      <c r="D1023" s="943" t="s">
        <v>5040</v>
      </c>
      <c r="E1023" s="1144">
        <v>2200</v>
      </c>
      <c r="F1023" s="943" t="s">
        <v>5104</v>
      </c>
      <c r="G1023" s="1245" t="s">
        <v>5105</v>
      </c>
      <c r="H1023" s="1245" t="s">
        <v>5106</v>
      </c>
      <c r="I1023" s="1147"/>
      <c r="J1023" s="943"/>
      <c r="K1023" s="944">
        <v>1</v>
      </c>
      <c r="L1023" s="898">
        <v>12</v>
      </c>
      <c r="M1023" s="899">
        <f t="shared" si="42"/>
        <v>26400</v>
      </c>
      <c r="N1023" s="898">
        <v>1</v>
      </c>
      <c r="O1023" s="898">
        <v>12</v>
      </c>
      <c r="P1023" s="899">
        <f t="shared" si="43"/>
        <v>26400</v>
      </c>
    </row>
    <row r="1024" spans="1:16" ht="24" x14ac:dyDescent="0.2">
      <c r="A1024" s="916" t="s">
        <v>5035</v>
      </c>
      <c r="B1024" s="943" t="s">
        <v>3092</v>
      </c>
      <c r="C1024" s="916" t="s">
        <v>5036</v>
      </c>
      <c r="D1024" s="943" t="s">
        <v>491</v>
      </c>
      <c r="E1024" s="1144">
        <v>1200</v>
      </c>
      <c r="F1024" s="943" t="s">
        <v>5107</v>
      </c>
      <c r="G1024" s="1245" t="s">
        <v>5108</v>
      </c>
      <c r="H1024" s="1245" t="s">
        <v>5109</v>
      </c>
      <c r="I1024" s="1147"/>
      <c r="J1024" s="943"/>
      <c r="K1024" s="944">
        <v>1</v>
      </c>
      <c r="L1024" s="898">
        <v>12</v>
      </c>
      <c r="M1024" s="899">
        <f t="shared" si="42"/>
        <v>14400</v>
      </c>
      <c r="N1024" s="898">
        <v>1</v>
      </c>
      <c r="O1024" s="898">
        <v>12</v>
      </c>
      <c r="P1024" s="899">
        <f t="shared" si="43"/>
        <v>14400</v>
      </c>
    </row>
    <row r="1025" spans="1:16" x14ac:dyDescent="0.2">
      <c r="A1025" s="916" t="s">
        <v>5035</v>
      </c>
      <c r="B1025" s="943" t="s">
        <v>3092</v>
      </c>
      <c r="C1025" s="916" t="s">
        <v>5036</v>
      </c>
      <c r="D1025" s="943" t="s">
        <v>5040</v>
      </c>
      <c r="E1025" s="1144">
        <v>2200</v>
      </c>
      <c r="F1025" s="943" t="s">
        <v>5110</v>
      </c>
      <c r="G1025" s="1245" t="s">
        <v>5111</v>
      </c>
      <c r="H1025" s="1245" t="s">
        <v>5112</v>
      </c>
      <c r="I1025" s="1147"/>
      <c r="J1025" s="943"/>
      <c r="K1025" s="944">
        <v>1</v>
      </c>
      <c r="L1025" s="898">
        <v>12</v>
      </c>
      <c r="M1025" s="899">
        <f t="shared" si="42"/>
        <v>26400</v>
      </c>
      <c r="N1025" s="898">
        <v>1</v>
      </c>
      <c r="O1025" s="898">
        <v>12</v>
      </c>
      <c r="P1025" s="899">
        <f t="shared" si="43"/>
        <v>26400</v>
      </c>
    </row>
    <row r="1026" spans="1:16" ht="24" x14ac:dyDescent="0.2">
      <c r="A1026" s="916" t="s">
        <v>5035</v>
      </c>
      <c r="B1026" s="943" t="s">
        <v>3092</v>
      </c>
      <c r="C1026" s="916" t="s">
        <v>5036</v>
      </c>
      <c r="D1026" s="943" t="s">
        <v>5040</v>
      </c>
      <c r="E1026" s="1144">
        <v>1200</v>
      </c>
      <c r="F1026" s="943" t="s">
        <v>5113</v>
      </c>
      <c r="G1026" s="1245" t="s">
        <v>5114</v>
      </c>
      <c r="H1026" s="1245" t="s">
        <v>5043</v>
      </c>
      <c r="I1026" s="1147"/>
      <c r="J1026" s="943"/>
      <c r="K1026" s="944">
        <v>1</v>
      </c>
      <c r="L1026" s="898">
        <v>12</v>
      </c>
      <c r="M1026" s="899">
        <f t="shared" si="42"/>
        <v>14400</v>
      </c>
      <c r="N1026" s="898">
        <v>1</v>
      </c>
      <c r="O1026" s="898">
        <v>12</v>
      </c>
      <c r="P1026" s="899">
        <f t="shared" si="43"/>
        <v>14400</v>
      </c>
    </row>
    <row r="1027" spans="1:16" x14ac:dyDescent="0.2">
      <c r="A1027" s="916" t="s">
        <v>5035</v>
      </c>
      <c r="B1027" s="943" t="s">
        <v>3092</v>
      </c>
      <c r="C1027" s="916" t="s">
        <v>5036</v>
      </c>
      <c r="D1027" s="943" t="s">
        <v>5040</v>
      </c>
      <c r="E1027" s="1144">
        <v>3000</v>
      </c>
      <c r="F1027" s="943" t="s">
        <v>5115</v>
      </c>
      <c r="G1027" s="1245" t="s">
        <v>5116</v>
      </c>
      <c r="H1027" s="1245" t="s">
        <v>517</v>
      </c>
      <c r="I1027" s="1147"/>
      <c r="J1027" s="943"/>
      <c r="K1027" s="944">
        <v>1</v>
      </c>
      <c r="L1027" s="898">
        <v>12</v>
      </c>
      <c r="M1027" s="899">
        <f t="shared" si="42"/>
        <v>36000</v>
      </c>
      <c r="N1027" s="898">
        <v>1</v>
      </c>
      <c r="O1027" s="898">
        <v>12</v>
      </c>
      <c r="P1027" s="899">
        <f t="shared" si="43"/>
        <v>36000</v>
      </c>
    </row>
    <row r="1028" spans="1:16" ht="24" x14ac:dyDescent="0.2">
      <c r="A1028" s="916" t="s">
        <v>5035</v>
      </c>
      <c r="B1028" s="943" t="s">
        <v>3092</v>
      </c>
      <c r="C1028" s="916" t="s">
        <v>5036</v>
      </c>
      <c r="D1028" s="943" t="s">
        <v>491</v>
      </c>
      <c r="E1028" s="1144">
        <v>1000</v>
      </c>
      <c r="F1028" s="943" t="s">
        <v>5117</v>
      </c>
      <c r="G1028" s="1245" t="s">
        <v>5118</v>
      </c>
      <c r="H1028" s="1245" t="s">
        <v>583</v>
      </c>
      <c r="I1028" s="1147"/>
      <c r="J1028" s="943"/>
      <c r="K1028" s="944">
        <v>1</v>
      </c>
      <c r="L1028" s="898">
        <v>12</v>
      </c>
      <c r="M1028" s="899">
        <f t="shared" si="42"/>
        <v>12000</v>
      </c>
      <c r="N1028" s="898">
        <v>1</v>
      </c>
      <c r="O1028" s="898">
        <v>12</v>
      </c>
      <c r="P1028" s="899">
        <f t="shared" si="43"/>
        <v>12000</v>
      </c>
    </row>
    <row r="1029" spans="1:16" x14ac:dyDescent="0.2">
      <c r="A1029" s="916" t="s">
        <v>5035</v>
      </c>
      <c r="B1029" s="943" t="s">
        <v>3092</v>
      </c>
      <c r="C1029" s="916" t="s">
        <v>5036</v>
      </c>
      <c r="D1029" s="943" t="s">
        <v>491</v>
      </c>
      <c r="E1029" s="1144">
        <v>1200</v>
      </c>
      <c r="F1029" s="943" t="s">
        <v>5119</v>
      </c>
      <c r="G1029" s="1245" t="s">
        <v>5120</v>
      </c>
      <c r="H1029" s="1245" t="s">
        <v>3284</v>
      </c>
      <c r="I1029" s="1147"/>
      <c r="J1029" s="943"/>
      <c r="K1029" s="944">
        <v>1</v>
      </c>
      <c r="L1029" s="898">
        <v>12</v>
      </c>
      <c r="M1029" s="899">
        <f t="shared" si="42"/>
        <v>14400</v>
      </c>
      <c r="N1029" s="898">
        <v>1</v>
      </c>
      <c r="O1029" s="898">
        <v>12</v>
      </c>
      <c r="P1029" s="899">
        <f t="shared" si="43"/>
        <v>14400</v>
      </c>
    </row>
    <row r="1030" spans="1:16" ht="24" x14ac:dyDescent="0.2">
      <c r="A1030" s="916" t="s">
        <v>5035</v>
      </c>
      <c r="B1030" s="943" t="s">
        <v>3092</v>
      </c>
      <c r="C1030" s="916" t="s">
        <v>5036</v>
      </c>
      <c r="D1030" s="943" t="s">
        <v>5040</v>
      </c>
      <c r="E1030" s="1144">
        <v>1200</v>
      </c>
      <c r="F1030" s="943" t="s">
        <v>5121</v>
      </c>
      <c r="G1030" s="1245" t="s">
        <v>5122</v>
      </c>
      <c r="H1030" s="1245" t="s">
        <v>5043</v>
      </c>
      <c r="I1030" s="1147"/>
      <c r="J1030" s="943"/>
      <c r="K1030" s="944">
        <v>1</v>
      </c>
      <c r="L1030" s="898">
        <v>12</v>
      </c>
      <c r="M1030" s="899">
        <f t="shared" si="42"/>
        <v>14400</v>
      </c>
      <c r="N1030" s="898">
        <v>1</v>
      </c>
      <c r="O1030" s="898">
        <v>12</v>
      </c>
      <c r="P1030" s="899">
        <f t="shared" si="43"/>
        <v>14400</v>
      </c>
    </row>
    <row r="1031" spans="1:16" x14ac:dyDescent="0.2">
      <c r="A1031" s="916" t="s">
        <v>5035</v>
      </c>
      <c r="B1031" s="943" t="s">
        <v>3092</v>
      </c>
      <c r="C1031" s="916" t="s">
        <v>5036</v>
      </c>
      <c r="D1031" s="943" t="s">
        <v>5040</v>
      </c>
      <c r="E1031" s="1144">
        <v>1000</v>
      </c>
      <c r="F1031" s="943" t="s">
        <v>5123</v>
      </c>
      <c r="G1031" s="1245" t="s">
        <v>5124</v>
      </c>
      <c r="H1031" s="1245" t="s">
        <v>3187</v>
      </c>
      <c r="I1031" s="1147"/>
      <c r="J1031" s="943"/>
      <c r="K1031" s="944">
        <v>1</v>
      </c>
      <c r="L1031" s="898">
        <v>12</v>
      </c>
      <c r="M1031" s="899">
        <f t="shared" si="42"/>
        <v>12000</v>
      </c>
      <c r="N1031" s="898">
        <v>1</v>
      </c>
      <c r="O1031" s="898">
        <v>12</v>
      </c>
      <c r="P1031" s="899">
        <f t="shared" si="43"/>
        <v>12000</v>
      </c>
    </row>
    <row r="1032" spans="1:16" x14ac:dyDescent="0.2">
      <c r="A1032" s="916" t="s">
        <v>5035</v>
      </c>
      <c r="B1032" s="943" t="s">
        <v>3092</v>
      </c>
      <c r="C1032" s="916" t="s">
        <v>5036</v>
      </c>
      <c r="D1032" s="943" t="s">
        <v>5040</v>
      </c>
      <c r="E1032" s="1144">
        <v>2800</v>
      </c>
      <c r="F1032" s="943" t="s">
        <v>5125</v>
      </c>
      <c r="G1032" s="1245" t="s">
        <v>5126</v>
      </c>
      <c r="H1032" s="1245" t="s">
        <v>5063</v>
      </c>
      <c r="I1032" s="1147"/>
      <c r="J1032" s="943"/>
      <c r="K1032" s="944">
        <v>1</v>
      </c>
      <c r="L1032" s="898">
        <v>12</v>
      </c>
      <c r="M1032" s="899">
        <f t="shared" si="42"/>
        <v>33600</v>
      </c>
      <c r="N1032" s="898">
        <v>1</v>
      </c>
      <c r="O1032" s="898">
        <v>12</v>
      </c>
      <c r="P1032" s="899">
        <f t="shared" si="43"/>
        <v>33600</v>
      </c>
    </row>
    <row r="1033" spans="1:16" ht="24" x14ac:dyDescent="0.2">
      <c r="A1033" s="916" t="s">
        <v>5035</v>
      </c>
      <c r="B1033" s="943" t="s">
        <v>3092</v>
      </c>
      <c r="C1033" s="916" t="s">
        <v>5036</v>
      </c>
      <c r="D1033" s="943" t="s">
        <v>5040</v>
      </c>
      <c r="E1033" s="1144">
        <v>1500</v>
      </c>
      <c r="F1033" s="943" t="s">
        <v>5127</v>
      </c>
      <c r="G1033" s="1245" t="s">
        <v>5128</v>
      </c>
      <c r="H1033" s="1245" t="s">
        <v>5058</v>
      </c>
      <c r="I1033" s="1147"/>
      <c r="J1033" s="943"/>
      <c r="K1033" s="944">
        <v>1</v>
      </c>
      <c r="L1033" s="898">
        <v>12</v>
      </c>
      <c r="M1033" s="899">
        <f t="shared" si="42"/>
        <v>18000</v>
      </c>
      <c r="N1033" s="898">
        <v>1</v>
      </c>
      <c r="O1033" s="898">
        <v>12</v>
      </c>
      <c r="P1033" s="899">
        <f t="shared" si="43"/>
        <v>18000</v>
      </c>
    </row>
    <row r="1034" spans="1:16" x14ac:dyDescent="0.2">
      <c r="A1034" s="916" t="s">
        <v>5035</v>
      </c>
      <c r="B1034" s="943" t="s">
        <v>3092</v>
      </c>
      <c r="C1034" s="916" t="s">
        <v>5036</v>
      </c>
      <c r="D1034" s="943" t="s">
        <v>5040</v>
      </c>
      <c r="E1034" s="1144">
        <v>2200</v>
      </c>
      <c r="F1034" s="943" t="s">
        <v>5129</v>
      </c>
      <c r="G1034" s="1245" t="s">
        <v>5130</v>
      </c>
      <c r="H1034" s="1245" t="s">
        <v>5106</v>
      </c>
      <c r="I1034" s="1147"/>
      <c r="J1034" s="943"/>
      <c r="K1034" s="944">
        <v>1</v>
      </c>
      <c r="L1034" s="898">
        <v>12</v>
      </c>
      <c r="M1034" s="899">
        <f t="shared" si="42"/>
        <v>26400</v>
      </c>
      <c r="N1034" s="898">
        <v>1</v>
      </c>
      <c r="O1034" s="898">
        <v>12</v>
      </c>
      <c r="P1034" s="899">
        <f t="shared" si="43"/>
        <v>26400</v>
      </c>
    </row>
    <row r="1035" spans="1:16" ht="24" x14ac:dyDescent="0.2">
      <c r="A1035" s="916" t="s">
        <v>5035</v>
      </c>
      <c r="B1035" s="943" t="s">
        <v>3092</v>
      </c>
      <c r="C1035" s="916" t="s">
        <v>5036</v>
      </c>
      <c r="D1035" s="943" t="s">
        <v>5040</v>
      </c>
      <c r="E1035" s="1144">
        <v>1200</v>
      </c>
      <c r="F1035" s="943" t="s">
        <v>5131</v>
      </c>
      <c r="G1035" s="1245" t="s">
        <v>5132</v>
      </c>
      <c r="H1035" s="1245" t="s">
        <v>5133</v>
      </c>
      <c r="I1035" s="1147"/>
      <c r="J1035" s="943"/>
      <c r="K1035" s="944">
        <v>1</v>
      </c>
      <c r="L1035" s="898">
        <v>12</v>
      </c>
      <c r="M1035" s="899">
        <f t="shared" si="42"/>
        <v>14400</v>
      </c>
      <c r="N1035" s="898">
        <v>1</v>
      </c>
      <c r="O1035" s="898">
        <v>12</v>
      </c>
      <c r="P1035" s="899">
        <f t="shared" si="43"/>
        <v>14400</v>
      </c>
    </row>
    <row r="1036" spans="1:16" ht="24" x14ac:dyDescent="0.2">
      <c r="A1036" s="916" t="s">
        <v>5035</v>
      </c>
      <c r="B1036" s="943" t="s">
        <v>3092</v>
      </c>
      <c r="C1036" s="916" t="s">
        <v>5036</v>
      </c>
      <c r="D1036" s="943" t="s">
        <v>5040</v>
      </c>
      <c r="E1036" s="1144">
        <v>2146</v>
      </c>
      <c r="F1036" s="943" t="s">
        <v>5134</v>
      </c>
      <c r="G1036" s="1245" t="s">
        <v>5135</v>
      </c>
      <c r="H1036" s="1245" t="s">
        <v>566</v>
      </c>
      <c r="I1036" s="1147"/>
      <c r="J1036" s="943"/>
      <c r="K1036" s="944">
        <v>1</v>
      </c>
      <c r="L1036" s="898">
        <v>12</v>
      </c>
      <c r="M1036" s="899">
        <f t="shared" si="42"/>
        <v>25752</v>
      </c>
      <c r="N1036" s="898">
        <v>1</v>
      </c>
      <c r="O1036" s="898">
        <v>12</v>
      </c>
      <c r="P1036" s="899">
        <f t="shared" si="43"/>
        <v>25752</v>
      </c>
    </row>
    <row r="1037" spans="1:16" ht="24" x14ac:dyDescent="0.2">
      <c r="A1037" s="916" t="s">
        <v>5035</v>
      </c>
      <c r="B1037" s="943" t="s">
        <v>3092</v>
      </c>
      <c r="C1037" s="916" t="s">
        <v>5036</v>
      </c>
      <c r="D1037" s="943" t="s">
        <v>5040</v>
      </c>
      <c r="E1037" s="1144">
        <v>1200</v>
      </c>
      <c r="F1037" s="943" t="s">
        <v>5136</v>
      </c>
      <c r="G1037" s="1245" t="s">
        <v>5137</v>
      </c>
      <c r="H1037" s="1245" t="s">
        <v>5043</v>
      </c>
      <c r="I1037" s="1147"/>
      <c r="J1037" s="943"/>
      <c r="K1037" s="944">
        <v>1</v>
      </c>
      <c r="L1037" s="898">
        <v>12</v>
      </c>
      <c r="M1037" s="899">
        <f t="shared" si="42"/>
        <v>14400</v>
      </c>
      <c r="N1037" s="898">
        <v>1</v>
      </c>
      <c r="O1037" s="898">
        <v>12</v>
      </c>
      <c r="P1037" s="899">
        <f t="shared" si="43"/>
        <v>14400</v>
      </c>
    </row>
    <row r="1038" spans="1:16" ht="24" x14ac:dyDescent="0.2">
      <c r="A1038" s="916" t="s">
        <v>5035</v>
      </c>
      <c r="B1038" s="943" t="s">
        <v>3092</v>
      </c>
      <c r="C1038" s="916" t="s">
        <v>5036</v>
      </c>
      <c r="D1038" s="943" t="s">
        <v>491</v>
      </c>
      <c r="E1038" s="1144">
        <v>2200</v>
      </c>
      <c r="F1038" s="943" t="s">
        <v>5138</v>
      </c>
      <c r="G1038" s="1245" t="s">
        <v>5139</v>
      </c>
      <c r="H1038" s="1245" t="s">
        <v>3212</v>
      </c>
      <c r="I1038" s="1147"/>
      <c r="J1038" s="943"/>
      <c r="K1038" s="944">
        <v>1</v>
      </c>
      <c r="L1038" s="898">
        <v>12</v>
      </c>
      <c r="M1038" s="899">
        <f t="shared" si="42"/>
        <v>26400</v>
      </c>
      <c r="N1038" s="898">
        <v>1</v>
      </c>
      <c r="O1038" s="898">
        <v>12</v>
      </c>
      <c r="P1038" s="899">
        <f t="shared" si="43"/>
        <v>26400</v>
      </c>
    </row>
    <row r="1039" spans="1:16" x14ac:dyDescent="0.2">
      <c r="A1039" s="916" t="s">
        <v>5035</v>
      </c>
      <c r="B1039" s="943" t="s">
        <v>3092</v>
      </c>
      <c r="C1039" s="916" t="s">
        <v>5036</v>
      </c>
      <c r="D1039" s="943" t="s">
        <v>5040</v>
      </c>
      <c r="E1039" s="1144">
        <v>1000</v>
      </c>
      <c r="F1039" s="943" t="s">
        <v>5140</v>
      </c>
      <c r="G1039" s="1245" t="s">
        <v>5141</v>
      </c>
      <c r="H1039" s="1245" t="s">
        <v>3187</v>
      </c>
      <c r="I1039" s="1147"/>
      <c r="J1039" s="943"/>
      <c r="K1039" s="944">
        <v>1</v>
      </c>
      <c r="L1039" s="898">
        <v>12</v>
      </c>
      <c r="M1039" s="899">
        <f t="shared" si="42"/>
        <v>12000</v>
      </c>
      <c r="N1039" s="898">
        <v>1</v>
      </c>
      <c r="O1039" s="898">
        <v>12</v>
      </c>
      <c r="P1039" s="899">
        <f t="shared" si="43"/>
        <v>12000</v>
      </c>
    </row>
    <row r="1040" spans="1:16" x14ac:dyDescent="0.2">
      <c r="A1040" s="916" t="s">
        <v>5035</v>
      </c>
      <c r="B1040" s="943" t="s">
        <v>3092</v>
      </c>
      <c r="C1040" s="916" t="s">
        <v>5036</v>
      </c>
      <c r="D1040" s="943" t="s">
        <v>5040</v>
      </c>
      <c r="E1040" s="1144">
        <v>1200</v>
      </c>
      <c r="F1040" s="943" t="s">
        <v>5142</v>
      </c>
      <c r="G1040" s="1245" t="s">
        <v>5143</v>
      </c>
      <c r="H1040" s="1245" t="s">
        <v>5084</v>
      </c>
      <c r="I1040" s="1147"/>
      <c r="J1040" s="943"/>
      <c r="K1040" s="944">
        <v>1</v>
      </c>
      <c r="L1040" s="898">
        <v>12</v>
      </c>
      <c r="M1040" s="899">
        <f t="shared" si="42"/>
        <v>14400</v>
      </c>
      <c r="N1040" s="898">
        <v>1</v>
      </c>
      <c r="O1040" s="898">
        <v>12</v>
      </c>
      <c r="P1040" s="899">
        <f t="shared" si="43"/>
        <v>14400</v>
      </c>
    </row>
    <row r="1041" spans="1:16" ht="24" x14ac:dyDescent="0.2">
      <c r="A1041" s="916" t="s">
        <v>5035</v>
      </c>
      <c r="B1041" s="943" t="s">
        <v>3092</v>
      </c>
      <c r="C1041" s="916" t="s">
        <v>5036</v>
      </c>
      <c r="D1041" s="943" t="s">
        <v>5040</v>
      </c>
      <c r="E1041" s="1144">
        <v>1000</v>
      </c>
      <c r="F1041" s="943" t="s">
        <v>5144</v>
      </c>
      <c r="G1041" s="1245" t="s">
        <v>5145</v>
      </c>
      <c r="H1041" s="1245" t="s">
        <v>5095</v>
      </c>
      <c r="I1041" s="1147"/>
      <c r="J1041" s="943"/>
      <c r="K1041" s="944">
        <v>1</v>
      </c>
      <c r="L1041" s="898">
        <v>12</v>
      </c>
      <c r="M1041" s="899">
        <f t="shared" si="42"/>
        <v>12000</v>
      </c>
      <c r="N1041" s="898">
        <v>1</v>
      </c>
      <c r="O1041" s="898">
        <v>12</v>
      </c>
      <c r="P1041" s="899">
        <f t="shared" si="43"/>
        <v>12000</v>
      </c>
    </row>
    <row r="1042" spans="1:16" ht="24" x14ac:dyDescent="0.2">
      <c r="A1042" s="916" t="s">
        <v>5035</v>
      </c>
      <c r="B1042" s="943" t="s">
        <v>3092</v>
      </c>
      <c r="C1042" s="916" t="s">
        <v>5036</v>
      </c>
      <c r="D1042" s="943" t="s">
        <v>5040</v>
      </c>
      <c r="E1042" s="1144">
        <v>1200</v>
      </c>
      <c r="F1042" s="943" t="s">
        <v>5146</v>
      </c>
      <c r="G1042" s="1245" t="s">
        <v>5147</v>
      </c>
      <c r="H1042" s="1245" t="s">
        <v>580</v>
      </c>
      <c r="I1042" s="1147"/>
      <c r="J1042" s="943"/>
      <c r="K1042" s="944">
        <v>1</v>
      </c>
      <c r="L1042" s="898">
        <v>12</v>
      </c>
      <c r="M1042" s="899">
        <f t="shared" si="42"/>
        <v>14400</v>
      </c>
      <c r="N1042" s="898">
        <v>1</v>
      </c>
      <c r="O1042" s="898">
        <v>12</v>
      </c>
      <c r="P1042" s="899">
        <f t="shared" si="43"/>
        <v>14400</v>
      </c>
    </row>
    <row r="1043" spans="1:16" ht="24" x14ac:dyDescent="0.2">
      <c r="A1043" s="916" t="s">
        <v>5035</v>
      </c>
      <c r="B1043" s="943" t="s">
        <v>3092</v>
      </c>
      <c r="C1043" s="916" t="s">
        <v>5036</v>
      </c>
      <c r="D1043" s="943" t="s">
        <v>5040</v>
      </c>
      <c r="E1043" s="1144">
        <v>1200</v>
      </c>
      <c r="F1043" s="943" t="s">
        <v>5148</v>
      </c>
      <c r="G1043" s="1245" t="s">
        <v>5149</v>
      </c>
      <c r="H1043" s="1245" t="s">
        <v>5043</v>
      </c>
      <c r="I1043" s="1147"/>
      <c r="J1043" s="943"/>
      <c r="K1043" s="944">
        <v>1</v>
      </c>
      <c r="L1043" s="898">
        <v>12</v>
      </c>
      <c r="M1043" s="899">
        <f t="shared" si="42"/>
        <v>14400</v>
      </c>
      <c r="N1043" s="898">
        <v>1</v>
      </c>
      <c r="O1043" s="898">
        <v>12</v>
      </c>
      <c r="P1043" s="899">
        <f t="shared" si="43"/>
        <v>14400</v>
      </c>
    </row>
    <row r="1044" spans="1:16" ht="24" x14ac:dyDescent="0.2">
      <c r="A1044" s="916" t="s">
        <v>5035</v>
      </c>
      <c r="B1044" s="943" t="s">
        <v>3092</v>
      </c>
      <c r="C1044" s="916" t="s">
        <v>5036</v>
      </c>
      <c r="D1044" s="943" t="s">
        <v>5040</v>
      </c>
      <c r="E1044" s="1144">
        <v>1000</v>
      </c>
      <c r="F1044" s="943" t="s">
        <v>5150</v>
      </c>
      <c r="G1044" s="1245" t="s">
        <v>5151</v>
      </c>
      <c r="H1044" s="1245" t="s">
        <v>5152</v>
      </c>
      <c r="I1044" s="1147"/>
      <c r="J1044" s="943"/>
      <c r="K1044" s="944">
        <v>1</v>
      </c>
      <c r="L1044" s="898">
        <v>12</v>
      </c>
      <c r="M1044" s="899">
        <f t="shared" si="42"/>
        <v>12000</v>
      </c>
      <c r="N1044" s="898">
        <v>1</v>
      </c>
      <c r="O1044" s="898">
        <v>12</v>
      </c>
      <c r="P1044" s="899">
        <f t="shared" si="43"/>
        <v>12000</v>
      </c>
    </row>
    <row r="1045" spans="1:16" x14ac:dyDescent="0.2">
      <c r="A1045" s="916" t="s">
        <v>5035</v>
      </c>
      <c r="B1045" s="943" t="s">
        <v>3092</v>
      </c>
      <c r="C1045" s="916" t="s">
        <v>5036</v>
      </c>
      <c r="D1045" s="943" t="s">
        <v>5040</v>
      </c>
      <c r="E1045" s="1144">
        <v>3000</v>
      </c>
      <c r="F1045" s="943" t="s">
        <v>5153</v>
      </c>
      <c r="G1045" s="1245" t="s">
        <v>5154</v>
      </c>
      <c r="H1045" s="1245" t="s">
        <v>5106</v>
      </c>
      <c r="I1045" s="1147"/>
      <c r="J1045" s="943"/>
      <c r="K1045" s="944">
        <v>1</v>
      </c>
      <c r="L1045" s="898">
        <v>12</v>
      </c>
      <c r="M1045" s="899">
        <f t="shared" si="42"/>
        <v>36000</v>
      </c>
      <c r="N1045" s="898">
        <v>1</v>
      </c>
      <c r="O1045" s="898">
        <v>12</v>
      </c>
      <c r="P1045" s="899">
        <f t="shared" si="43"/>
        <v>36000</v>
      </c>
    </row>
    <row r="1046" spans="1:16" ht="24" x14ac:dyDescent="0.2">
      <c r="A1046" s="916" t="s">
        <v>5035</v>
      </c>
      <c r="B1046" s="943" t="s">
        <v>3092</v>
      </c>
      <c r="C1046" s="916" t="s">
        <v>5036</v>
      </c>
      <c r="D1046" s="943" t="s">
        <v>491</v>
      </c>
      <c r="E1046" s="1144">
        <v>1000</v>
      </c>
      <c r="F1046" s="943" t="s">
        <v>5155</v>
      </c>
      <c r="G1046" s="1245" t="s">
        <v>5156</v>
      </c>
      <c r="H1046" s="1245" t="s">
        <v>583</v>
      </c>
      <c r="I1046" s="1147"/>
      <c r="J1046" s="943"/>
      <c r="K1046" s="944">
        <v>1</v>
      </c>
      <c r="L1046" s="898">
        <v>12</v>
      </c>
      <c r="M1046" s="899">
        <f t="shared" si="42"/>
        <v>12000</v>
      </c>
      <c r="N1046" s="898">
        <v>1</v>
      </c>
      <c r="O1046" s="898">
        <v>12</v>
      </c>
      <c r="P1046" s="899">
        <f t="shared" si="43"/>
        <v>12000</v>
      </c>
    </row>
    <row r="1047" spans="1:16" ht="24" x14ac:dyDescent="0.2">
      <c r="A1047" s="916" t="s">
        <v>5035</v>
      </c>
      <c r="B1047" s="943" t="s">
        <v>3092</v>
      </c>
      <c r="C1047" s="916" t="s">
        <v>5036</v>
      </c>
      <c r="D1047" s="943" t="s">
        <v>491</v>
      </c>
      <c r="E1047" s="1144">
        <v>1000</v>
      </c>
      <c r="F1047" s="943" t="s">
        <v>5157</v>
      </c>
      <c r="G1047" s="1245" t="s">
        <v>5158</v>
      </c>
      <c r="H1047" s="1245" t="s">
        <v>583</v>
      </c>
      <c r="I1047" s="1147"/>
      <c r="J1047" s="943"/>
      <c r="K1047" s="944">
        <v>1</v>
      </c>
      <c r="L1047" s="898">
        <v>12</v>
      </c>
      <c r="M1047" s="899">
        <f t="shared" si="42"/>
        <v>12000</v>
      </c>
      <c r="N1047" s="898">
        <v>1</v>
      </c>
      <c r="O1047" s="898">
        <v>12</v>
      </c>
      <c r="P1047" s="899">
        <f t="shared" si="43"/>
        <v>12000</v>
      </c>
    </row>
    <row r="1048" spans="1:16" ht="24" x14ac:dyDescent="0.2">
      <c r="A1048" s="916" t="s">
        <v>5035</v>
      </c>
      <c r="B1048" s="943" t="s">
        <v>3092</v>
      </c>
      <c r="C1048" s="916" t="s">
        <v>5036</v>
      </c>
      <c r="D1048" s="943" t="s">
        <v>491</v>
      </c>
      <c r="E1048" s="1144">
        <v>1200</v>
      </c>
      <c r="F1048" s="943" t="s">
        <v>5159</v>
      </c>
      <c r="G1048" s="1245" t="s">
        <v>5160</v>
      </c>
      <c r="H1048" s="1245" t="s">
        <v>3115</v>
      </c>
      <c r="I1048" s="1147"/>
      <c r="J1048" s="943"/>
      <c r="K1048" s="944">
        <v>1</v>
      </c>
      <c r="L1048" s="898">
        <v>12</v>
      </c>
      <c r="M1048" s="899">
        <f t="shared" si="42"/>
        <v>14400</v>
      </c>
      <c r="N1048" s="898">
        <v>1</v>
      </c>
      <c r="O1048" s="898">
        <v>12</v>
      </c>
      <c r="P1048" s="899">
        <f t="shared" si="43"/>
        <v>14400</v>
      </c>
    </row>
    <row r="1049" spans="1:16" x14ac:dyDescent="0.2">
      <c r="A1049" s="916" t="s">
        <v>5035</v>
      </c>
      <c r="B1049" s="943" t="s">
        <v>3092</v>
      </c>
      <c r="C1049" s="916" t="s">
        <v>5036</v>
      </c>
      <c r="D1049" s="943" t="s">
        <v>5040</v>
      </c>
      <c r="E1049" s="1144">
        <v>4200</v>
      </c>
      <c r="F1049" s="943" t="s">
        <v>5161</v>
      </c>
      <c r="G1049" s="1245" t="s">
        <v>5162</v>
      </c>
      <c r="H1049" s="1245" t="s">
        <v>5077</v>
      </c>
      <c r="I1049" s="1147"/>
      <c r="J1049" s="943"/>
      <c r="K1049" s="944">
        <v>1</v>
      </c>
      <c r="L1049" s="898">
        <v>12</v>
      </c>
      <c r="M1049" s="899">
        <f t="shared" si="42"/>
        <v>50400</v>
      </c>
      <c r="N1049" s="898">
        <v>1</v>
      </c>
      <c r="O1049" s="898">
        <v>12</v>
      </c>
      <c r="P1049" s="899">
        <f t="shared" si="43"/>
        <v>50400</v>
      </c>
    </row>
    <row r="1050" spans="1:16" ht="24" x14ac:dyDescent="0.2">
      <c r="A1050" s="916" t="s">
        <v>5035</v>
      </c>
      <c r="B1050" s="943" t="s">
        <v>3092</v>
      </c>
      <c r="C1050" s="916" t="s">
        <v>5036</v>
      </c>
      <c r="D1050" s="943" t="s">
        <v>491</v>
      </c>
      <c r="E1050" s="1144">
        <v>1000</v>
      </c>
      <c r="F1050" s="943" t="s">
        <v>5163</v>
      </c>
      <c r="G1050" s="1245" t="s">
        <v>5164</v>
      </c>
      <c r="H1050" s="1245" t="s">
        <v>583</v>
      </c>
      <c r="I1050" s="1147"/>
      <c r="J1050" s="943"/>
      <c r="K1050" s="944">
        <v>1</v>
      </c>
      <c r="L1050" s="898">
        <v>12</v>
      </c>
      <c r="M1050" s="899">
        <f t="shared" si="42"/>
        <v>12000</v>
      </c>
      <c r="N1050" s="898">
        <v>1</v>
      </c>
      <c r="O1050" s="898">
        <v>12</v>
      </c>
      <c r="P1050" s="899">
        <f t="shared" si="43"/>
        <v>12000</v>
      </c>
    </row>
    <row r="1051" spans="1:16" x14ac:dyDescent="0.2">
      <c r="A1051" s="916" t="s">
        <v>5035</v>
      </c>
      <c r="B1051" s="943" t="s">
        <v>3092</v>
      </c>
      <c r="C1051" s="916" t="s">
        <v>5036</v>
      </c>
      <c r="D1051" s="943" t="s">
        <v>5040</v>
      </c>
      <c r="E1051" s="1144">
        <v>2200</v>
      </c>
      <c r="F1051" s="943" t="s">
        <v>5165</v>
      </c>
      <c r="G1051" s="1245" t="s">
        <v>5166</v>
      </c>
      <c r="H1051" s="1245" t="s">
        <v>5106</v>
      </c>
      <c r="I1051" s="1147"/>
      <c r="J1051" s="943"/>
      <c r="K1051" s="944">
        <v>1</v>
      </c>
      <c r="L1051" s="898">
        <v>12</v>
      </c>
      <c r="M1051" s="899">
        <f t="shared" si="42"/>
        <v>26400</v>
      </c>
      <c r="N1051" s="898">
        <v>1</v>
      </c>
      <c r="O1051" s="898">
        <v>12</v>
      </c>
      <c r="P1051" s="899">
        <f t="shared" si="43"/>
        <v>26400</v>
      </c>
    </row>
    <row r="1052" spans="1:16" ht="24" x14ac:dyDescent="0.2">
      <c r="A1052" s="916" t="s">
        <v>5035</v>
      </c>
      <c r="B1052" s="943" t="s">
        <v>3092</v>
      </c>
      <c r="C1052" s="916" t="s">
        <v>5036</v>
      </c>
      <c r="D1052" s="943" t="s">
        <v>5040</v>
      </c>
      <c r="E1052" s="1144">
        <v>2500</v>
      </c>
      <c r="F1052" s="943" t="s">
        <v>5167</v>
      </c>
      <c r="G1052" s="1245" t="s">
        <v>5168</v>
      </c>
      <c r="H1052" s="1245" t="s">
        <v>566</v>
      </c>
      <c r="I1052" s="1147"/>
      <c r="J1052" s="943"/>
      <c r="K1052" s="944">
        <v>1</v>
      </c>
      <c r="L1052" s="898">
        <v>12</v>
      </c>
      <c r="M1052" s="899">
        <f t="shared" si="42"/>
        <v>30000</v>
      </c>
      <c r="N1052" s="898">
        <v>1</v>
      </c>
      <c r="O1052" s="898">
        <v>12</v>
      </c>
      <c r="P1052" s="899">
        <f t="shared" si="43"/>
        <v>30000</v>
      </c>
    </row>
    <row r="1053" spans="1:16" x14ac:dyDescent="0.2">
      <c r="A1053" s="916" t="s">
        <v>5035</v>
      </c>
      <c r="B1053" s="943" t="s">
        <v>3092</v>
      </c>
      <c r="C1053" s="916" t="s">
        <v>5036</v>
      </c>
      <c r="D1053" s="943" t="s">
        <v>5040</v>
      </c>
      <c r="E1053" s="1144">
        <v>2500</v>
      </c>
      <c r="F1053" s="943" t="s">
        <v>5169</v>
      </c>
      <c r="G1053" s="1245" t="s">
        <v>5170</v>
      </c>
      <c r="H1053" s="1245" t="s">
        <v>5063</v>
      </c>
      <c r="I1053" s="1147"/>
      <c r="J1053" s="943"/>
      <c r="K1053" s="944">
        <v>1</v>
      </c>
      <c r="L1053" s="898">
        <v>12</v>
      </c>
      <c r="M1053" s="899">
        <f t="shared" si="42"/>
        <v>30000</v>
      </c>
      <c r="N1053" s="898">
        <v>1</v>
      </c>
      <c r="O1053" s="898">
        <v>12</v>
      </c>
      <c r="P1053" s="899">
        <f t="shared" si="43"/>
        <v>30000</v>
      </c>
    </row>
    <row r="1054" spans="1:16" ht="24" x14ac:dyDescent="0.2">
      <c r="A1054" s="916" t="s">
        <v>5035</v>
      </c>
      <c r="B1054" s="943" t="s">
        <v>3092</v>
      </c>
      <c r="C1054" s="916" t="s">
        <v>5036</v>
      </c>
      <c r="D1054" s="943" t="s">
        <v>491</v>
      </c>
      <c r="E1054" s="1144">
        <v>1000</v>
      </c>
      <c r="F1054" s="943" t="s">
        <v>5171</v>
      </c>
      <c r="G1054" s="1245" t="s">
        <v>5172</v>
      </c>
      <c r="H1054" s="1245" t="s">
        <v>583</v>
      </c>
      <c r="I1054" s="1147"/>
      <c r="J1054" s="943"/>
      <c r="K1054" s="944">
        <v>1</v>
      </c>
      <c r="L1054" s="898">
        <v>12</v>
      </c>
      <c r="M1054" s="899">
        <f t="shared" si="42"/>
        <v>12000</v>
      </c>
      <c r="N1054" s="898">
        <v>1</v>
      </c>
      <c r="O1054" s="898">
        <v>12</v>
      </c>
      <c r="P1054" s="899">
        <f t="shared" si="43"/>
        <v>12000</v>
      </c>
    </row>
    <row r="1055" spans="1:16" ht="24" x14ac:dyDescent="0.2">
      <c r="A1055" s="916" t="s">
        <v>5035</v>
      </c>
      <c r="B1055" s="943" t="s">
        <v>3092</v>
      </c>
      <c r="C1055" s="916" t="s">
        <v>5036</v>
      </c>
      <c r="D1055" s="943" t="s">
        <v>491</v>
      </c>
      <c r="E1055" s="1144">
        <v>1200</v>
      </c>
      <c r="F1055" s="943" t="s">
        <v>5173</v>
      </c>
      <c r="G1055" s="1245" t="s">
        <v>5174</v>
      </c>
      <c r="H1055" s="1245" t="s">
        <v>5109</v>
      </c>
      <c r="I1055" s="1147"/>
      <c r="J1055" s="943"/>
      <c r="K1055" s="944">
        <v>1</v>
      </c>
      <c r="L1055" s="898">
        <v>12</v>
      </c>
      <c r="M1055" s="899">
        <f t="shared" si="42"/>
        <v>14400</v>
      </c>
      <c r="N1055" s="898">
        <v>1</v>
      </c>
      <c r="O1055" s="898">
        <v>12</v>
      </c>
      <c r="P1055" s="899">
        <f t="shared" si="43"/>
        <v>14400</v>
      </c>
    </row>
    <row r="1056" spans="1:16" x14ac:dyDescent="0.2">
      <c r="A1056" s="916" t="s">
        <v>5035</v>
      </c>
      <c r="B1056" s="943" t="s">
        <v>3092</v>
      </c>
      <c r="C1056" s="916" t="s">
        <v>5036</v>
      </c>
      <c r="D1056" s="943" t="s">
        <v>5040</v>
      </c>
      <c r="E1056" s="1144">
        <v>1000</v>
      </c>
      <c r="F1056" s="943" t="s">
        <v>5175</v>
      </c>
      <c r="G1056" s="1245" t="s">
        <v>5176</v>
      </c>
      <c r="H1056" s="1245" t="s">
        <v>3187</v>
      </c>
      <c r="I1056" s="1147"/>
      <c r="J1056" s="943"/>
      <c r="K1056" s="944">
        <v>1</v>
      </c>
      <c r="L1056" s="898">
        <v>12</v>
      </c>
      <c r="M1056" s="899">
        <f t="shared" si="42"/>
        <v>12000</v>
      </c>
      <c r="N1056" s="898">
        <v>1</v>
      </c>
      <c r="O1056" s="898">
        <v>12</v>
      </c>
      <c r="P1056" s="899">
        <f t="shared" si="43"/>
        <v>12000</v>
      </c>
    </row>
    <row r="1057" spans="1:16" ht="24" x14ac:dyDescent="0.2">
      <c r="A1057" s="916" t="s">
        <v>5035</v>
      </c>
      <c r="B1057" s="943" t="s">
        <v>3092</v>
      </c>
      <c r="C1057" s="916" t="s">
        <v>5036</v>
      </c>
      <c r="D1057" s="943" t="s">
        <v>5040</v>
      </c>
      <c r="E1057" s="1144">
        <v>1800</v>
      </c>
      <c r="F1057" s="943" t="s">
        <v>5177</v>
      </c>
      <c r="G1057" s="1245" t="s">
        <v>5178</v>
      </c>
      <c r="H1057" s="1245" t="s">
        <v>5043</v>
      </c>
      <c r="I1057" s="1147"/>
      <c r="J1057" s="943"/>
      <c r="K1057" s="944">
        <v>1</v>
      </c>
      <c r="L1057" s="898">
        <v>12</v>
      </c>
      <c r="M1057" s="899">
        <f t="shared" si="42"/>
        <v>21600</v>
      </c>
      <c r="N1057" s="898">
        <v>1</v>
      </c>
      <c r="O1057" s="898">
        <v>12</v>
      </c>
      <c r="P1057" s="899">
        <f t="shared" si="43"/>
        <v>21600</v>
      </c>
    </row>
    <row r="1058" spans="1:16" x14ac:dyDescent="0.2">
      <c r="A1058" s="916" t="s">
        <v>5035</v>
      </c>
      <c r="B1058" s="943" t="s">
        <v>3092</v>
      </c>
      <c r="C1058" s="916" t="s">
        <v>5036</v>
      </c>
      <c r="D1058" s="943" t="s">
        <v>5040</v>
      </c>
      <c r="E1058" s="1144">
        <v>1500</v>
      </c>
      <c r="F1058" s="943" t="s">
        <v>5179</v>
      </c>
      <c r="G1058" s="1245" t="s">
        <v>5180</v>
      </c>
      <c r="H1058" s="1245" t="s">
        <v>3187</v>
      </c>
      <c r="I1058" s="1147"/>
      <c r="J1058" s="943"/>
      <c r="K1058" s="944">
        <v>1</v>
      </c>
      <c r="L1058" s="898">
        <v>12</v>
      </c>
      <c r="M1058" s="899">
        <f t="shared" si="42"/>
        <v>18000</v>
      </c>
      <c r="N1058" s="898">
        <v>1</v>
      </c>
      <c r="O1058" s="898">
        <v>12</v>
      </c>
      <c r="P1058" s="899">
        <f t="shared" si="43"/>
        <v>18000</v>
      </c>
    </row>
    <row r="1059" spans="1:16" ht="24" x14ac:dyDescent="0.2">
      <c r="A1059" s="916" t="s">
        <v>5035</v>
      </c>
      <c r="B1059" s="943" t="s">
        <v>3092</v>
      </c>
      <c r="C1059" s="916" t="s">
        <v>5036</v>
      </c>
      <c r="D1059" s="943" t="s">
        <v>491</v>
      </c>
      <c r="E1059" s="1144">
        <v>2200</v>
      </c>
      <c r="F1059" s="943" t="s">
        <v>5181</v>
      </c>
      <c r="G1059" s="1245" t="s">
        <v>5182</v>
      </c>
      <c r="H1059" s="1245" t="s">
        <v>3212</v>
      </c>
      <c r="I1059" s="1147"/>
      <c r="J1059" s="943"/>
      <c r="K1059" s="944">
        <v>1</v>
      </c>
      <c r="L1059" s="898">
        <v>12</v>
      </c>
      <c r="M1059" s="899">
        <f t="shared" si="42"/>
        <v>26400</v>
      </c>
      <c r="N1059" s="898">
        <v>1</v>
      </c>
      <c r="O1059" s="898">
        <v>12</v>
      </c>
      <c r="P1059" s="899">
        <f t="shared" si="43"/>
        <v>26400</v>
      </c>
    </row>
    <row r="1060" spans="1:16" x14ac:dyDescent="0.2">
      <c r="A1060" s="916" t="s">
        <v>5035</v>
      </c>
      <c r="B1060" s="943" t="s">
        <v>3092</v>
      </c>
      <c r="C1060" s="916" t="s">
        <v>5036</v>
      </c>
      <c r="D1060" s="943" t="s">
        <v>5040</v>
      </c>
      <c r="E1060" s="1144">
        <v>2500</v>
      </c>
      <c r="F1060" s="943" t="s">
        <v>5183</v>
      </c>
      <c r="G1060" s="1245" t="s">
        <v>5184</v>
      </c>
      <c r="H1060" s="1245" t="s">
        <v>5063</v>
      </c>
      <c r="I1060" s="1147"/>
      <c r="J1060" s="943"/>
      <c r="K1060" s="944">
        <v>1</v>
      </c>
      <c r="L1060" s="898">
        <v>12</v>
      </c>
      <c r="M1060" s="899">
        <f t="shared" ref="M1060:M1123" si="44">+L1060*E1060</f>
        <v>30000</v>
      </c>
      <c r="N1060" s="898">
        <v>1</v>
      </c>
      <c r="O1060" s="898">
        <v>12</v>
      </c>
      <c r="P1060" s="899">
        <f t="shared" ref="P1060:P1123" si="45">+O1060*E1060</f>
        <v>30000</v>
      </c>
    </row>
    <row r="1061" spans="1:16" ht="24" x14ac:dyDescent="0.2">
      <c r="A1061" s="916" t="s">
        <v>5035</v>
      </c>
      <c r="B1061" s="943" t="s">
        <v>3092</v>
      </c>
      <c r="C1061" s="916" t="s">
        <v>5036</v>
      </c>
      <c r="D1061" s="943" t="s">
        <v>5040</v>
      </c>
      <c r="E1061" s="1144">
        <v>1200</v>
      </c>
      <c r="F1061" s="943" t="s">
        <v>5185</v>
      </c>
      <c r="G1061" s="1245" t="s">
        <v>5186</v>
      </c>
      <c r="H1061" s="1245" t="s">
        <v>5043</v>
      </c>
      <c r="I1061" s="1147"/>
      <c r="J1061" s="943"/>
      <c r="K1061" s="944">
        <v>1</v>
      </c>
      <c r="L1061" s="898">
        <v>12</v>
      </c>
      <c r="M1061" s="899">
        <f t="shared" si="44"/>
        <v>14400</v>
      </c>
      <c r="N1061" s="898">
        <v>1</v>
      </c>
      <c r="O1061" s="898">
        <v>12</v>
      </c>
      <c r="P1061" s="899">
        <f t="shared" si="45"/>
        <v>14400</v>
      </c>
    </row>
    <row r="1062" spans="1:16" x14ac:dyDescent="0.2">
      <c r="A1062" s="916" t="s">
        <v>5035</v>
      </c>
      <c r="B1062" s="943" t="s">
        <v>3092</v>
      </c>
      <c r="C1062" s="916" t="s">
        <v>5036</v>
      </c>
      <c r="D1062" s="943" t="s">
        <v>5040</v>
      </c>
      <c r="E1062" s="1144">
        <v>2200</v>
      </c>
      <c r="F1062" s="943" t="s">
        <v>5187</v>
      </c>
      <c r="G1062" s="1245" t="s">
        <v>5188</v>
      </c>
      <c r="H1062" s="1245" t="s">
        <v>5112</v>
      </c>
      <c r="I1062" s="1147"/>
      <c r="J1062" s="943"/>
      <c r="K1062" s="944">
        <v>1</v>
      </c>
      <c r="L1062" s="898">
        <v>12</v>
      </c>
      <c r="M1062" s="899">
        <f t="shared" si="44"/>
        <v>26400</v>
      </c>
      <c r="N1062" s="898">
        <v>1</v>
      </c>
      <c r="O1062" s="898">
        <v>12</v>
      </c>
      <c r="P1062" s="899">
        <f t="shared" si="45"/>
        <v>26400</v>
      </c>
    </row>
    <row r="1063" spans="1:16" ht="24" x14ac:dyDescent="0.2">
      <c r="A1063" s="916" t="s">
        <v>5035</v>
      </c>
      <c r="B1063" s="943" t="s">
        <v>3092</v>
      </c>
      <c r="C1063" s="916" t="s">
        <v>5036</v>
      </c>
      <c r="D1063" s="943" t="s">
        <v>491</v>
      </c>
      <c r="E1063" s="1144">
        <v>2000</v>
      </c>
      <c r="F1063" s="943" t="s">
        <v>5189</v>
      </c>
      <c r="G1063" s="1245" t="s">
        <v>5190</v>
      </c>
      <c r="H1063" s="1245" t="s">
        <v>3100</v>
      </c>
      <c r="I1063" s="1147"/>
      <c r="J1063" s="943"/>
      <c r="K1063" s="944">
        <v>1</v>
      </c>
      <c r="L1063" s="898">
        <v>12</v>
      </c>
      <c r="M1063" s="899">
        <f t="shared" si="44"/>
        <v>24000</v>
      </c>
      <c r="N1063" s="898">
        <v>1</v>
      </c>
      <c r="O1063" s="898">
        <v>12</v>
      </c>
      <c r="P1063" s="899">
        <f t="shared" si="45"/>
        <v>24000</v>
      </c>
    </row>
    <row r="1064" spans="1:16" x14ac:dyDescent="0.2">
      <c r="A1064" s="916" t="s">
        <v>5035</v>
      </c>
      <c r="B1064" s="943" t="s">
        <v>3092</v>
      </c>
      <c r="C1064" s="916" t="s">
        <v>5036</v>
      </c>
      <c r="D1064" s="943" t="s">
        <v>5040</v>
      </c>
      <c r="E1064" s="1144">
        <v>2500</v>
      </c>
      <c r="F1064" s="943" t="s">
        <v>5191</v>
      </c>
      <c r="G1064" s="1245" t="s">
        <v>5192</v>
      </c>
      <c r="H1064" s="1245" t="s">
        <v>517</v>
      </c>
      <c r="I1064" s="1147"/>
      <c r="J1064" s="943"/>
      <c r="K1064" s="944">
        <v>1</v>
      </c>
      <c r="L1064" s="898">
        <v>12</v>
      </c>
      <c r="M1064" s="899">
        <f t="shared" si="44"/>
        <v>30000</v>
      </c>
      <c r="N1064" s="898">
        <v>1</v>
      </c>
      <c r="O1064" s="898">
        <v>12</v>
      </c>
      <c r="P1064" s="899">
        <f t="shared" si="45"/>
        <v>30000</v>
      </c>
    </row>
    <row r="1065" spans="1:16" x14ac:dyDescent="0.2">
      <c r="A1065" s="916" t="s">
        <v>5035</v>
      </c>
      <c r="B1065" s="943" t="s">
        <v>3092</v>
      </c>
      <c r="C1065" s="916" t="s">
        <v>5036</v>
      </c>
      <c r="D1065" s="943" t="s">
        <v>5040</v>
      </c>
      <c r="E1065" s="1144">
        <v>1500</v>
      </c>
      <c r="F1065" s="943" t="s">
        <v>5193</v>
      </c>
      <c r="G1065" s="1245" t="s">
        <v>5194</v>
      </c>
      <c r="H1065" s="1245" t="s">
        <v>3187</v>
      </c>
      <c r="I1065" s="1147"/>
      <c r="J1065" s="943"/>
      <c r="K1065" s="944">
        <v>1</v>
      </c>
      <c r="L1065" s="898">
        <v>12</v>
      </c>
      <c r="M1065" s="899">
        <f t="shared" si="44"/>
        <v>18000</v>
      </c>
      <c r="N1065" s="898">
        <v>1</v>
      </c>
      <c r="O1065" s="898">
        <v>12</v>
      </c>
      <c r="P1065" s="899">
        <f t="shared" si="45"/>
        <v>18000</v>
      </c>
    </row>
    <row r="1066" spans="1:16" ht="24" x14ac:dyDescent="0.2">
      <c r="A1066" s="916" t="s">
        <v>5035</v>
      </c>
      <c r="B1066" s="943" t="s">
        <v>3092</v>
      </c>
      <c r="C1066" s="916" t="s">
        <v>5036</v>
      </c>
      <c r="D1066" s="943" t="s">
        <v>491</v>
      </c>
      <c r="E1066" s="1144">
        <v>1000</v>
      </c>
      <c r="F1066" s="943" t="s">
        <v>5195</v>
      </c>
      <c r="G1066" s="1245" t="s">
        <v>5196</v>
      </c>
      <c r="H1066" s="1245" t="s">
        <v>583</v>
      </c>
      <c r="I1066" s="1147"/>
      <c r="J1066" s="943"/>
      <c r="K1066" s="944">
        <v>1</v>
      </c>
      <c r="L1066" s="898">
        <v>12</v>
      </c>
      <c r="M1066" s="899">
        <f t="shared" si="44"/>
        <v>12000</v>
      </c>
      <c r="N1066" s="898">
        <v>1</v>
      </c>
      <c r="O1066" s="898">
        <v>12</v>
      </c>
      <c r="P1066" s="899">
        <f t="shared" si="45"/>
        <v>12000</v>
      </c>
    </row>
    <row r="1067" spans="1:16" ht="24" x14ac:dyDescent="0.2">
      <c r="A1067" s="916" t="s">
        <v>5035</v>
      </c>
      <c r="B1067" s="943" t="s">
        <v>3092</v>
      </c>
      <c r="C1067" s="916" t="s">
        <v>5036</v>
      </c>
      <c r="D1067" s="943" t="s">
        <v>491</v>
      </c>
      <c r="E1067" s="1144">
        <v>1000</v>
      </c>
      <c r="F1067" s="943" t="s">
        <v>5197</v>
      </c>
      <c r="G1067" s="1245" t="s">
        <v>5198</v>
      </c>
      <c r="H1067" s="1245" t="s">
        <v>583</v>
      </c>
      <c r="I1067" s="1147"/>
      <c r="J1067" s="943"/>
      <c r="K1067" s="944">
        <v>1</v>
      </c>
      <c r="L1067" s="898">
        <v>12</v>
      </c>
      <c r="M1067" s="899">
        <f t="shared" si="44"/>
        <v>12000</v>
      </c>
      <c r="N1067" s="898">
        <v>1</v>
      </c>
      <c r="O1067" s="898">
        <v>12</v>
      </c>
      <c r="P1067" s="899">
        <f t="shared" si="45"/>
        <v>12000</v>
      </c>
    </row>
    <row r="1068" spans="1:16" x14ac:dyDescent="0.2">
      <c r="A1068" s="916" t="s">
        <v>5035</v>
      </c>
      <c r="B1068" s="943" t="s">
        <v>3092</v>
      </c>
      <c r="C1068" s="916" t="s">
        <v>5036</v>
      </c>
      <c r="D1068" s="943" t="s">
        <v>491</v>
      </c>
      <c r="E1068" s="1144">
        <v>1200</v>
      </c>
      <c r="F1068" s="943" t="s">
        <v>5199</v>
      </c>
      <c r="G1068" s="1245" t="s">
        <v>5200</v>
      </c>
      <c r="H1068" s="1245" t="s">
        <v>3284</v>
      </c>
      <c r="I1068" s="1147"/>
      <c r="J1068" s="943"/>
      <c r="K1068" s="944">
        <v>1</v>
      </c>
      <c r="L1068" s="898">
        <v>12</v>
      </c>
      <c r="M1068" s="899">
        <f t="shared" si="44"/>
        <v>14400</v>
      </c>
      <c r="N1068" s="898">
        <v>1</v>
      </c>
      <c r="O1068" s="898">
        <v>12</v>
      </c>
      <c r="P1068" s="899">
        <f t="shared" si="45"/>
        <v>14400</v>
      </c>
    </row>
    <row r="1069" spans="1:16" x14ac:dyDescent="0.2">
      <c r="A1069" s="916" t="s">
        <v>5035</v>
      </c>
      <c r="B1069" s="943" t="s">
        <v>3092</v>
      </c>
      <c r="C1069" s="916" t="s">
        <v>5036</v>
      </c>
      <c r="D1069" s="943" t="s">
        <v>5040</v>
      </c>
      <c r="E1069" s="1144">
        <v>1200</v>
      </c>
      <c r="F1069" s="943" t="s">
        <v>5201</v>
      </c>
      <c r="G1069" s="1245" t="s">
        <v>5202</v>
      </c>
      <c r="H1069" s="1245" t="s">
        <v>5084</v>
      </c>
      <c r="I1069" s="1147"/>
      <c r="J1069" s="943"/>
      <c r="K1069" s="944">
        <v>1</v>
      </c>
      <c r="L1069" s="898">
        <v>12</v>
      </c>
      <c r="M1069" s="899">
        <f t="shared" si="44"/>
        <v>14400</v>
      </c>
      <c r="N1069" s="898">
        <v>1</v>
      </c>
      <c r="O1069" s="898">
        <v>12</v>
      </c>
      <c r="P1069" s="899">
        <f t="shared" si="45"/>
        <v>14400</v>
      </c>
    </row>
    <row r="1070" spans="1:16" x14ac:dyDescent="0.2">
      <c r="A1070" s="916" t="s">
        <v>5035</v>
      </c>
      <c r="B1070" s="943" t="s">
        <v>3092</v>
      </c>
      <c r="C1070" s="916" t="s">
        <v>5036</v>
      </c>
      <c r="D1070" s="943" t="s">
        <v>5040</v>
      </c>
      <c r="E1070" s="1144">
        <v>2200</v>
      </c>
      <c r="F1070" s="943" t="s">
        <v>5203</v>
      </c>
      <c r="G1070" s="1245" t="s">
        <v>5204</v>
      </c>
      <c r="H1070" s="1245" t="s">
        <v>5205</v>
      </c>
      <c r="I1070" s="1147"/>
      <c r="J1070" s="943"/>
      <c r="K1070" s="944">
        <v>1</v>
      </c>
      <c r="L1070" s="898">
        <v>12</v>
      </c>
      <c r="M1070" s="899">
        <f t="shared" si="44"/>
        <v>26400</v>
      </c>
      <c r="N1070" s="898">
        <v>1</v>
      </c>
      <c r="O1070" s="898">
        <v>12</v>
      </c>
      <c r="P1070" s="899">
        <f t="shared" si="45"/>
        <v>26400</v>
      </c>
    </row>
    <row r="1071" spans="1:16" x14ac:dyDescent="0.2">
      <c r="A1071" s="916" t="s">
        <v>5035</v>
      </c>
      <c r="B1071" s="943" t="s">
        <v>3092</v>
      </c>
      <c r="C1071" s="916" t="s">
        <v>5036</v>
      </c>
      <c r="D1071" s="943" t="s">
        <v>5040</v>
      </c>
      <c r="E1071" s="1144">
        <v>2500</v>
      </c>
      <c r="F1071" s="943" t="s">
        <v>5206</v>
      </c>
      <c r="G1071" s="1245" t="s">
        <v>5207</v>
      </c>
      <c r="H1071" s="1245" t="s">
        <v>5063</v>
      </c>
      <c r="I1071" s="1147"/>
      <c r="J1071" s="943"/>
      <c r="K1071" s="944">
        <v>1</v>
      </c>
      <c r="L1071" s="898">
        <v>12</v>
      </c>
      <c r="M1071" s="899">
        <f t="shared" si="44"/>
        <v>30000</v>
      </c>
      <c r="N1071" s="898">
        <v>1</v>
      </c>
      <c r="O1071" s="898">
        <v>12</v>
      </c>
      <c r="P1071" s="899">
        <f t="shared" si="45"/>
        <v>30000</v>
      </c>
    </row>
    <row r="1072" spans="1:16" ht="24" x14ac:dyDescent="0.2">
      <c r="A1072" s="916" t="s">
        <v>5035</v>
      </c>
      <c r="B1072" s="943" t="s">
        <v>3092</v>
      </c>
      <c r="C1072" s="916" t="s">
        <v>5036</v>
      </c>
      <c r="D1072" s="943" t="s">
        <v>5040</v>
      </c>
      <c r="E1072" s="1144">
        <v>1200</v>
      </c>
      <c r="F1072" s="943" t="s">
        <v>5208</v>
      </c>
      <c r="G1072" s="1245" t="s">
        <v>5209</v>
      </c>
      <c r="H1072" s="1245" t="s">
        <v>5210</v>
      </c>
      <c r="I1072" s="1147"/>
      <c r="J1072" s="943"/>
      <c r="K1072" s="944">
        <v>1</v>
      </c>
      <c r="L1072" s="898">
        <v>12</v>
      </c>
      <c r="M1072" s="899">
        <f t="shared" si="44"/>
        <v>14400</v>
      </c>
      <c r="N1072" s="898">
        <v>1</v>
      </c>
      <c r="O1072" s="898">
        <v>12</v>
      </c>
      <c r="P1072" s="899">
        <f t="shared" si="45"/>
        <v>14400</v>
      </c>
    </row>
    <row r="1073" spans="1:16" x14ac:dyDescent="0.2">
      <c r="A1073" s="916" t="s">
        <v>5035</v>
      </c>
      <c r="B1073" s="943" t="s">
        <v>3092</v>
      </c>
      <c r="C1073" s="916" t="s">
        <v>5036</v>
      </c>
      <c r="D1073" s="943" t="s">
        <v>491</v>
      </c>
      <c r="E1073" s="1144">
        <v>2200</v>
      </c>
      <c r="F1073" s="943" t="s">
        <v>5211</v>
      </c>
      <c r="G1073" s="1245" t="s">
        <v>5212</v>
      </c>
      <c r="H1073" s="1245" t="s">
        <v>3129</v>
      </c>
      <c r="I1073" s="1147"/>
      <c r="J1073" s="943"/>
      <c r="K1073" s="944">
        <v>1</v>
      </c>
      <c r="L1073" s="898">
        <v>12</v>
      </c>
      <c r="M1073" s="899">
        <f t="shared" si="44"/>
        <v>26400</v>
      </c>
      <c r="N1073" s="898">
        <v>1</v>
      </c>
      <c r="O1073" s="898">
        <v>12</v>
      </c>
      <c r="P1073" s="899">
        <f t="shared" si="45"/>
        <v>26400</v>
      </c>
    </row>
    <row r="1074" spans="1:16" ht="24" x14ac:dyDescent="0.2">
      <c r="A1074" s="916" t="s">
        <v>5035</v>
      </c>
      <c r="B1074" s="943" t="s">
        <v>3092</v>
      </c>
      <c r="C1074" s="916" t="s">
        <v>5036</v>
      </c>
      <c r="D1074" s="943" t="s">
        <v>5040</v>
      </c>
      <c r="E1074" s="1144">
        <v>1200</v>
      </c>
      <c r="F1074" s="943" t="s">
        <v>5213</v>
      </c>
      <c r="G1074" s="1245" t="s">
        <v>5214</v>
      </c>
      <c r="H1074" s="1245" t="s">
        <v>5043</v>
      </c>
      <c r="I1074" s="1147"/>
      <c r="J1074" s="943"/>
      <c r="K1074" s="944">
        <v>1</v>
      </c>
      <c r="L1074" s="898">
        <v>12</v>
      </c>
      <c r="M1074" s="899">
        <f t="shared" si="44"/>
        <v>14400</v>
      </c>
      <c r="N1074" s="898">
        <v>1</v>
      </c>
      <c r="O1074" s="898">
        <v>12</v>
      </c>
      <c r="P1074" s="899">
        <f t="shared" si="45"/>
        <v>14400</v>
      </c>
    </row>
    <row r="1075" spans="1:16" x14ac:dyDescent="0.2">
      <c r="A1075" s="916" t="s">
        <v>5035</v>
      </c>
      <c r="B1075" s="943" t="s">
        <v>3092</v>
      </c>
      <c r="C1075" s="916" t="s">
        <v>5036</v>
      </c>
      <c r="D1075" s="943" t="s">
        <v>491</v>
      </c>
      <c r="E1075" s="1144">
        <v>1129</v>
      </c>
      <c r="F1075" s="943" t="s">
        <v>5215</v>
      </c>
      <c r="G1075" s="1245" t="s">
        <v>5216</v>
      </c>
      <c r="H1075" s="1245" t="s">
        <v>3284</v>
      </c>
      <c r="I1075" s="1147"/>
      <c r="J1075" s="943"/>
      <c r="K1075" s="944">
        <v>1</v>
      </c>
      <c r="L1075" s="898">
        <v>12</v>
      </c>
      <c r="M1075" s="899">
        <f t="shared" si="44"/>
        <v>13548</v>
      </c>
      <c r="N1075" s="898">
        <v>1</v>
      </c>
      <c r="O1075" s="898">
        <v>12</v>
      </c>
      <c r="P1075" s="899">
        <f t="shared" si="45"/>
        <v>13548</v>
      </c>
    </row>
    <row r="1076" spans="1:16" x14ac:dyDescent="0.2">
      <c r="A1076" s="916" t="s">
        <v>5035</v>
      </c>
      <c r="B1076" s="943" t="s">
        <v>3092</v>
      </c>
      <c r="C1076" s="916" t="s">
        <v>5036</v>
      </c>
      <c r="D1076" s="943" t="s">
        <v>5040</v>
      </c>
      <c r="E1076" s="1144">
        <v>2974</v>
      </c>
      <c r="F1076" s="943" t="s">
        <v>5217</v>
      </c>
      <c r="G1076" s="1245" t="s">
        <v>5218</v>
      </c>
      <c r="H1076" s="1245" t="s">
        <v>5219</v>
      </c>
      <c r="I1076" s="1147"/>
      <c r="J1076" s="943"/>
      <c r="K1076" s="944">
        <v>1</v>
      </c>
      <c r="L1076" s="898">
        <v>12</v>
      </c>
      <c r="M1076" s="899">
        <f t="shared" si="44"/>
        <v>35688</v>
      </c>
      <c r="N1076" s="898">
        <v>1</v>
      </c>
      <c r="O1076" s="898">
        <v>12</v>
      </c>
      <c r="P1076" s="899">
        <f t="shared" si="45"/>
        <v>35688</v>
      </c>
    </row>
    <row r="1077" spans="1:16" x14ac:dyDescent="0.2">
      <c r="A1077" s="916" t="s">
        <v>5035</v>
      </c>
      <c r="B1077" s="943" t="s">
        <v>3092</v>
      </c>
      <c r="C1077" s="916" t="s">
        <v>5036</v>
      </c>
      <c r="D1077" s="943" t="s">
        <v>5040</v>
      </c>
      <c r="E1077" s="1144">
        <v>2500</v>
      </c>
      <c r="F1077" s="943" t="s">
        <v>5220</v>
      </c>
      <c r="G1077" s="1245" t="s">
        <v>5221</v>
      </c>
      <c r="H1077" s="1245" t="s">
        <v>5063</v>
      </c>
      <c r="I1077" s="1147"/>
      <c r="J1077" s="943"/>
      <c r="K1077" s="944">
        <v>1</v>
      </c>
      <c r="L1077" s="898">
        <v>12</v>
      </c>
      <c r="M1077" s="899">
        <f t="shared" si="44"/>
        <v>30000</v>
      </c>
      <c r="N1077" s="898">
        <v>1</v>
      </c>
      <c r="O1077" s="898">
        <v>12</v>
      </c>
      <c r="P1077" s="899">
        <f t="shared" si="45"/>
        <v>30000</v>
      </c>
    </row>
    <row r="1078" spans="1:16" ht="24" x14ac:dyDescent="0.2">
      <c r="A1078" s="916" t="s">
        <v>5035</v>
      </c>
      <c r="B1078" s="943" t="s">
        <v>3092</v>
      </c>
      <c r="C1078" s="916" t="s">
        <v>5036</v>
      </c>
      <c r="D1078" s="943" t="s">
        <v>491</v>
      </c>
      <c r="E1078" s="1144">
        <v>1000</v>
      </c>
      <c r="F1078" s="943" t="s">
        <v>5222</v>
      </c>
      <c r="G1078" s="1245" t="s">
        <v>5223</v>
      </c>
      <c r="H1078" s="1245" t="s">
        <v>583</v>
      </c>
      <c r="I1078" s="1147"/>
      <c r="J1078" s="943"/>
      <c r="K1078" s="944">
        <v>1</v>
      </c>
      <c r="L1078" s="898">
        <v>12</v>
      </c>
      <c r="M1078" s="899">
        <f t="shared" si="44"/>
        <v>12000</v>
      </c>
      <c r="N1078" s="898">
        <v>1</v>
      </c>
      <c r="O1078" s="898">
        <v>12</v>
      </c>
      <c r="P1078" s="899">
        <f t="shared" si="45"/>
        <v>12000</v>
      </c>
    </row>
    <row r="1079" spans="1:16" ht="24" x14ac:dyDescent="0.2">
      <c r="A1079" s="916" t="s">
        <v>5035</v>
      </c>
      <c r="B1079" s="943" t="s">
        <v>3092</v>
      </c>
      <c r="C1079" s="916" t="s">
        <v>5036</v>
      </c>
      <c r="D1079" s="943" t="s">
        <v>5040</v>
      </c>
      <c r="E1079" s="1144">
        <v>1000</v>
      </c>
      <c r="F1079" s="943" t="s">
        <v>5224</v>
      </c>
      <c r="G1079" s="1245" t="s">
        <v>5225</v>
      </c>
      <c r="H1079" s="1245" t="s">
        <v>5095</v>
      </c>
      <c r="I1079" s="1147"/>
      <c r="J1079" s="943"/>
      <c r="K1079" s="944">
        <v>1</v>
      </c>
      <c r="L1079" s="898">
        <v>12</v>
      </c>
      <c r="M1079" s="899">
        <f t="shared" si="44"/>
        <v>12000</v>
      </c>
      <c r="N1079" s="898">
        <v>1</v>
      </c>
      <c r="O1079" s="898">
        <v>12</v>
      </c>
      <c r="P1079" s="899">
        <f t="shared" si="45"/>
        <v>12000</v>
      </c>
    </row>
    <row r="1080" spans="1:16" x14ac:dyDescent="0.2">
      <c r="A1080" s="916" t="s">
        <v>5035</v>
      </c>
      <c r="B1080" s="943" t="s">
        <v>3092</v>
      </c>
      <c r="C1080" s="916" t="s">
        <v>5036</v>
      </c>
      <c r="D1080" s="943" t="s">
        <v>5040</v>
      </c>
      <c r="E1080" s="1144">
        <v>2200</v>
      </c>
      <c r="F1080" s="943" t="s">
        <v>5226</v>
      </c>
      <c r="G1080" s="1245" t="s">
        <v>5227</v>
      </c>
      <c r="H1080" s="1245" t="s">
        <v>471</v>
      </c>
      <c r="I1080" s="1147"/>
      <c r="J1080" s="943"/>
      <c r="K1080" s="944">
        <v>1</v>
      </c>
      <c r="L1080" s="898">
        <v>12</v>
      </c>
      <c r="M1080" s="899">
        <f t="shared" si="44"/>
        <v>26400</v>
      </c>
      <c r="N1080" s="898">
        <v>1</v>
      </c>
      <c r="O1080" s="898">
        <v>12</v>
      </c>
      <c r="P1080" s="899">
        <f t="shared" si="45"/>
        <v>26400</v>
      </c>
    </row>
    <row r="1081" spans="1:16" x14ac:dyDescent="0.2">
      <c r="A1081" s="916" t="s">
        <v>5035</v>
      </c>
      <c r="B1081" s="943" t="s">
        <v>3092</v>
      </c>
      <c r="C1081" s="916" t="s">
        <v>5036</v>
      </c>
      <c r="D1081" s="943" t="s">
        <v>5040</v>
      </c>
      <c r="E1081" s="1144">
        <v>6500</v>
      </c>
      <c r="F1081" s="943" t="s">
        <v>5228</v>
      </c>
      <c r="G1081" s="1245" t="s">
        <v>5229</v>
      </c>
      <c r="H1081" s="1245" t="s">
        <v>5077</v>
      </c>
      <c r="I1081" s="1147"/>
      <c r="J1081" s="943"/>
      <c r="K1081" s="944">
        <v>1</v>
      </c>
      <c r="L1081" s="898">
        <v>12</v>
      </c>
      <c r="M1081" s="899">
        <f t="shared" si="44"/>
        <v>78000</v>
      </c>
      <c r="N1081" s="898">
        <v>1</v>
      </c>
      <c r="O1081" s="898">
        <v>12</v>
      </c>
      <c r="P1081" s="899">
        <f t="shared" si="45"/>
        <v>78000</v>
      </c>
    </row>
    <row r="1082" spans="1:16" x14ac:dyDescent="0.2">
      <c r="A1082" s="916" t="s">
        <v>5035</v>
      </c>
      <c r="B1082" s="943" t="s">
        <v>3092</v>
      </c>
      <c r="C1082" s="916" t="s">
        <v>5036</v>
      </c>
      <c r="D1082" s="943" t="s">
        <v>5040</v>
      </c>
      <c r="E1082" s="1144">
        <v>1000</v>
      </c>
      <c r="F1082" s="943" t="s">
        <v>5230</v>
      </c>
      <c r="G1082" s="1245" t="s">
        <v>5231</v>
      </c>
      <c r="H1082" s="1245" t="s">
        <v>3187</v>
      </c>
      <c r="I1082" s="1147"/>
      <c r="J1082" s="943"/>
      <c r="K1082" s="944">
        <v>1</v>
      </c>
      <c r="L1082" s="898">
        <v>12</v>
      </c>
      <c r="M1082" s="899">
        <f t="shared" si="44"/>
        <v>12000</v>
      </c>
      <c r="N1082" s="898">
        <v>1</v>
      </c>
      <c r="O1082" s="898">
        <v>12</v>
      </c>
      <c r="P1082" s="899">
        <f t="shared" si="45"/>
        <v>12000</v>
      </c>
    </row>
    <row r="1083" spans="1:16" x14ac:dyDescent="0.2">
      <c r="A1083" s="916" t="s">
        <v>5035</v>
      </c>
      <c r="B1083" s="943" t="s">
        <v>3092</v>
      </c>
      <c r="C1083" s="916" t="s">
        <v>5036</v>
      </c>
      <c r="D1083" s="943" t="s">
        <v>5040</v>
      </c>
      <c r="E1083" s="1144">
        <v>1200</v>
      </c>
      <c r="F1083" s="943" t="s">
        <v>5232</v>
      </c>
      <c r="G1083" s="1245" t="s">
        <v>5233</v>
      </c>
      <c r="H1083" s="1245" t="s">
        <v>5084</v>
      </c>
      <c r="I1083" s="1147"/>
      <c r="J1083" s="943"/>
      <c r="K1083" s="944">
        <v>1</v>
      </c>
      <c r="L1083" s="898">
        <v>12</v>
      </c>
      <c r="M1083" s="899">
        <f t="shared" si="44"/>
        <v>14400</v>
      </c>
      <c r="N1083" s="898">
        <v>1</v>
      </c>
      <c r="O1083" s="898">
        <v>12</v>
      </c>
      <c r="P1083" s="899">
        <f t="shared" si="45"/>
        <v>14400</v>
      </c>
    </row>
    <row r="1084" spans="1:16" ht="24" x14ac:dyDescent="0.2">
      <c r="A1084" s="916" t="s">
        <v>5035</v>
      </c>
      <c r="B1084" s="943" t="s">
        <v>3092</v>
      </c>
      <c r="C1084" s="916" t="s">
        <v>5036</v>
      </c>
      <c r="D1084" s="943" t="s">
        <v>5040</v>
      </c>
      <c r="E1084" s="1144">
        <v>1000</v>
      </c>
      <c r="F1084" s="943" t="s">
        <v>5234</v>
      </c>
      <c r="G1084" s="1245" t="s">
        <v>5235</v>
      </c>
      <c r="H1084" s="1245" t="s">
        <v>5058</v>
      </c>
      <c r="I1084" s="1147"/>
      <c r="J1084" s="943"/>
      <c r="K1084" s="944">
        <v>1</v>
      </c>
      <c r="L1084" s="898">
        <v>12</v>
      </c>
      <c r="M1084" s="899">
        <f t="shared" si="44"/>
        <v>12000</v>
      </c>
      <c r="N1084" s="898">
        <v>1</v>
      </c>
      <c r="O1084" s="898">
        <v>12</v>
      </c>
      <c r="P1084" s="899">
        <f t="shared" si="45"/>
        <v>12000</v>
      </c>
    </row>
    <row r="1085" spans="1:16" x14ac:dyDescent="0.2">
      <c r="A1085" s="916" t="s">
        <v>5035</v>
      </c>
      <c r="B1085" s="943" t="s">
        <v>3092</v>
      </c>
      <c r="C1085" s="916" t="s">
        <v>5036</v>
      </c>
      <c r="D1085" s="943" t="s">
        <v>5040</v>
      </c>
      <c r="E1085" s="1144">
        <v>1000</v>
      </c>
      <c r="F1085" s="943" t="s">
        <v>5236</v>
      </c>
      <c r="G1085" s="1245" t="s">
        <v>5237</v>
      </c>
      <c r="H1085" s="1245" t="s">
        <v>3187</v>
      </c>
      <c r="I1085" s="1147"/>
      <c r="J1085" s="943"/>
      <c r="K1085" s="944">
        <v>1</v>
      </c>
      <c r="L1085" s="898">
        <v>12</v>
      </c>
      <c r="M1085" s="899">
        <f t="shared" si="44"/>
        <v>12000</v>
      </c>
      <c r="N1085" s="898">
        <v>1</v>
      </c>
      <c r="O1085" s="898">
        <v>12</v>
      </c>
      <c r="P1085" s="899">
        <f t="shared" si="45"/>
        <v>12000</v>
      </c>
    </row>
    <row r="1086" spans="1:16" ht="24" x14ac:dyDescent="0.2">
      <c r="A1086" s="916" t="s">
        <v>5035</v>
      </c>
      <c r="B1086" s="943" t="s">
        <v>3092</v>
      </c>
      <c r="C1086" s="916" t="s">
        <v>5036</v>
      </c>
      <c r="D1086" s="943" t="s">
        <v>491</v>
      </c>
      <c r="E1086" s="1144">
        <v>1200</v>
      </c>
      <c r="F1086" s="943" t="s">
        <v>5238</v>
      </c>
      <c r="G1086" s="1245" t="s">
        <v>5239</v>
      </c>
      <c r="H1086" s="1245" t="s">
        <v>5109</v>
      </c>
      <c r="I1086" s="1147"/>
      <c r="J1086" s="943"/>
      <c r="K1086" s="944">
        <v>1</v>
      </c>
      <c r="L1086" s="898">
        <v>12</v>
      </c>
      <c r="M1086" s="899">
        <f t="shared" si="44"/>
        <v>14400</v>
      </c>
      <c r="N1086" s="898">
        <v>1</v>
      </c>
      <c r="O1086" s="898">
        <v>12</v>
      </c>
      <c r="P1086" s="899">
        <f t="shared" si="45"/>
        <v>14400</v>
      </c>
    </row>
    <row r="1087" spans="1:16" x14ac:dyDescent="0.2">
      <c r="A1087" s="916" t="s">
        <v>5035</v>
      </c>
      <c r="B1087" s="943" t="s">
        <v>3092</v>
      </c>
      <c r="C1087" s="916" t="s">
        <v>5036</v>
      </c>
      <c r="D1087" s="943" t="s">
        <v>5040</v>
      </c>
      <c r="E1087" s="1144">
        <v>2500</v>
      </c>
      <c r="F1087" s="943" t="s">
        <v>5240</v>
      </c>
      <c r="G1087" s="1245" t="s">
        <v>5241</v>
      </c>
      <c r="H1087" s="1245" t="s">
        <v>5242</v>
      </c>
      <c r="I1087" s="1147"/>
      <c r="J1087" s="943"/>
      <c r="K1087" s="944">
        <v>1</v>
      </c>
      <c r="L1087" s="898">
        <v>12</v>
      </c>
      <c r="M1087" s="899">
        <f t="shared" si="44"/>
        <v>30000</v>
      </c>
      <c r="N1087" s="898">
        <v>1</v>
      </c>
      <c r="O1087" s="898">
        <v>12</v>
      </c>
      <c r="P1087" s="899">
        <f t="shared" si="45"/>
        <v>30000</v>
      </c>
    </row>
    <row r="1088" spans="1:16" x14ac:dyDescent="0.2">
      <c r="A1088" s="916" t="s">
        <v>5035</v>
      </c>
      <c r="B1088" s="943" t="s">
        <v>3092</v>
      </c>
      <c r="C1088" s="916" t="s">
        <v>5036</v>
      </c>
      <c r="D1088" s="943" t="s">
        <v>5040</v>
      </c>
      <c r="E1088" s="1144">
        <v>3000</v>
      </c>
      <c r="F1088" s="943" t="s">
        <v>5243</v>
      </c>
      <c r="G1088" s="1245" t="s">
        <v>5244</v>
      </c>
      <c r="H1088" s="1245" t="s">
        <v>517</v>
      </c>
      <c r="I1088" s="1147"/>
      <c r="J1088" s="943"/>
      <c r="K1088" s="944">
        <v>1</v>
      </c>
      <c r="L1088" s="898">
        <v>12</v>
      </c>
      <c r="M1088" s="899">
        <f t="shared" si="44"/>
        <v>36000</v>
      </c>
      <c r="N1088" s="898">
        <v>1</v>
      </c>
      <c r="O1088" s="898">
        <v>12</v>
      </c>
      <c r="P1088" s="899">
        <f t="shared" si="45"/>
        <v>36000</v>
      </c>
    </row>
    <row r="1089" spans="1:16" x14ac:dyDescent="0.2">
      <c r="A1089" s="916" t="s">
        <v>5035</v>
      </c>
      <c r="B1089" s="943" t="s">
        <v>3092</v>
      </c>
      <c r="C1089" s="916" t="s">
        <v>5036</v>
      </c>
      <c r="D1089" s="943" t="s">
        <v>5040</v>
      </c>
      <c r="E1089" s="1144">
        <v>2500</v>
      </c>
      <c r="F1089" s="943" t="s">
        <v>5245</v>
      </c>
      <c r="G1089" s="1245" t="s">
        <v>5246</v>
      </c>
      <c r="H1089" s="1245" t="s">
        <v>517</v>
      </c>
      <c r="I1089" s="1147"/>
      <c r="J1089" s="943"/>
      <c r="K1089" s="944">
        <v>1</v>
      </c>
      <c r="L1089" s="898">
        <v>12</v>
      </c>
      <c r="M1089" s="899">
        <f t="shared" si="44"/>
        <v>30000</v>
      </c>
      <c r="N1089" s="898">
        <v>1</v>
      </c>
      <c r="O1089" s="898">
        <v>12</v>
      </c>
      <c r="P1089" s="899">
        <f t="shared" si="45"/>
        <v>30000</v>
      </c>
    </row>
    <row r="1090" spans="1:16" ht="24" x14ac:dyDescent="0.2">
      <c r="A1090" s="916" t="s">
        <v>5035</v>
      </c>
      <c r="B1090" s="943" t="s">
        <v>3092</v>
      </c>
      <c r="C1090" s="916" t="s">
        <v>5036</v>
      </c>
      <c r="D1090" s="943" t="s">
        <v>5040</v>
      </c>
      <c r="E1090" s="1144">
        <v>1200</v>
      </c>
      <c r="F1090" s="943" t="s">
        <v>5247</v>
      </c>
      <c r="G1090" s="1245" t="s">
        <v>5248</v>
      </c>
      <c r="H1090" s="1245" t="s">
        <v>580</v>
      </c>
      <c r="I1090" s="1147"/>
      <c r="J1090" s="943"/>
      <c r="K1090" s="944">
        <v>1</v>
      </c>
      <c r="L1090" s="898">
        <v>12</v>
      </c>
      <c r="M1090" s="899">
        <f t="shared" si="44"/>
        <v>14400</v>
      </c>
      <c r="N1090" s="898">
        <v>1</v>
      </c>
      <c r="O1090" s="898">
        <v>12</v>
      </c>
      <c r="P1090" s="899">
        <f t="shared" si="45"/>
        <v>14400</v>
      </c>
    </row>
    <row r="1091" spans="1:16" x14ac:dyDescent="0.2">
      <c r="A1091" s="916" t="s">
        <v>5035</v>
      </c>
      <c r="B1091" s="943" t="s">
        <v>3092</v>
      </c>
      <c r="C1091" s="916" t="s">
        <v>5036</v>
      </c>
      <c r="D1091" s="943" t="s">
        <v>5040</v>
      </c>
      <c r="E1091" s="1144">
        <v>2200</v>
      </c>
      <c r="F1091" s="943" t="s">
        <v>5249</v>
      </c>
      <c r="G1091" s="1245" t="s">
        <v>5250</v>
      </c>
      <c r="H1091" s="1245" t="s">
        <v>517</v>
      </c>
      <c r="I1091" s="1147"/>
      <c r="J1091" s="943"/>
      <c r="K1091" s="944">
        <v>1</v>
      </c>
      <c r="L1091" s="898">
        <v>12</v>
      </c>
      <c r="M1091" s="899">
        <f t="shared" si="44"/>
        <v>26400</v>
      </c>
      <c r="N1091" s="898">
        <v>1</v>
      </c>
      <c r="O1091" s="898">
        <v>12</v>
      </c>
      <c r="P1091" s="899">
        <f t="shared" si="45"/>
        <v>26400</v>
      </c>
    </row>
    <row r="1092" spans="1:16" x14ac:dyDescent="0.2">
      <c r="A1092" s="916" t="s">
        <v>5035</v>
      </c>
      <c r="B1092" s="943" t="s">
        <v>3092</v>
      </c>
      <c r="C1092" s="916" t="s">
        <v>5036</v>
      </c>
      <c r="D1092" s="943" t="s">
        <v>5040</v>
      </c>
      <c r="E1092" s="1144">
        <v>1200</v>
      </c>
      <c r="F1092" s="943" t="s">
        <v>5251</v>
      </c>
      <c r="G1092" s="1245" t="s">
        <v>5252</v>
      </c>
      <c r="H1092" s="1245" t="s">
        <v>3164</v>
      </c>
      <c r="I1092" s="1147"/>
      <c r="J1092" s="943"/>
      <c r="K1092" s="944">
        <v>1</v>
      </c>
      <c r="L1092" s="898">
        <v>12</v>
      </c>
      <c r="M1092" s="899">
        <f t="shared" si="44"/>
        <v>14400</v>
      </c>
      <c r="N1092" s="898">
        <v>1</v>
      </c>
      <c r="O1092" s="898">
        <v>12</v>
      </c>
      <c r="P1092" s="899">
        <f t="shared" si="45"/>
        <v>14400</v>
      </c>
    </row>
    <row r="1093" spans="1:16" ht="24" x14ac:dyDescent="0.2">
      <c r="A1093" s="916" t="s">
        <v>5035</v>
      </c>
      <c r="B1093" s="943" t="s">
        <v>3092</v>
      </c>
      <c r="C1093" s="916" t="s">
        <v>5036</v>
      </c>
      <c r="D1093" s="943" t="s">
        <v>5040</v>
      </c>
      <c r="E1093" s="1144">
        <v>1500</v>
      </c>
      <c r="F1093" s="943" t="s">
        <v>5253</v>
      </c>
      <c r="G1093" s="1245" t="s">
        <v>5254</v>
      </c>
      <c r="H1093" s="1245" t="s">
        <v>5058</v>
      </c>
      <c r="I1093" s="1147"/>
      <c r="J1093" s="943"/>
      <c r="K1093" s="944">
        <v>1</v>
      </c>
      <c r="L1093" s="898">
        <v>12</v>
      </c>
      <c r="M1093" s="899">
        <f t="shared" si="44"/>
        <v>18000</v>
      </c>
      <c r="N1093" s="898">
        <v>1</v>
      </c>
      <c r="O1093" s="898">
        <v>12</v>
      </c>
      <c r="P1093" s="899">
        <f t="shared" si="45"/>
        <v>18000</v>
      </c>
    </row>
    <row r="1094" spans="1:16" ht="24" x14ac:dyDescent="0.2">
      <c r="A1094" s="916" t="s">
        <v>5035</v>
      </c>
      <c r="B1094" s="943" t="s">
        <v>3092</v>
      </c>
      <c r="C1094" s="916" t="s">
        <v>5036</v>
      </c>
      <c r="D1094" s="943" t="s">
        <v>491</v>
      </c>
      <c r="E1094" s="1144">
        <v>1200</v>
      </c>
      <c r="F1094" s="943" t="s">
        <v>5255</v>
      </c>
      <c r="G1094" s="1245" t="s">
        <v>5256</v>
      </c>
      <c r="H1094" s="1245" t="s">
        <v>5109</v>
      </c>
      <c r="I1094" s="1147"/>
      <c r="J1094" s="943"/>
      <c r="K1094" s="944">
        <v>1</v>
      </c>
      <c r="L1094" s="898">
        <v>12</v>
      </c>
      <c r="M1094" s="899">
        <f t="shared" si="44"/>
        <v>14400</v>
      </c>
      <c r="N1094" s="898">
        <v>1</v>
      </c>
      <c r="O1094" s="898">
        <v>12</v>
      </c>
      <c r="P1094" s="899">
        <f t="shared" si="45"/>
        <v>14400</v>
      </c>
    </row>
    <row r="1095" spans="1:16" ht="24" x14ac:dyDescent="0.2">
      <c r="A1095" s="916" t="s">
        <v>5035</v>
      </c>
      <c r="B1095" s="943" t="s">
        <v>3092</v>
      </c>
      <c r="C1095" s="916" t="s">
        <v>5036</v>
      </c>
      <c r="D1095" s="943" t="s">
        <v>5040</v>
      </c>
      <c r="E1095" s="1144">
        <v>2105</v>
      </c>
      <c r="F1095" s="943" t="s">
        <v>5257</v>
      </c>
      <c r="G1095" s="1245" t="s">
        <v>5258</v>
      </c>
      <c r="H1095" s="1245" t="s">
        <v>566</v>
      </c>
      <c r="I1095" s="1147"/>
      <c r="J1095" s="943"/>
      <c r="K1095" s="944">
        <v>1</v>
      </c>
      <c r="L1095" s="898">
        <v>12</v>
      </c>
      <c r="M1095" s="899">
        <f t="shared" si="44"/>
        <v>25260</v>
      </c>
      <c r="N1095" s="898">
        <v>1</v>
      </c>
      <c r="O1095" s="898">
        <v>12</v>
      </c>
      <c r="P1095" s="899">
        <f t="shared" si="45"/>
        <v>25260</v>
      </c>
    </row>
    <row r="1096" spans="1:16" x14ac:dyDescent="0.2">
      <c r="A1096" s="916" t="s">
        <v>5035</v>
      </c>
      <c r="B1096" s="943" t="s">
        <v>3092</v>
      </c>
      <c r="C1096" s="916" t="s">
        <v>5036</v>
      </c>
      <c r="D1096" s="943" t="s">
        <v>5040</v>
      </c>
      <c r="E1096" s="1144">
        <v>2500</v>
      </c>
      <c r="F1096" s="943" t="s">
        <v>5259</v>
      </c>
      <c r="G1096" s="1245" t="s">
        <v>5260</v>
      </c>
      <c r="H1096" s="1245" t="s">
        <v>517</v>
      </c>
      <c r="I1096" s="1147"/>
      <c r="J1096" s="943"/>
      <c r="K1096" s="944">
        <v>1</v>
      </c>
      <c r="L1096" s="898">
        <v>12</v>
      </c>
      <c r="M1096" s="899">
        <f t="shared" si="44"/>
        <v>30000</v>
      </c>
      <c r="N1096" s="898">
        <v>1</v>
      </c>
      <c r="O1096" s="898">
        <v>12</v>
      </c>
      <c r="P1096" s="899">
        <f t="shared" si="45"/>
        <v>30000</v>
      </c>
    </row>
    <row r="1097" spans="1:16" ht="24" x14ac:dyDescent="0.2">
      <c r="A1097" s="916" t="s">
        <v>5035</v>
      </c>
      <c r="B1097" s="943" t="s">
        <v>3092</v>
      </c>
      <c r="C1097" s="916" t="s">
        <v>5036</v>
      </c>
      <c r="D1097" s="943" t="s">
        <v>5040</v>
      </c>
      <c r="E1097" s="1144">
        <v>2200</v>
      </c>
      <c r="F1097" s="943" t="s">
        <v>5261</v>
      </c>
      <c r="G1097" s="1245" t="s">
        <v>5262</v>
      </c>
      <c r="H1097" s="1245" t="s">
        <v>5106</v>
      </c>
      <c r="I1097" s="1147"/>
      <c r="J1097" s="943"/>
      <c r="K1097" s="944">
        <v>1</v>
      </c>
      <c r="L1097" s="898">
        <v>12</v>
      </c>
      <c r="M1097" s="899">
        <f t="shared" si="44"/>
        <v>26400</v>
      </c>
      <c r="N1097" s="898">
        <v>1</v>
      </c>
      <c r="O1097" s="898">
        <v>12</v>
      </c>
      <c r="P1097" s="899">
        <f t="shared" si="45"/>
        <v>26400</v>
      </c>
    </row>
    <row r="1098" spans="1:16" x14ac:dyDescent="0.2">
      <c r="A1098" s="916" t="s">
        <v>5035</v>
      </c>
      <c r="B1098" s="943" t="s">
        <v>3092</v>
      </c>
      <c r="C1098" s="916" t="s">
        <v>5036</v>
      </c>
      <c r="D1098" s="943" t="s">
        <v>5040</v>
      </c>
      <c r="E1098" s="1144">
        <v>3522.58</v>
      </c>
      <c r="F1098" s="943" t="s">
        <v>5263</v>
      </c>
      <c r="G1098" s="1245" t="s">
        <v>5264</v>
      </c>
      <c r="H1098" s="1245" t="s">
        <v>5077</v>
      </c>
      <c r="I1098" s="1147"/>
      <c r="J1098" s="943"/>
      <c r="K1098" s="944">
        <v>1</v>
      </c>
      <c r="L1098" s="898">
        <v>12</v>
      </c>
      <c r="M1098" s="899">
        <f t="shared" si="44"/>
        <v>42270.96</v>
      </c>
      <c r="N1098" s="898">
        <v>1</v>
      </c>
      <c r="O1098" s="898">
        <v>12</v>
      </c>
      <c r="P1098" s="899">
        <f t="shared" si="45"/>
        <v>42270.96</v>
      </c>
    </row>
    <row r="1099" spans="1:16" ht="24" x14ac:dyDescent="0.2">
      <c r="A1099" s="916" t="s">
        <v>5035</v>
      </c>
      <c r="B1099" s="943" t="s">
        <v>3092</v>
      </c>
      <c r="C1099" s="916" t="s">
        <v>5036</v>
      </c>
      <c r="D1099" s="943" t="s">
        <v>5040</v>
      </c>
      <c r="E1099" s="1144">
        <v>1200</v>
      </c>
      <c r="F1099" s="943" t="s">
        <v>5265</v>
      </c>
      <c r="G1099" s="1245" t="s">
        <v>5266</v>
      </c>
      <c r="H1099" s="1245" t="s">
        <v>5043</v>
      </c>
      <c r="I1099" s="1147"/>
      <c r="J1099" s="943"/>
      <c r="K1099" s="944">
        <v>1</v>
      </c>
      <c r="L1099" s="898">
        <v>12</v>
      </c>
      <c r="M1099" s="899">
        <f t="shared" si="44"/>
        <v>14400</v>
      </c>
      <c r="N1099" s="898">
        <v>1</v>
      </c>
      <c r="O1099" s="898">
        <v>12</v>
      </c>
      <c r="P1099" s="899">
        <f t="shared" si="45"/>
        <v>14400</v>
      </c>
    </row>
    <row r="1100" spans="1:16" x14ac:dyDescent="0.2">
      <c r="A1100" s="916" t="s">
        <v>5035</v>
      </c>
      <c r="B1100" s="943" t="s">
        <v>3092</v>
      </c>
      <c r="C1100" s="916" t="s">
        <v>5036</v>
      </c>
      <c r="D1100" s="943" t="s">
        <v>5040</v>
      </c>
      <c r="E1100" s="1144">
        <v>1500</v>
      </c>
      <c r="F1100" s="943" t="s">
        <v>5267</v>
      </c>
      <c r="G1100" s="1245" t="s">
        <v>5268</v>
      </c>
      <c r="H1100" s="1245" t="s">
        <v>3187</v>
      </c>
      <c r="I1100" s="1147"/>
      <c r="J1100" s="943"/>
      <c r="K1100" s="944">
        <v>1</v>
      </c>
      <c r="L1100" s="898">
        <v>12</v>
      </c>
      <c r="M1100" s="899">
        <f t="shared" si="44"/>
        <v>18000</v>
      </c>
      <c r="N1100" s="898">
        <v>1</v>
      </c>
      <c r="O1100" s="898">
        <v>12</v>
      </c>
      <c r="P1100" s="899">
        <f t="shared" si="45"/>
        <v>18000</v>
      </c>
    </row>
    <row r="1101" spans="1:16" x14ac:dyDescent="0.2">
      <c r="A1101" s="916" t="s">
        <v>5035</v>
      </c>
      <c r="B1101" s="943" t="s">
        <v>3092</v>
      </c>
      <c r="C1101" s="916" t="s">
        <v>5036</v>
      </c>
      <c r="D1101" s="943" t="s">
        <v>5040</v>
      </c>
      <c r="E1101" s="1144">
        <v>2200</v>
      </c>
      <c r="F1101" s="943" t="s">
        <v>5269</v>
      </c>
      <c r="G1101" s="1245" t="s">
        <v>5270</v>
      </c>
      <c r="H1101" s="1245" t="s">
        <v>517</v>
      </c>
      <c r="I1101" s="1147"/>
      <c r="J1101" s="943"/>
      <c r="K1101" s="944">
        <v>1</v>
      </c>
      <c r="L1101" s="898">
        <v>12</v>
      </c>
      <c r="M1101" s="899">
        <f t="shared" si="44"/>
        <v>26400</v>
      </c>
      <c r="N1101" s="898">
        <v>1</v>
      </c>
      <c r="O1101" s="898">
        <v>12</v>
      </c>
      <c r="P1101" s="899">
        <f t="shared" si="45"/>
        <v>26400</v>
      </c>
    </row>
    <row r="1102" spans="1:16" x14ac:dyDescent="0.2">
      <c r="A1102" s="916" t="s">
        <v>5035</v>
      </c>
      <c r="B1102" s="943" t="s">
        <v>3092</v>
      </c>
      <c r="C1102" s="916" t="s">
        <v>5036</v>
      </c>
      <c r="D1102" s="943" t="s">
        <v>5040</v>
      </c>
      <c r="E1102" s="1144">
        <v>2200</v>
      </c>
      <c r="F1102" s="943" t="s">
        <v>5271</v>
      </c>
      <c r="G1102" s="1245" t="s">
        <v>5272</v>
      </c>
      <c r="H1102" s="1245" t="s">
        <v>5106</v>
      </c>
      <c r="I1102" s="1147"/>
      <c r="J1102" s="943"/>
      <c r="K1102" s="944">
        <v>1</v>
      </c>
      <c r="L1102" s="898">
        <v>12</v>
      </c>
      <c r="M1102" s="899">
        <f t="shared" si="44"/>
        <v>26400</v>
      </c>
      <c r="N1102" s="898">
        <v>1</v>
      </c>
      <c r="O1102" s="898">
        <v>12</v>
      </c>
      <c r="P1102" s="899">
        <f t="shared" si="45"/>
        <v>26400</v>
      </c>
    </row>
    <row r="1103" spans="1:16" ht="24" x14ac:dyDescent="0.2">
      <c r="A1103" s="916" t="s">
        <v>5035</v>
      </c>
      <c r="B1103" s="943" t="s">
        <v>3092</v>
      </c>
      <c r="C1103" s="916" t="s">
        <v>5036</v>
      </c>
      <c r="D1103" s="943" t="s">
        <v>491</v>
      </c>
      <c r="E1103" s="1144">
        <v>1000</v>
      </c>
      <c r="F1103" s="943" t="s">
        <v>5273</v>
      </c>
      <c r="G1103" s="1245" t="s">
        <v>5274</v>
      </c>
      <c r="H1103" s="1245" t="s">
        <v>3112</v>
      </c>
      <c r="I1103" s="1147"/>
      <c r="J1103" s="943"/>
      <c r="K1103" s="944">
        <v>1</v>
      </c>
      <c r="L1103" s="898">
        <v>12</v>
      </c>
      <c r="M1103" s="899">
        <f t="shared" si="44"/>
        <v>12000</v>
      </c>
      <c r="N1103" s="898">
        <v>1</v>
      </c>
      <c r="O1103" s="898">
        <v>12</v>
      </c>
      <c r="P1103" s="899">
        <f t="shared" si="45"/>
        <v>12000</v>
      </c>
    </row>
    <row r="1104" spans="1:16" x14ac:dyDescent="0.2">
      <c r="A1104" s="916" t="s">
        <v>5035</v>
      </c>
      <c r="B1104" s="943" t="s">
        <v>3092</v>
      </c>
      <c r="C1104" s="916" t="s">
        <v>5036</v>
      </c>
      <c r="D1104" s="943" t="s">
        <v>5040</v>
      </c>
      <c r="E1104" s="1144">
        <v>2500</v>
      </c>
      <c r="F1104" s="943" t="s">
        <v>5275</v>
      </c>
      <c r="G1104" s="1245" t="s">
        <v>5276</v>
      </c>
      <c r="H1104" s="1245" t="s">
        <v>5063</v>
      </c>
      <c r="I1104" s="1147"/>
      <c r="J1104" s="943"/>
      <c r="K1104" s="944">
        <v>1</v>
      </c>
      <c r="L1104" s="898">
        <v>12</v>
      </c>
      <c r="M1104" s="899">
        <f t="shared" si="44"/>
        <v>30000</v>
      </c>
      <c r="N1104" s="898">
        <v>1</v>
      </c>
      <c r="O1104" s="898">
        <v>12</v>
      </c>
      <c r="P1104" s="899">
        <f t="shared" si="45"/>
        <v>30000</v>
      </c>
    </row>
    <row r="1105" spans="1:16" x14ac:dyDescent="0.2">
      <c r="A1105" s="916" t="s">
        <v>5035</v>
      </c>
      <c r="B1105" s="943" t="s">
        <v>3092</v>
      </c>
      <c r="C1105" s="916" t="s">
        <v>5036</v>
      </c>
      <c r="D1105" s="943" t="s">
        <v>5040</v>
      </c>
      <c r="E1105" s="1144">
        <v>1500</v>
      </c>
      <c r="F1105" s="943" t="s">
        <v>5277</v>
      </c>
      <c r="G1105" s="1245" t="s">
        <v>5278</v>
      </c>
      <c r="H1105" s="1245" t="s">
        <v>3187</v>
      </c>
      <c r="I1105" s="1147"/>
      <c r="J1105" s="943"/>
      <c r="K1105" s="944">
        <v>1</v>
      </c>
      <c r="L1105" s="898">
        <v>12</v>
      </c>
      <c r="M1105" s="899">
        <f t="shared" si="44"/>
        <v>18000</v>
      </c>
      <c r="N1105" s="898">
        <v>1</v>
      </c>
      <c r="O1105" s="898">
        <v>12</v>
      </c>
      <c r="P1105" s="899">
        <f t="shared" si="45"/>
        <v>18000</v>
      </c>
    </row>
    <row r="1106" spans="1:16" x14ac:dyDescent="0.2">
      <c r="A1106" s="916" t="s">
        <v>5035</v>
      </c>
      <c r="B1106" s="943" t="s">
        <v>3092</v>
      </c>
      <c r="C1106" s="916" t="s">
        <v>5036</v>
      </c>
      <c r="D1106" s="943" t="s">
        <v>5040</v>
      </c>
      <c r="E1106" s="1144">
        <v>2200</v>
      </c>
      <c r="F1106" s="943" t="s">
        <v>5279</v>
      </c>
      <c r="G1106" s="1245" t="s">
        <v>5280</v>
      </c>
      <c r="H1106" s="1245" t="s">
        <v>471</v>
      </c>
      <c r="I1106" s="1147"/>
      <c r="J1106" s="943"/>
      <c r="K1106" s="944">
        <v>1</v>
      </c>
      <c r="L1106" s="898">
        <v>12</v>
      </c>
      <c r="M1106" s="899">
        <f t="shared" si="44"/>
        <v>26400</v>
      </c>
      <c r="N1106" s="898">
        <v>1</v>
      </c>
      <c r="O1106" s="898">
        <v>12</v>
      </c>
      <c r="P1106" s="899">
        <f t="shared" si="45"/>
        <v>26400</v>
      </c>
    </row>
    <row r="1107" spans="1:16" ht="24" x14ac:dyDescent="0.2">
      <c r="A1107" s="916" t="s">
        <v>5035</v>
      </c>
      <c r="B1107" s="943" t="s">
        <v>3092</v>
      </c>
      <c r="C1107" s="916" t="s">
        <v>5036</v>
      </c>
      <c r="D1107" s="943" t="s">
        <v>5040</v>
      </c>
      <c r="E1107" s="1144">
        <v>1200</v>
      </c>
      <c r="F1107" s="943" t="s">
        <v>5281</v>
      </c>
      <c r="G1107" s="1245" t="s">
        <v>5282</v>
      </c>
      <c r="H1107" s="1245" t="s">
        <v>580</v>
      </c>
      <c r="I1107" s="1147"/>
      <c r="J1107" s="943"/>
      <c r="K1107" s="944">
        <v>1</v>
      </c>
      <c r="L1107" s="898">
        <v>12</v>
      </c>
      <c r="M1107" s="899">
        <f t="shared" si="44"/>
        <v>14400</v>
      </c>
      <c r="N1107" s="898">
        <v>1</v>
      </c>
      <c r="O1107" s="898">
        <v>12</v>
      </c>
      <c r="P1107" s="899">
        <f t="shared" si="45"/>
        <v>14400</v>
      </c>
    </row>
    <row r="1108" spans="1:16" ht="24" x14ac:dyDescent="0.2">
      <c r="A1108" s="916" t="s">
        <v>5035</v>
      </c>
      <c r="B1108" s="943" t="s">
        <v>3092</v>
      </c>
      <c r="C1108" s="916" t="s">
        <v>5036</v>
      </c>
      <c r="D1108" s="943" t="s">
        <v>5040</v>
      </c>
      <c r="E1108" s="1144">
        <v>1200</v>
      </c>
      <c r="F1108" s="943" t="s">
        <v>5283</v>
      </c>
      <c r="G1108" s="1245" t="s">
        <v>5284</v>
      </c>
      <c r="H1108" s="1245" t="s">
        <v>5043</v>
      </c>
      <c r="I1108" s="1147"/>
      <c r="J1108" s="943"/>
      <c r="K1108" s="944">
        <v>1</v>
      </c>
      <c r="L1108" s="898">
        <v>12</v>
      </c>
      <c r="M1108" s="899">
        <f t="shared" si="44"/>
        <v>14400</v>
      </c>
      <c r="N1108" s="898">
        <v>1</v>
      </c>
      <c r="O1108" s="898">
        <v>12</v>
      </c>
      <c r="P1108" s="899">
        <f t="shared" si="45"/>
        <v>14400</v>
      </c>
    </row>
    <row r="1109" spans="1:16" x14ac:dyDescent="0.2">
      <c r="A1109" s="916" t="s">
        <v>5035</v>
      </c>
      <c r="B1109" s="943" t="s">
        <v>3092</v>
      </c>
      <c r="C1109" s="916" t="s">
        <v>5036</v>
      </c>
      <c r="D1109" s="943" t="s">
        <v>491</v>
      </c>
      <c r="E1109" s="1144">
        <v>1177</v>
      </c>
      <c r="F1109" s="943" t="s">
        <v>5285</v>
      </c>
      <c r="G1109" s="1245" t="s">
        <v>5286</v>
      </c>
      <c r="H1109" s="1245" t="s">
        <v>3284</v>
      </c>
      <c r="I1109" s="1147"/>
      <c r="J1109" s="943"/>
      <c r="K1109" s="944">
        <v>1</v>
      </c>
      <c r="L1109" s="898">
        <v>12</v>
      </c>
      <c r="M1109" s="899">
        <f t="shared" si="44"/>
        <v>14124</v>
      </c>
      <c r="N1109" s="898">
        <v>1</v>
      </c>
      <c r="O1109" s="898">
        <v>12</v>
      </c>
      <c r="P1109" s="899">
        <f t="shared" si="45"/>
        <v>14124</v>
      </c>
    </row>
    <row r="1110" spans="1:16" ht="24" x14ac:dyDescent="0.2">
      <c r="A1110" s="916" t="s">
        <v>5035</v>
      </c>
      <c r="B1110" s="943" t="s">
        <v>3092</v>
      </c>
      <c r="C1110" s="916" t="s">
        <v>5036</v>
      </c>
      <c r="D1110" s="943" t="s">
        <v>491</v>
      </c>
      <c r="E1110" s="1144">
        <v>1000</v>
      </c>
      <c r="F1110" s="943" t="s">
        <v>5287</v>
      </c>
      <c r="G1110" s="1245" t="s">
        <v>5288</v>
      </c>
      <c r="H1110" s="1245" t="s">
        <v>583</v>
      </c>
      <c r="I1110" s="1147"/>
      <c r="J1110" s="943"/>
      <c r="K1110" s="944">
        <v>1</v>
      </c>
      <c r="L1110" s="898">
        <v>12</v>
      </c>
      <c r="M1110" s="899">
        <f t="shared" si="44"/>
        <v>12000</v>
      </c>
      <c r="N1110" s="898">
        <v>1</v>
      </c>
      <c r="O1110" s="898">
        <v>12</v>
      </c>
      <c r="P1110" s="899">
        <f t="shared" si="45"/>
        <v>12000</v>
      </c>
    </row>
    <row r="1111" spans="1:16" ht="24" x14ac:dyDescent="0.2">
      <c r="A1111" s="916" t="s">
        <v>5035</v>
      </c>
      <c r="B1111" s="943" t="s">
        <v>3092</v>
      </c>
      <c r="C1111" s="916" t="s">
        <v>5036</v>
      </c>
      <c r="D1111" s="943" t="s">
        <v>5040</v>
      </c>
      <c r="E1111" s="1144">
        <v>1000</v>
      </c>
      <c r="F1111" s="943" t="s">
        <v>5289</v>
      </c>
      <c r="G1111" s="1245" t="s">
        <v>5290</v>
      </c>
      <c r="H1111" s="1245" t="s">
        <v>5095</v>
      </c>
      <c r="I1111" s="1147"/>
      <c r="J1111" s="943"/>
      <c r="K1111" s="944">
        <v>1</v>
      </c>
      <c r="L1111" s="898">
        <v>12</v>
      </c>
      <c r="M1111" s="899">
        <f t="shared" si="44"/>
        <v>12000</v>
      </c>
      <c r="N1111" s="898">
        <v>1</v>
      </c>
      <c r="O1111" s="898">
        <v>12</v>
      </c>
      <c r="P1111" s="899">
        <f t="shared" si="45"/>
        <v>12000</v>
      </c>
    </row>
    <row r="1112" spans="1:16" x14ac:dyDescent="0.2">
      <c r="A1112" s="916" t="s">
        <v>5035</v>
      </c>
      <c r="B1112" s="943" t="s">
        <v>3092</v>
      </c>
      <c r="C1112" s="916" t="s">
        <v>5036</v>
      </c>
      <c r="D1112" s="943" t="s">
        <v>5040</v>
      </c>
      <c r="E1112" s="1144">
        <v>1000</v>
      </c>
      <c r="F1112" s="943" t="s">
        <v>5291</v>
      </c>
      <c r="G1112" s="1245" t="s">
        <v>5292</v>
      </c>
      <c r="H1112" s="1245" t="s">
        <v>3187</v>
      </c>
      <c r="I1112" s="1147"/>
      <c r="J1112" s="943"/>
      <c r="K1112" s="944">
        <v>1</v>
      </c>
      <c r="L1112" s="898">
        <v>12</v>
      </c>
      <c r="M1112" s="899">
        <f t="shared" si="44"/>
        <v>12000</v>
      </c>
      <c r="N1112" s="898">
        <v>1</v>
      </c>
      <c r="O1112" s="898">
        <v>12</v>
      </c>
      <c r="P1112" s="899">
        <f t="shared" si="45"/>
        <v>12000</v>
      </c>
    </row>
    <row r="1113" spans="1:16" ht="24" x14ac:dyDescent="0.2">
      <c r="A1113" s="916" t="s">
        <v>5035</v>
      </c>
      <c r="B1113" s="943" t="s">
        <v>3092</v>
      </c>
      <c r="C1113" s="916" t="s">
        <v>5036</v>
      </c>
      <c r="D1113" s="943" t="s">
        <v>5040</v>
      </c>
      <c r="E1113" s="1144">
        <v>1200</v>
      </c>
      <c r="F1113" s="943" t="s">
        <v>5293</v>
      </c>
      <c r="G1113" s="1245" t="s">
        <v>5294</v>
      </c>
      <c r="H1113" s="1245" t="s">
        <v>5043</v>
      </c>
      <c r="I1113" s="1147"/>
      <c r="J1113" s="943"/>
      <c r="K1113" s="944">
        <v>1</v>
      </c>
      <c r="L1113" s="898">
        <v>12</v>
      </c>
      <c r="M1113" s="899">
        <f t="shared" si="44"/>
        <v>14400</v>
      </c>
      <c r="N1113" s="898">
        <v>1</v>
      </c>
      <c r="O1113" s="898">
        <v>12</v>
      </c>
      <c r="P1113" s="899">
        <f t="shared" si="45"/>
        <v>14400</v>
      </c>
    </row>
    <row r="1114" spans="1:16" ht="24" x14ac:dyDescent="0.2">
      <c r="A1114" s="916" t="s">
        <v>5035</v>
      </c>
      <c r="B1114" s="943" t="s">
        <v>3092</v>
      </c>
      <c r="C1114" s="916" t="s">
        <v>5036</v>
      </c>
      <c r="D1114" s="943" t="s">
        <v>5040</v>
      </c>
      <c r="E1114" s="1144">
        <v>1000</v>
      </c>
      <c r="F1114" s="943" t="s">
        <v>5295</v>
      </c>
      <c r="G1114" s="1245" t="s">
        <v>5296</v>
      </c>
      <c r="H1114" s="1245" t="s">
        <v>5058</v>
      </c>
      <c r="I1114" s="1147"/>
      <c r="J1114" s="943"/>
      <c r="K1114" s="944">
        <v>1</v>
      </c>
      <c r="L1114" s="898">
        <v>12</v>
      </c>
      <c r="M1114" s="899">
        <f t="shared" si="44"/>
        <v>12000</v>
      </c>
      <c r="N1114" s="898">
        <v>1</v>
      </c>
      <c r="O1114" s="898">
        <v>12</v>
      </c>
      <c r="P1114" s="899">
        <f t="shared" si="45"/>
        <v>12000</v>
      </c>
    </row>
    <row r="1115" spans="1:16" x14ac:dyDescent="0.2">
      <c r="A1115" s="916" t="s">
        <v>5035</v>
      </c>
      <c r="B1115" s="943" t="s">
        <v>3092</v>
      </c>
      <c r="C1115" s="916" t="s">
        <v>5036</v>
      </c>
      <c r="D1115" s="943" t="s">
        <v>5040</v>
      </c>
      <c r="E1115" s="1144">
        <v>2200</v>
      </c>
      <c r="F1115" s="943" t="s">
        <v>5297</v>
      </c>
      <c r="G1115" s="1245" t="s">
        <v>5298</v>
      </c>
      <c r="H1115" s="1245" t="s">
        <v>517</v>
      </c>
      <c r="I1115" s="1147"/>
      <c r="J1115" s="943"/>
      <c r="K1115" s="944">
        <v>1</v>
      </c>
      <c r="L1115" s="898">
        <v>12</v>
      </c>
      <c r="M1115" s="899">
        <f t="shared" si="44"/>
        <v>26400</v>
      </c>
      <c r="N1115" s="898">
        <v>1</v>
      </c>
      <c r="O1115" s="898">
        <v>12</v>
      </c>
      <c r="P1115" s="899">
        <f t="shared" si="45"/>
        <v>26400</v>
      </c>
    </row>
    <row r="1116" spans="1:16" x14ac:dyDescent="0.2">
      <c r="A1116" s="916" t="s">
        <v>5035</v>
      </c>
      <c r="B1116" s="943" t="s">
        <v>3092</v>
      </c>
      <c r="C1116" s="916" t="s">
        <v>5036</v>
      </c>
      <c r="D1116" s="943" t="s">
        <v>5040</v>
      </c>
      <c r="E1116" s="1144">
        <v>2500</v>
      </c>
      <c r="F1116" s="943" t="s">
        <v>5299</v>
      </c>
      <c r="G1116" s="1245" t="s">
        <v>5300</v>
      </c>
      <c r="H1116" s="1245" t="s">
        <v>517</v>
      </c>
      <c r="I1116" s="1147"/>
      <c r="J1116" s="943"/>
      <c r="K1116" s="944">
        <v>1</v>
      </c>
      <c r="L1116" s="898">
        <v>12</v>
      </c>
      <c r="M1116" s="899">
        <f t="shared" si="44"/>
        <v>30000</v>
      </c>
      <c r="N1116" s="898">
        <v>1</v>
      </c>
      <c r="O1116" s="898">
        <v>12</v>
      </c>
      <c r="P1116" s="899">
        <f t="shared" si="45"/>
        <v>30000</v>
      </c>
    </row>
    <row r="1117" spans="1:16" x14ac:dyDescent="0.2">
      <c r="A1117" s="916" t="s">
        <v>5035</v>
      </c>
      <c r="B1117" s="943" t="s">
        <v>3092</v>
      </c>
      <c r="C1117" s="916" t="s">
        <v>5036</v>
      </c>
      <c r="D1117" s="943" t="s">
        <v>5040</v>
      </c>
      <c r="E1117" s="1144">
        <v>1000</v>
      </c>
      <c r="F1117" s="943" t="s">
        <v>5301</v>
      </c>
      <c r="G1117" s="1245" t="s">
        <v>5302</v>
      </c>
      <c r="H1117" s="1245" t="s">
        <v>3187</v>
      </c>
      <c r="I1117" s="1147"/>
      <c r="J1117" s="943"/>
      <c r="K1117" s="944">
        <v>1</v>
      </c>
      <c r="L1117" s="898">
        <v>12</v>
      </c>
      <c r="M1117" s="899">
        <f t="shared" si="44"/>
        <v>12000</v>
      </c>
      <c r="N1117" s="898">
        <v>1</v>
      </c>
      <c r="O1117" s="898">
        <v>12</v>
      </c>
      <c r="P1117" s="899">
        <f t="shared" si="45"/>
        <v>12000</v>
      </c>
    </row>
    <row r="1118" spans="1:16" ht="24" x14ac:dyDescent="0.2">
      <c r="A1118" s="916" t="s">
        <v>5035</v>
      </c>
      <c r="B1118" s="943" t="s">
        <v>3092</v>
      </c>
      <c r="C1118" s="916" t="s">
        <v>5036</v>
      </c>
      <c r="D1118" s="943" t="s">
        <v>5040</v>
      </c>
      <c r="E1118" s="1144">
        <v>1000</v>
      </c>
      <c r="F1118" s="943" t="s">
        <v>5303</v>
      </c>
      <c r="G1118" s="1245" t="s">
        <v>5304</v>
      </c>
      <c r="H1118" s="1245" t="s">
        <v>5058</v>
      </c>
      <c r="I1118" s="1147"/>
      <c r="J1118" s="943"/>
      <c r="K1118" s="944">
        <v>1</v>
      </c>
      <c r="L1118" s="898">
        <v>12</v>
      </c>
      <c r="M1118" s="899">
        <f t="shared" si="44"/>
        <v>12000</v>
      </c>
      <c r="N1118" s="898">
        <v>1</v>
      </c>
      <c r="O1118" s="898">
        <v>12</v>
      </c>
      <c r="P1118" s="899">
        <f t="shared" si="45"/>
        <v>12000</v>
      </c>
    </row>
    <row r="1119" spans="1:16" x14ac:dyDescent="0.2">
      <c r="A1119" s="916" t="s">
        <v>5035</v>
      </c>
      <c r="B1119" s="943" t="s">
        <v>3092</v>
      </c>
      <c r="C1119" s="916" t="s">
        <v>5036</v>
      </c>
      <c r="D1119" s="943" t="s">
        <v>5040</v>
      </c>
      <c r="E1119" s="1144">
        <v>1161.29</v>
      </c>
      <c r="F1119" s="943" t="s">
        <v>5305</v>
      </c>
      <c r="G1119" s="1245" t="s">
        <v>5306</v>
      </c>
      <c r="H1119" s="1245" t="s">
        <v>5106</v>
      </c>
      <c r="I1119" s="1147"/>
      <c r="J1119" s="943"/>
      <c r="K1119" s="944">
        <v>1</v>
      </c>
      <c r="L1119" s="898">
        <v>12</v>
      </c>
      <c r="M1119" s="899">
        <f t="shared" si="44"/>
        <v>13935.48</v>
      </c>
      <c r="N1119" s="898">
        <v>1</v>
      </c>
      <c r="O1119" s="898">
        <v>12</v>
      </c>
      <c r="P1119" s="899">
        <f t="shared" si="45"/>
        <v>13935.48</v>
      </c>
    </row>
    <row r="1120" spans="1:16" ht="24" x14ac:dyDescent="0.2">
      <c r="A1120" s="916" t="s">
        <v>5035</v>
      </c>
      <c r="B1120" s="943" t="s">
        <v>3092</v>
      </c>
      <c r="C1120" s="916" t="s">
        <v>5036</v>
      </c>
      <c r="D1120" s="943" t="s">
        <v>491</v>
      </c>
      <c r="E1120" s="1144">
        <v>2000</v>
      </c>
      <c r="F1120" s="943" t="s">
        <v>5307</v>
      </c>
      <c r="G1120" s="1245" t="s">
        <v>5308</v>
      </c>
      <c r="H1120" s="1245" t="s">
        <v>3157</v>
      </c>
      <c r="I1120" s="1147"/>
      <c r="J1120" s="943"/>
      <c r="K1120" s="944">
        <v>1</v>
      </c>
      <c r="L1120" s="898">
        <v>12</v>
      </c>
      <c r="M1120" s="899">
        <f t="shared" si="44"/>
        <v>24000</v>
      </c>
      <c r="N1120" s="898">
        <v>1</v>
      </c>
      <c r="O1120" s="898">
        <v>12</v>
      </c>
      <c r="P1120" s="899">
        <f t="shared" si="45"/>
        <v>24000</v>
      </c>
    </row>
    <row r="1121" spans="1:16" ht="24" x14ac:dyDescent="0.2">
      <c r="A1121" s="916" t="s">
        <v>5035</v>
      </c>
      <c r="B1121" s="943" t="s">
        <v>3092</v>
      </c>
      <c r="C1121" s="916" t="s">
        <v>5036</v>
      </c>
      <c r="D1121" s="943" t="s">
        <v>491</v>
      </c>
      <c r="E1121" s="1144">
        <v>1200</v>
      </c>
      <c r="F1121" s="943" t="s">
        <v>5309</v>
      </c>
      <c r="G1121" s="1245" t="s">
        <v>5310</v>
      </c>
      <c r="H1121" s="1245" t="s">
        <v>3408</v>
      </c>
      <c r="I1121" s="1147"/>
      <c r="J1121" s="943"/>
      <c r="K1121" s="944">
        <v>1</v>
      </c>
      <c r="L1121" s="898">
        <v>12</v>
      </c>
      <c r="M1121" s="899">
        <f t="shared" si="44"/>
        <v>14400</v>
      </c>
      <c r="N1121" s="898">
        <v>1</v>
      </c>
      <c r="O1121" s="898">
        <v>12</v>
      </c>
      <c r="P1121" s="899">
        <f t="shared" si="45"/>
        <v>14400</v>
      </c>
    </row>
    <row r="1122" spans="1:16" x14ac:dyDescent="0.2">
      <c r="A1122" s="916" t="s">
        <v>5035</v>
      </c>
      <c r="B1122" s="943" t="s">
        <v>3092</v>
      </c>
      <c r="C1122" s="916" t="s">
        <v>5036</v>
      </c>
      <c r="D1122" s="943" t="s">
        <v>5040</v>
      </c>
      <c r="E1122" s="1144">
        <v>2500</v>
      </c>
      <c r="F1122" s="943" t="s">
        <v>5311</v>
      </c>
      <c r="G1122" s="1245" t="s">
        <v>5312</v>
      </c>
      <c r="H1122" s="1245" t="s">
        <v>5063</v>
      </c>
      <c r="I1122" s="1147"/>
      <c r="J1122" s="943"/>
      <c r="K1122" s="944">
        <v>1</v>
      </c>
      <c r="L1122" s="898">
        <v>12</v>
      </c>
      <c r="M1122" s="899">
        <f t="shared" si="44"/>
        <v>30000</v>
      </c>
      <c r="N1122" s="898">
        <v>1</v>
      </c>
      <c r="O1122" s="898">
        <v>12</v>
      </c>
      <c r="P1122" s="899">
        <f t="shared" si="45"/>
        <v>30000</v>
      </c>
    </row>
    <row r="1123" spans="1:16" ht="24" x14ac:dyDescent="0.2">
      <c r="A1123" s="916" t="s">
        <v>5035</v>
      </c>
      <c r="B1123" s="943" t="s">
        <v>3092</v>
      </c>
      <c r="C1123" s="916" t="s">
        <v>5036</v>
      </c>
      <c r="D1123" s="943" t="s">
        <v>491</v>
      </c>
      <c r="E1123" s="1144">
        <v>1181</v>
      </c>
      <c r="F1123" s="943" t="s">
        <v>5313</v>
      </c>
      <c r="G1123" s="1245" t="s">
        <v>5314</v>
      </c>
      <c r="H1123" s="1245" t="s">
        <v>3115</v>
      </c>
      <c r="I1123" s="1147"/>
      <c r="J1123" s="943"/>
      <c r="K1123" s="944">
        <v>1</v>
      </c>
      <c r="L1123" s="898">
        <v>12</v>
      </c>
      <c r="M1123" s="899">
        <f t="shared" si="44"/>
        <v>14172</v>
      </c>
      <c r="N1123" s="898">
        <v>1</v>
      </c>
      <c r="O1123" s="898">
        <v>12</v>
      </c>
      <c r="P1123" s="899">
        <f t="shared" si="45"/>
        <v>14172</v>
      </c>
    </row>
    <row r="1124" spans="1:16" ht="24" x14ac:dyDescent="0.2">
      <c r="A1124" s="916" t="s">
        <v>5035</v>
      </c>
      <c r="B1124" s="943" t="s">
        <v>3092</v>
      </c>
      <c r="C1124" s="916" t="s">
        <v>5036</v>
      </c>
      <c r="D1124" s="943" t="s">
        <v>491</v>
      </c>
      <c r="E1124" s="1144">
        <v>2200</v>
      </c>
      <c r="F1124" s="943" t="s">
        <v>5315</v>
      </c>
      <c r="G1124" s="1245" t="s">
        <v>5316</v>
      </c>
      <c r="H1124" s="1245" t="s">
        <v>3100</v>
      </c>
      <c r="I1124" s="1147"/>
      <c r="J1124" s="943"/>
      <c r="K1124" s="944">
        <v>1</v>
      </c>
      <c r="L1124" s="898">
        <v>12</v>
      </c>
      <c r="M1124" s="899">
        <f t="shared" ref="M1124:M1187" si="46">+L1124*E1124</f>
        <v>26400</v>
      </c>
      <c r="N1124" s="898">
        <v>1</v>
      </c>
      <c r="O1124" s="898">
        <v>12</v>
      </c>
      <c r="P1124" s="899">
        <f t="shared" ref="P1124:P1187" si="47">+O1124*E1124</f>
        <v>26400</v>
      </c>
    </row>
    <row r="1125" spans="1:16" ht="24" x14ac:dyDescent="0.2">
      <c r="A1125" s="916" t="s">
        <v>5035</v>
      </c>
      <c r="B1125" s="943" t="s">
        <v>3092</v>
      </c>
      <c r="C1125" s="916" t="s">
        <v>5036</v>
      </c>
      <c r="D1125" s="943" t="s">
        <v>491</v>
      </c>
      <c r="E1125" s="1144">
        <v>2130</v>
      </c>
      <c r="F1125" s="943" t="s">
        <v>5317</v>
      </c>
      <c r="G1125" s="1245" t="s">
        <v>5318</v>
      </c>
      <c r="H1125" s="1245" t="s">
        <v>3212</v>
      </c>
      <c r="I1125" s="1147"/>
      <c r="J1125" s="943"/>
      <c r="K1125" s="944">
        <v>1</v>
      </c>
      <c r="L1125" s="898">
        <v>12</v>
      </c>
      <c r="M1125" s="899">
        <f t="shared" si="46"/>
        <v>25560</v>
      </c>
      <c r="N1125" s="898">
        <v>1</v>
      </c>
      <c r="O1125" s="898">
        <v>12</v>
      </c>
      <c r="P1125" s="899">
        <f t="shared" si="47"/>
        <v>25560</v>
      </c>
    </row>
    <row r="1126" spans="1:16" x14ac:dyDescent="0.2">
      <c r="A1126" s="916" t="s">
        <v>5035</v>
      </c>
      <c r="B1126" s="943" t="s">
        <v>3092</v>
      </c>
      <c r="C1126" s="916" t="s">
        <v>5036</v>
      </c>
      <c r="D1126" s="943" t="s">
        <v>5040</v>
      </c>
      <c r="E1126" s="1144">
        <v>2500</v>
      </c>
      <c r="F1126" s="943" t="s">
        <v>5319</v>
      </c>
      <c r="G1126" s="1245" t="s">
        <v>5320</v>
      </c>
      <c r="H1126" s="1245" t="s">
        <v>5063</v>
      </c>
      <c r="I1126" s="1147"/>
      <c r="J1126" s="943"/>
      <c r="K1126" s="944">
        <v>1</v>
      </c>
      <c r="L1126" s="898">
        <v>12</v>
      </c>
      <c r="M1126" s="899">
        <f t="shared" si="46"/>
        <v>30000</v>
      </c>
      <c r="N1126" s="898">
        <v>1</v>
      </c>
      <c r="O1126" s="898">
        <v>12</v>
      </c>
      <c r="P1126" s="899">
        <f t="shared" si="47"/>
        <v>30000</v>
      </c>
    </row>
    <row r="1127" spans="1:16" ht="24" x14ac:dyDescent="0.2">
      <c r="A1127" s="916" t="s">
        <v>5035</v>
      </c>
      <c r="B1127" s="943" t="s">
        <v>3092</v>
      </c>
      <c r="C1127" s="916" t="s">
        <v>5036</v>
      </c>
      <c r="D1127" s="943" t="s">
        <v>5040</v>
      </c>
      <c r="E1127" s="1144">
        <v>1800</v>
      </c>
      <c r="F1127" s="943" t="s">
        <v>5321</v>
      </c>
      <c r="G1127" s="1245" t="s">
        <v>5322</v>
      </c>
      <c r="H1127" s="1245" t="s">
        <v>5043</v>
      </c>
      <c r="I1127" s="1147"/>
      <c r="J1127" s="943"/>
      <c r="K1127" s="944">
        <v>1</v>
      </c>
      <c r="L1127" s="898">
        <v>12</v>
      </c>
      <c r="M1127" s="899">
        <f t="shared" si="46"/>
        <v>21600</v>
      </c>
      <c r="N1127" s="898">
        <v>1</v>
      </c>
      <c r="O1127" s="898">
        <v>12</v>
      </c>
      <c r="P1127" s="899">
        <f t="shared" si="47"/>
        <v>21600</v>
      </c>
    </row>
    <row r="1128" spans="1:16" x14ac:dyDescent="0.2">
      <c r="A1128" s="916" t="s">
        <v>5035</v>
      </c>
      <c r="B1128" s="943" t="s">
        <v>3092</v>
      </c>
      <c r="C1128" s="916" t="s">
        <v>5036</v>
      </c>
      <c r="D1128" s="943" t="s">
        <v>5040</v>
      </c>
      <c r="E1128" s="1144">
        <v>2200</v>
      </c>
      <c r="F1128" s="943" t="s">
        <v>5323</v>
      </c>
      <c r="G1128" s="1245" t="s">
        <v>5324</v>
      </c>
      <c r="H1128" s="1245" t="s">
        <v>517</v>
      </c>
      <c r="I1128" s="1147"/>
      <c r="J1128" s="943"/>
      <c r="K1128" s="944">
        <v>1</v>
      </c>
      <c r="L1128" s="898">
        <v>12</v>
      </c>
      <c r="M1128" s="899">
        <f t="shared" si="46"/>
        <v>26400</v>
      </c>
      <c r="N1128" s="898">
        <v>1</v>
      </c>
      <c r="O1128" s="898">
        <v>12</v>
      </c>
      <c r="P1128" s="899">
        <f t="shared" si="47"/>
        <v>26400</v>
      </c>
    </row>
    <row r="1129" spans="1:16" x14ac:dyDescent="0.2">
      <c r="A1129" s="916" t="s">
        <v>5035</v>
      </c>
      <c r="B1129" s="943" t="s">
        <v>3092</v>
      </c>
      <c r="C1129" s="916" t="s">
        <v>5036</v>
      </c>
      <c r="D1129" s="943" t="s">
        <v>491</v>
      </c>
      <c r="E1129" s="1144">
        <v>1200</v>
      </c>
      <c r="F1129" s="943" t="s">
        <v>5325</v>
      </c>
      <c r="G1129" s="1245" t="s">
        <v>5326</v>
      </c>
      <c r="H1129" s="1245" t="s">
        <v>3284</v>
      </c>
      <c r="I1129" s="1147"/>
      <c r="J1129" s="943"/>
      <c r="K1129" s="944">
        <v>1</v>
      </c>
      <c r="L1129" s="898">
        <v>12</v>
      </c>
      <c r="M1129" s="899">
        <f t="shared" si="46"/>
        <v>14400</v>
      </c>
      <c r="N1129" s="898">
        <v>1</v>
      </c>
      <c r="O1129" s="898">
        <v>12</v>
      </c>
      <c r="P1129" s="899">
        <f t="shared" si="47"/>
        <v>14400</v>
      </c>
    </row>
    <row r="1130" spans="1:16" ht="24" x14ac:dyDescent="0.2">
      <c r="A1130" s="916" t="s">
        <v>5035</v>
      </c>
      <c r="B1130" s="943" t="s">
        <v>3092</v>
      </c>
      <c r="C1130" s="916" t="s">
        <v>5036</v>
      </c>
      <c r="D1130" s="943" t="s">
        <v>5040</v>
      </c>
      <c r="E1130" s="1144">
        <v>1000</v>
      </c>
      <c r="F1130" s="943" t="s">
        <v>5327</v>
      </c>
      <c r="G1130" s="1245" t="s">
        <v>5328</v>
      </c>
      <c r="H1130" s="1245" t="s">
        <v>5095</v>
      </c>
      <c r="I1130" s="1147"/>
      <c r="J1130" s="943"/>
      <c r="K1130" s="944">
        <v>1</v>
      </c>
      <c r="L1130" s="898">
        <v>12</v>
      </c>
      <c r="M1130" s="899">
        <f t="shared" si="46"/>
        <v>12000</v>
      </c>
      <c r="N1130" s="898">
        <v>1</v>
      </c>
      <c r="O1130" s="898">
        <v>12</v>
      </c>
      <c r="P1130" s="899">
        <f t="shared" si="47"/>
        <v>12000</v>
      </c>
    </row>
    <row r="1131" spans="1:16" x14ac:dyDescent="0.2">
      <c r="A1131" s="916" t="s">
        <v>5035</v>
      </c>
      <c r="B1131" s="943" t="s">
        <v>3092</v>
      </c>
      <c r="C1131" s="916" t="s">
        <v>5036</v>
      </c>
      <c r="D1131" s="943" t="s">
        <v>491</v>
      </c>
      <c r="E1131" s="1144">
        <v>2200</v>
      </c>
      <c r="F1131" s="943" t="s">
        <v>5329</v>
      </c>
      <c r="G1131" s="1245" t="s">
        <v>5330</v>
      </c>
      <c r="H1131" s="1245" t="s">
        <v>3129</v>
      </c>
      <c r="I1131" s="1147"/>
      <c r="J1131" s="943"/>
      <c r="K1131" s="944">
        <v>1</v>
      </c>
      <c r="L1131" s="898">
        <v>12</v>
      </c>
      <c r="M1131" s="899">
        <f t="shared" si="46"/>
        <v>26400</v>
      </c>
      <c r="N1131" s="898">
        <v>1</v>
      </c>
      <c r="O1131" s="898">
        <v>12</v>
      </c>
      <c r="P1131" s="899">
        <f t="shared" si="47"/>
        <v>26400</v>
      </c>
    </row>
    <row r="1132" spans="1:16" x14ac:dyDescent="0.2">
      <c r="A1132" s="916" t="s">
        <v>5035</v>
      </c>
      <c r="B1132" s="943" t="s">
        <v>3092</v>
      </c>
      <c r="C1132" s="916" t="s">
        <v>5036</v>
      </c>
      <c r="D1132" s="943" t="s">
        <v>5040</v>
      </c>
      <c r="E1132" s="1144">
        <v>2500</v>
      </c>
      <c r="F1132" s="943" t="s">
        <v>5331</v>
      </c>
      <c r="G1132" s="1245" t="s">
        <v>5332</v>
      </c>
      <c r="H1132" s="1245" t="s">
        <v>5063</v>
      </c>
      <c r="I1132" s="1147"/>
      <c r="J1132" s="943"/>
      <c r="K1132" s="944">
        <v>1</v>
      </c>
      <c r="L1132" s="898">
        <v>12</v>
      </c>
      <c r="M1132" s="899">
        <f t="shared" si="46"/>
        <v>30000</v>
      </c>
      <c r="N1132" s="898">
        <v>1</v>
      </c>
      <c r="O1132" s="898">
        <v>12</v>
      </c>
      <c r="P1132" s="899">
        <f t="shared" si="47"/>
        <v>30000</v>
      </c>
    </row>
    <row r="1133" spans="1:16" ht="24" x14ac:dyDescent="0.2">
      <c r="A1133" s="916" t="s">
        <v>5035</v>
      </c>
      <c r="B1133" s="943" t="s">
        <v>3092</v>
      </c>
      <c r="C1133" s="916" t="s">
        <v>5036</v>
      </c>
      <c r="D1133" s="943" t="s">
        <v>5040</v>
      </c>
      <c r="E1133" s="1144">
        <v>1800</v>
      </c>
      <c r="F1133" s="943" t="s">
        <v>5333</v>
      </c>
      <c r="G1133" s="1245" t="s">
        <v>5334</v>
      </c>
      <c r="H1133" s="1245" t="s">
        <v>5043</v>
      </c>
      <c r="I1133" s="1147"/>
      <c r="J1133" s="943"/>
      <c r="K1133" s="944">
        <v>1</v>
      </c>
      <c r="L1133" s="898">
        <v>12</v>
      </c>
      <c r="M1133" s="899">
        <f t="shared" si="46"/>
        <v>21600</v>
      </c>
      <c r="N1133" s="898">
        <v>1</v>
      </c>
      <c r="O1133" s="898">
        <v>12</v>
      </c>
      <c r="P1133" s="899">
        <f t="shared" si="47"/>
        <v>21600</v>
      </c>
    </row>
    <row r="1134" spans="1:16" ht="24" x14ac:dyDescent="0.2">
      <c r="A1134" s="916" t="s">
        <v>5035</v>
      </c>
      <c r="B1134" s="943" t="s">
        <v>3092</v>
      </c>
      <c r="C1134" s="916" t="s">
        <v>5036</v>
      </c>
      <c r="D1134" s="943" t="s">
        <v>491</v>
      </c>
      <c r="E1134" s="1144">
        <v>1000</v>
      </c>
      <c r="F1134" s="943" t="s">
        <v>5335</v>
      </c>
      <c r="G1134" s="1245" t="s">
        <v>5336</v>
      </c>
      <c r="H1134" s="1245" t="s">
        <v>583</v>
      </c>
      <c r="I1134" s="1147"/>
      <c r="J1134" s="943"/>
      <c r="K1134" s="944">
        <v>1</v>
      </c>
      <c r="L1134" s="898">
        <v>12</v>
      </c>
      <c r="M1134" s="899">
        <f t="shared" si="46"/>
        <v>12000</v>
      </c>
      <c r="N1134" s="898">
        <v>1</v>
      </c>
      <c r="O1134" s="898">
        <v>12</v>
      </c>
      <c r="P1134" s="899">
        <f t="shared" si="47"/>
        <v>12000</v>
      </c>
    </row>
    <row r="1135" spans="1:16" ht="24" x14ac:dyDescent="0.2">
      <c r="A1135" s="916" t="s">
        <v>5035</v>
      </c>
      <c r="B1135" s="943" t="s">
        <v>3092</v>
      </c>
      <c r="C1135" s="916" t="s">
        <v>5036</v>
      </c>
      <c r="D1135" s="943" t="s">
        <v>491</v>
      </c>
      <c r="E1135" s="1144">
        <v>2159</v>
      </c>
      <c r="F1135" s="943" t="s">
        <v>5337</v>
      </c>
      <c r="G1135" s="1245" t="s">
        <v>5338</v>
      </c>
      <c r="H1135" s="1245" t="s">
        <v>3168</v>
      </c>
      <c r="I1135" s="1147"/>
      <c r="J1135" s="943"/>
      <c r="K1135" s="944">
        <v>1</v>
      </c>
      <c r="L1135" s="898">
        <v>12</v>
      </c>
      <c r="M1135" s="899">
        <f t="shared" si="46"/>
        <v>25908</v>
      </c>
      <c r="N1135" s="898">
        <v>1</v>
      </c>
      <c r="O1135" s="898">
        <v>12</v>
      </c>
      <c r="P1135" s="899">
        <f t="shared" si="47"/>
        <v>25908</v>
      </c>
    </row>
    <row r="1136" spans="1:16" x14ac:dyDescent="0.2">
      <c r="A1136" s="916" t="s">
        <v>5035</v>
      </c>
      <c r="B1136" s="943" t="s">
        <v>3092</v>
      </c>
      <c r="C1136" s="916" t="s">
        <v>5036</v>
      </c>
      <c r="D1136" s="943" t="s">
        <v>5040</v>
      </c>
      <c r="E1136" s="1144">
        <v>2500</v>
      </c>
      <c r="F1136" s="943" t="s">
        <v>5339</v>
      </c>
      <c r="G1136" s="1245" t="s">
        <v>5340</v>
      </c>
      <c r="H1136" s="1245" t="s">
        <v>5063</v>
      </c>
      <c r="I1136" s="1147"/>
      <c r="J1136" s="943"/>
      <c r="K1136" s="944">
        <v>1</v>
      </c>
      <c r="L1136" s="898">
        <v>12</v>
      </c>
      <c r="M1136" s="899">
        <f t="shared" si="46"/>
        <v>30000</v>
      </c>
      <c r="N1136" s="898">
        <v>1</v>
      </c>
      <c r="O1136" s="898">
        <v>12</v>
      </c>
      <c r="P1136" s="899">
        <f t="shared" si="47"/>
        <v>30000</v>
      </c>
    </row>
    <row r="1137" spans="1:16" ht="24" x14ac:dyDescent="0.2">
      <c r="A1137" s="916" t="s">
        <v>5035</v>
      </c>
      <c r="B1137" s="943" t="s">
        <v>3092</v>
      </c>
      <c r="C1137" s="916" t="s">
        <v>5036</v>
      </c>
      <c r="D1137" s="943" t="s">
        <v>491</v>
      </c>
      <c r="E1137" s="1144">
        <v>1000</v>
      </c>
      <c r="F1137" s="943" t="s">
        <v>5341</v>
      </c>
      <c r="G1137" s="1245" t="s">
        <v>5342</v>
      </c>
      <c r="H1137" s="1245" t="s">
        <v>583</v>
      </c>
      <c r="I1137" s="1147"/>
      <c r="J1137" s="943"/>
      <c r="K1137" s="944">
        <v>1</v>
      </c>
      <c r="L1137" s="898">
        <v>12</v>
      </c>
      <c r="M1137" s="899">
        <f t="shared" si="46"/>
        <v>12000</v>
      </c>
      <c r="N1137" s="898">
        <v>1</v>
      </c>
      <c r="O1137" s="898">
        <v>12</v>
      </c>
      <c r="P1137" s="899">
        <f t="shared" si="47"/>
        <v>12000</v>
      </c>
    </row>
    <row r="1138" spans="1:16" ht="24" x14ac:dyDescent="0.2">
      <c r="A1138" s="916" t="s">
        <v>5035</v>
      </c>
      <c r="B1138" s="943" t="s">
        <v>3092</v>
      </c>
      <c r="C1138" s="916" t="s">
        <v>5036</v>
      </c>
      <c r="D1138" s="943" t="s">
        <v>491</v>
      </c>
      <c r="E1138" s="1144">
        <v>1200</v>
      </c>
      <c r="F1138" s="943" t="s">
        <v>5343</v>
      </c>
      <c r="G1138" s="1245" t="s">
        <v>5344</v>
      </c>
      <c r="H1138" s="1245" t="s">
        <v>3408</v>
      </c>
      <c r="I1138" s="1147"/>
      <c r="J1138" s="943"/>
      <c r="K1138" s="944">
        <v>1</v>
      </c>
      <c r="L1138" s="898">
        <v>12</v>
      </c>
      <c r="M1138" s="899">
        <f t="shared" si="46"/>
        <v>14400</v>
      </c>
      <c r="N1138" s="898">
        <v>1</v>
      </c>
      <c r="O1138" s="898">
        <v>12</v>
      </c>
      <c r="P1138" s="899">
        <f t="shared" si="47"/>
        <v>14400</v>
      </c>
    </row>
    <row r="1139" spans="1:16" ht="24" x14ac:dyDescent="0.2">
      <c r="A1139" s="916" t="s">
        <v>5035</v>
      </c>
      <c r="B1139" s="943" t="s">
        <v>3092</v>
      </c>
      <c r="C1139" s="916" t="s">
        <v>5036</v>
      </c>
      <c r="D1139" s="943" t="s">
        <v>491</v>
      </c>
      <c r="E1139" s="1144">
        <v>1200</v>
      </c>
      <c r="F1139" s="943" t="s">
        <v>5345</v>
      </c>
      <c r="G1139" s="1245" t="s">
        <v>5346</v>
      </c>
      <c r="H1139" s="1245" t="s">
        <v>3115</v>
      </c>
      <c r="I1139" s="1147"/>
      <c r="J1139" s="943"/>
      <c r="K1139" s="944">
        <v>1</v>
      </c>
      <c r="L1139" s="898">
        <v>12</v>
      </c>
      <c r="M1139" s="899">
        <f t="shared" si="46"/>
        <v>14400</v>
      </c>
      <c r="N1139" s="898">
        <v>1</v>
      </c>
      <c r="O1139" s="898">
        <v>12</v>
      </c>
      <c r="P1139" s="899">
        <f t="shared" si="47"/>
        <v>14400</v>
      </c>
    </row>
    <row r="1140" spans="1:16" ht="24" x14ac:dyDescent="0.2">
      <c r="A1140" s="916" t="s">
        <v>5035</v>
      </c>
      <c r="B1140" s="943" t="s">
        <v>3092</v>
      </c>
      <c r="C1140" s="916" t="s">
        <v>5036</v>
      </c>
      <c r="D1140" s="943" t="s">
        <v>491</v>
      </c>
      <c r="E1140" s="1144">
        <v>1145</v>
      </c>
      <c r="F1140" s="943" t="s">
        <v>5347</v>
      </c>
      <c r="G1140" s="1245" t="s">
        <v>5348</v>
      </c>
      <c r="H1140" s="1245" t="s">
        <v>3115</v>
      </c>
      <c r="I1140" s="1147"/>
      <c r="J1140" s="943"/>
      <c r="K1140" s="944">
        <v>1</v>
      </c>
      <c r="L1140" s="898">
        <v>12</v>
      </c>
      <c r="M1140" s="899">
        <f t="shared" si="46"/>
        <v>13740</v>
      </c>
      <c r="N1140" s="898">
        <v>1</v>
      </c>
      <c r="O1140" s="898">
        <v>12</v>
      </c>
      <c r="P1140" s="899">
        <f t="shared" si="47"/>
        <v>13740</v>
      </c>
    </row>
    <row r="1141" spans="1:16" ht="24" x14ac:dyDescent="0.2">
      <c r="A1141" s="916" t="s">
        <v>5035</v>
      </c>
      <c r="B1141" s="943" t="s">
        <v>3092</v>
      </c>
      <c r="C1141" s="916" t="s">
        <v>5036</v>
      </c>
      <c r="D1141" s="943" t="s">
        <v>491</v>
      </c>
      <c r="E1141" s="1144">
        <v>1000</v>
      </c>
      <c r="F1141" s="943" t="s">
        <v>5349</v>
      </c>
      <c r="G1141" s="1245" t="s">
        <v>5350</v>
      </c>
      <c r="H1141" s="1245" t="s">
        <v>583</v>
      </c>
      <c r="I1141" s="1147"/>
      <c r="J1141" s="943"/>
      <c r="K1141" s="944">
        <v>1</v>
      </c>
      <c r="L1141" s="898">
        <v>12</v>
      </c>
      <c r="M1141" s="899">
        <f t="shared" si="46"/>
        <v>12000</v>
      </c>
      <c r="N1141" s="898">
        <v>1</v>
      </c>
      <c r="O1141" s="898">
        <v>12</v>
      </c>
      <c r="P1141" s="899">
        <f t="shared" si="47"/>
        <v>12000</v>
      </c>
    </row>
    <row r="1142" spans="1:16" x14ac:dyDescent="0.2">
      <c r="A1142" s="916" t="s">
        <v>5035</v>
      </c>
      <c r="B1142" s="943" t="s">
        <v>3092</v>
      </c>
      <c r="C1142" s="916" t="s">
        <v>5036</v>
      </c>
      <c r="D1142" s="943" t="s">
        <v>491</v>
      </c>
      <c r="E1142" s="1144">
        <v>1200</v>
      </c>
      <c r="F1142" s="943" t="s">
        <v>5351</v>
      </c>
      <c r="G1142" s="1245" t="s">
        <v>5352</v>
      </c>
      <c r="H1142" s="1245" t="s">
        <v>3284</v>
      </c>
      <c r="I1142" s="1147"/>
      <c r="J1142" s="943"/>
      <c r="K1142" s="944">
        <v>1</v>
      </c>
      <c r="L1142" s="898">
        <v>12</v>
      </c>
      <c r="M1142" s="899">
        <f t="shared" si="46"/>
        <v>14400</v>
      </c>
      <c r="N1142" s="898">
        <v>1</v>
      </c>
      <c r="O1142" s="898">
        <v>12</v>
      </c>
      <c r="P1142" s="899">
        <f t="shared" si="47"/>
        <v>14400</v>
      </c>
    </row>
    <row r="1143" spans="1:16" ht="24" x14ac:dyDescent="0.2">
      <c r="A1143" s="916" t="s">
        <v>5035</v>
      </c>
      <c r="B1143" s="943" t="s">
        <v>3092</v>
      </c>
      <c r="C1143" s="916" t="s">
        <v>5036</v>
      </c>
      <c r="D1143" s="943" t="s">
        <v>5040</v>
      </c>
      <c r="E1143" s="1144">
        <v>1200</v>
      </c>
      <c r="F1143" s="943" t="s">
        <v>5353</v>
      </c>
      <c r="G1143" s="1245" t="s">
        <v>5354</v>
      </c>
      <c r="H1143" s="1245" t="s">
        <v>580</v>
      </c>
      <c r="I1143" s="1147"/>
      <c r="J1143" s="943"/>
      <c r="K1143" s="944">
        <v>1</v>
      </c>
      <c r="L1143" s="898">
        <v>12</v>
      </c>
      <c r="M1143" s="899">
        <f t="shared" si="46"/>
        <v>14400</v>
      </c>
      <c r="N1143" s="898">
        <v>1</v>
      </c>
      <c r="O1143" s="898">
        <v>12</v>
      </c>
      <c r="P1143" s="899">
        <f t="shared" si="47"/>
        <v>14400</v>
      </c>
    </row>
    <row r="1144" spans="1:16" ht="24" x14ac:dyDescent="0.2">
      <c r="A1144" s="916" t="s">
        <v>5035</v>
      </c>
      <c r="B1144" s="943" t="s">
        <v>3092</v>
      </c>
      <c r="C1144" s="916" t="s">
        <v>5036</v>
      </c>
      <c r="D1144" s="943" t="s">
        <v>491</v>
      </c>
      <c r="E1144" s="1144">
        <v>1914</v>
      </c>
      <c r="F1144" s="943" t="s">
        <v>5355</v>
      </c>
      <c r="G1144" s="1245" t="s">
        <v>5356</v>
      </c>
      <c r="H1144" s="1245" t="s">
        <v>3100</v>
      </c>
      <c r="I1144" s="1147"/>
      <c r="J1144" s="943"/>
      <c r="K1144" s="944">
        <v>1</v>
      </c>
      <c r="L1144" s="898">
        <v>12</v>
      </c>
      <c r="M1144" s="899">
        <f t="shared" si="46"/>
        <v>22968</v>
      </c>
      <c r="N1144" s="898">
        <v>1</v>
      </c>
      <c r="O1144" s="898">
        <v>12</v>
      </c>
      <c r="P1144" s="899">
        <f t="shared" si="47"/>
        <v>22968</v>
      </c>
    </row>
    <row r="1145" spans="1:16" ht="24" x14ac:dyDescent="0.2">
      <c r="A1145" s="916" t="s">
        <v>5035</v>
      </c>
      <c r="B1145" s="943" t="s">
        <v>3092</v>
      </c>
      <c r="C1145" s="916" t="s">
        <v>5036</v>
      </c>
      <c r="D1145" s="943" t="s">
        <v>5040</v>
      </c>
      <c r="E1145" s="1144">
        <v>1200</v>
      </c>
      <c r="F1145" s="943" t="s">
        <v>5357</v>
      </c>
      <c r="G1145" s="1245" t="s">
        <v>5358</v>
      </c>
      <c r="H1145" s="1245" t="s">
        <v>5043</v>
      </c>
      <c r="I1145" s="1147"/>
      <c r="J1145" s="943"/>
      <c r="K1145" s="944">
        <v>1</v>
      </c>
      <c r="L1145" s="898">
        <v>12</v>
      </c>
      <c r="M1145" s="899">
        <f t="shared" si="46"/>
        <v>14400</v>
      </c>
      <c r="N1145" s="898">
        <v>1</v>
      </c>
      <c r="O1145" s="898">
        <v>12</v>
      </c>
      <c r="P1145" s="899">
        <f t="shared" si="47"/>
        <v>14400</v>
      </c>
    </row>
    <row r="1146" spans="1:16" x14ac:dyDescent="0.2">
      <c r="A1146" s="916" t="s">
        <v>5035</v>
      </c>
      <c r="B1146" s="943" t="s">
        <v>3092</v>
      </c>
      <c r="C1146" s="916" t="s">
        <v>5036</v>
      </c>
      <c r="D1146" s="943" t="s">
        <v>5040</v>
      </c>
      <c r="E1146" s="1144">
        <v>2200</v>
      </c>
      <c r="F1146" s="943" t="s">
        <v>5359</v>
      </c>
      <c r="G1146" s="1245" t="s">
        <v>5360</v>
      </c>
      <c r="H1146" s="1245" t="s">
        <v>517</v>
      </c>
      <c r="I1146" s="1147"/>
      <c r="J1146" s="943"/>
      <c r="K1146" s="944">
        <v>1</v>
      </c>
      <c r="L1146" s="898">
        <v>12</v>
      </c>
      <c r="M1146" s="899">
        <f t="shared" si="46"/>
        <v>26400</v>
      </c>
      <c r="N1146" s="898">
        <v>1</v>
      </c>
      <c r="O1146" s="898">
        <v>12</v>
      </c>
      <c r="P1146" s="899">
        <f t="shared" si="47"/>
        <v>26400</v>
      </c>
    </row>
    <row r="1147" spans="1:16" x14ac:dyDescent="0.2">
      <c r="A1147" s="916" t="s">
        <v>5035</v>
      </c>
      <c r="B1147" s="943" t="s">
        <v>3092</v>
      </c>
      <c r="C1147" s="916" t="s">
        <v>5036</v>
      </c>
      <c r="D1147" s="943" t="s">
        <v>5040</v>
      </c>
      <c r="E1147" s="1144">
        <v>1500</v>
      </c>
      <c r="F1147" s="943" t="s">
        <v>5361</v>
      </c>
      <c r="G1147" s="1245" t="s">
        <v>5362</v>
      </c>
      <c r="H1147" s="1245" t="s">
        <v>3187</v>
      </c>
      <c r="I1147" s="1147"/>
      <c r="J1147" s="943"/>
      <c r="K1147" s="944">
        <v>1</v>
      </c>
      <c r="L1147" s="898">
        <v>12</v>
      </c>
      <c r="M1147" s="899">
        <f t="shared" si="46"/>
        <v>18000</v>
      </c>
      <c r="N1147" s="898">
        <v>1</v>
      </c>
      <c r="O1147" s="898">
        <v>12</v>
      </c>
      <c r="P1147" s="899">
        <f t="shared" si="47"/>
        <v>18000</v>
      </c>
    </row>
    <row r="1148" spans="1:16" ht="24" x14ac:dyDescent="0.2">
      <c r="A1148" s="916" t="s">
        <v>5035</v>
      </c>
      <c r="B1148" s="943" t="s">
        <v>3092</v>
      </c>
      <c r="C1148" s="916" t="s">
        <v>5036</v>
      </c>
      <c r="D1148" s="943" t="s">
        <v>5040</v>
      </c>
      <c r="E1148" s="1144">
        <v>2500</v>
      </c>
      <c r="F1148" s="943" t="s">
        <v>5363</v>
      </c>
      <c r="G1148" s="1245" t="s">
        <v>5364</v>
      </c>
      <c r="H1148" s="1245" t="s">
        <v>566</v>
      </c>
      <c r="I1148" s="1147"/>
      <c r="J1148" s="943"/>
      <c r="K1148" s="944">
        <v>1</v>
      </c>
      <c r="L1148" s="898">
        <v>12</v>
      </c>
      <c r="M1148" s="899">
        <f t="shared" si="46"/>
        <v>30000</v>
      </c>
      <c r="N1148" s="898">
        <v>1</v>
      </c>
      <c r="O1148" s="898">
        <v>12</v>
      </c>
      <c r="P1148" s="899">
        <f t="shared" si="47"/>
        <v>30000</v>
      </c>
    </row>
    <row r="1149" spans="1:16" ht="24" x14ac:dyDescent="0.2">
      <c r="A1149" s="916" t="s">
        <v>5035</v>
      </c>
      <c r="B1149" s="943" t="s">
        <v>3092</v>
      </c>
      <c r="C1149" s="916" t="s">
        <v>5036</v>
      </c>
      <c r="D1149" s="943" t="s">
        <v>491</v>
      </c>
      <c r="E1149" s="1144">
        <v>1000</v>
      </c>
      <c r="F1149" s="943" t="s">
        <v>5365</v>
      </c>
      <c r="G1149" s="1245" t="s">
        <v>5366</v>
      </c>
      <c r="H1149" s="1245" t="s">
        <v>583</v>
      </c>
      <c r="I1149" s="1147"/>
      <c r="J1149" s="943"/>
      <c r="K1149" s="944">
        <v>1</v>
      </c>
      <c r="L1149" s="898">
        <v>12</v>
      </c>
      <c r="M1149" s="899">
        <f t="shared" si="46"/>
        <v>12000</v>
      </c>
      <c r="N1149" s="898">
        <v>1</v>
      </c>
      <c r="O1149" s="898">
        <v>12</v>
      </c>
      <c r="P1149" s="899">
        <f t="shared" si="47"/>
        <v>12000</v>
      </c>
    </row>
    <row r="1150" spans="1:16" ht="24" x14ac:dyDescent="0.2">
      <c r="A1150" s="916" t="s">
        <v>5035</v>
      </c>
      <c r="B1150" s="943" t="s">
        <v>3092</v>
      </c>
      <c r="C1150" s="916" t="s">
        <v>5036</v>
      </c>
      <c r="D1150" s="943" t="s">
        <v>491</v>
      </c>
      <c r="E1150" s="1144">
        <v>1000</v>
      </c>
      <c r="F1150" s="943" t="s">
        <v>5367</v>
      </c>
      <c r="G1150" s="1245" t="s">
        <v>5368</v>
      </c>
      <c r="H1150" s="1245" t="s">
        <v>583</v>
      </c>
      <c r="I1150" s="1147"/>
      <c r="J1150" s="943"/>
      <c r="K1150" s="944">
        <v>1</v>
      </c>
      <c r="L1150" s="898">
        <v>12</v>
      </c>
      <c r="M1150" s="899">
        <f t="shared" si="46"/>
        <v>12000</v>
      </c>
      <c r="N1150" s="898">
        <v>1</v>
      </c>
      <c r="O1150" s="898">
        <v>12</v>
      </c>
      <c r="P1150" s="899">
        <f t="shared" si="47"/>
        <v>12000</v>
      </c>
    </row>
    <row r="1151" spans="1:16" ht="24" x14ac:dyDescent="0.2">
      <c r="A1151" s="916" t="s">
        <v>5035</v>
      </c>
      <c r="B1151" s="943" t="s">
        <v>3092</v>
      </c>
      <c r="C1151" s="916" t="s">
        <v>5036</v>
      </c>
      <c r="D1151" s="943" t="s">
        <v>5040</v>
      </c>
      <c r="E1151" s="1144">
        <v>1200</v>
      </c>
      <c r="F1151" s="943" t="s">
        <v>5369</v>
      </c>
      <c r="G1151" s="1245" t="s">
        <v>5370</v>
      </c>
      <c r="H1151" s="1245" t="s">
        <v>580</v>
      </c>
      <c r="I1151" s="1147"/>
      <c r="J1151" s="943"/>
      <c r="K1151" s="944">
        <v>1</v>
      </c>
      <c r="L1151" s="898">
        <v>12</v>
      </c>
      <c r="M1151" s="899">
        <f t="shared" si="46"/>
        <v>14400</v>
      </c>
      <c r="N1151" s="898">
        <v>1</v>
      </c>
      <c r="O1151" s="898">
        <v>12</v>
      </c>
      <c r="P1151" s="899">
        <f t="shared" si="47"/>
        <v>14400</v>
      </c>
    </row>
    <row r="1152" spans="1:16" x14ac:dyDescent="0.2">
      <c r="A1152" s="916" t="s">
        <v>5035</v>
      </c>
      <c r="B1152" s="943" t="s">
        <v>3092</v>
      </c>
      <c r="C1152" s="916" t="s">
        <v>5036</v>
      </c>
      <c r="D1152" s="943" t="s">
        <v>5040</v>
      </c>
      <c r="E1152" s="1144">
        <v>1200</v>
      </c>
      <c r="F1152" s="943" t="s">
        <v>5371</v>
      </c>
      <c r="G1152" s="1245" t="s">
        <v>5372</v>
      </c>
      <c r="H1152" s="1245" t="s">
        <v>3164</v>
      </c>
      <c r="I1152" s="1147"/>
      <c r="J1152" s="943"/>
      <c r="K1152" s="944">
        <v>1</v>
      </c>
      <c r="L1152" s="898">
        <v>12</v>
      </c>
      <c r="M1152" s="899">
        <f t="shared" si="46"/>
        <v>14400</v>
      </c>
      <c r="N1152" s="898">
        <v>1</v>
      </c>
      <c r="O1152" s="898">
        <v>12</v>
      </c>
      <c r="P1152" s="899">
        <f t="shared" si="47"/>
        <v>14400</v>
      </c>
    </row>
    <row r="1153" spans="1:16" ht="24" x14ac:dyDescent="0.2">
      <c r="A1153" s="916" t="s">
        <v>5035</v>
      </c>
      <c r="B1153" s="943" t="s">
        <v>3092</v>
      </c>
      <c r="C1153" s="916" t="s">
        <v>5036</v>
      </c>
      <c r="D1153" s="943" t="s">
        <v>5040</v>
      </c>
      <c r="E1153" s="1144">
        <v>2500</v>
      </c>
      <c r="F1153" s="943" t="s">
        <v>5373</v>
      </c>
      <c r="G1153" s="1245" t="s">
        <v>5374</v>
      </c>
      <c r="H1153" s="1245" t="s">
        <v>5063</v>
      </c>
      <c r="I1153" s="1147"/>
      <c r="J1153" s="943"/>
      <c r="K1153" s="944">
        <v>1</v>
      </c>
      <c r="L1153" s="898">
        <v>12</v>
      </c>
      <c r="M1153" s="899">
        <f t="shared" si="46"/>
        <v>30000</v>
      </c>
      <c r="N1153" s="898">
        <v>1</v>
      </c>
      <c r="O1153" s="898">
        <v>12</v>
      </c>
      <c r="P1153" s="899">
        <f t="shared" si="47"/>
        <v>30000</v>
      </c>
    </row>
    <row r="1154" spans="1:16" ht="24" x14ac:dyDescent="0.2">
      <c r="A1154" s="916" t="s">
        <v>5035</v>
      </c>
      <c r="B1154" s="943" t="s">
        <v>3092</v>
      </c>
      <c r="C1154" s="916" t="s">
        <v>5036</v>
      </c>
      <c r="D1154" s="943" t="s">
        <v>5040</v>
      </c>
      <c r="E1154" s="1144">
        <v>1000</v>
      </c>
      <c r="F1154" s="943" t="s">
        <v>5375</v>
      </c>
      <c r="G1154" s="1245" t="s">
        <v>5376</v>
      </c>
      <c r="H1154" s="1245" t="s">
        <v>5095</v>
      </c>
      <c r="I1154" s="1147"/>
      <c r="J1154" s="943"/>
      <c r="K1154" s="944">
        <v>1</v>
      </c>
      <c r="L1154" s="898">
        <v>12</v>
      </c>
      <c r="M1154" s="899">
        <f t="shared" si="46"/>
        <v>12000</v>
      </c>
      <c r="N1154" s="898">
        <v>1</v>
      </c>
      <c r="O1154" s="898">
        <v>12</v>
      </c>
      <c r="P1154" s="899">
        <f t="shared" si="47"/>
        <v>12000</v>
      </c>
    </row>
    <row r="1155" spans="1:16" x14ac:dyDescent="0.2">
      <c r="A1155" s="916" t="s">
        <v>5035</v>
      </c>
      <c r="B1155" s="943" t="s">
        <v>3092</v>
      </c>
      <c r="C1155" s="916" t="s">
        <v>5036</v>
      </c>
      <c r="D1155" s="943" t="s">
        <v>5040</v>
      </c>
      <c r="E1155" s="1144">
        <v>2500</v>
      </c>
      <c r="F1155" s="943" t="s">
        <v>5377</v>
      </c>
      <c r="G1155" s="1245" t="s">
        <v>5378</v>
      </c>
      <c r="H1155" s="1245" t="s">
        <v>5063</v>
      </c>
      <c r="I1155" s="1147"/>
      <c r="J1155" s="943"/>
      <c r="K1155" s="944">
        <v>1</v>
      </c>
      <c r="L1155" s="898">
        <v>12</v>
      </c>
      <c r="M1155" s="899">
        <f t="shared" si="46"/>
        <v>30000</v>
      </c>
      <c r="N1155" s="898">
        <v>1</v>
      </c>
      <c r="O1155" s="898">
        <v>12</v>
      </c>
      <c r="P1155" s="899">
        <f t="shared" si="47"/>
        <v>30000</v>
      </c>
    </row>
    <row r="1156" spans="1:16" ht="24" x14ac:dyDescent="0.2">
      <c r="A1156" s="916" t="s">
        <v>5035</v>
      </c>
      <c r="B1156" s="943" t="s">
        <v>3092</v>
      </c>
      <c r="C1156" s="916" t="s">
        <v>5036</v>
      </c>
      <c r="D1156" s="943" t="s">
        <v>491</v>
      </c>
      <c r="E1156" s="1144">
        <v>1000</v>
      </c>
      <c r="F1156" s="943" t="s">
        <v>5379</v>
      </c>
      <c r="G1156" s="1245" t="s">
        <v>5380</v>
      </c>
      <c r="H1156" s="1245" t="s">
        <v>583</v>
      </c>
      <c r="I1156" s="1147"/>
      <c r="J1156" s="943"/>
      <c r="K1156" s="944">
        <v>1</v>
      </c>
      <c r="L1156" s="898">
        <v>12</v>
      </c>
      <c r="M1156" s="899">
        <f t="shared" si="46"/>
        <v>12000</v>
      </c>
      <c r="N1156" s="898">
        <v>1</v>
      </c>
      <c r="O1156" s="898">
        <v>12</v>
      </c>
      <c r="P1156" s="899">
        <f t="shared" si="47"/>
        <v>12000</v>
      </c>
    </row>
    <row r="1157" spans="1:16" x14ac:dyDescent="0.2">
      <c r="A1157" s="916" t="s">
        <v>5035</v>
      </c>
      <c r="B1157" s="943" t="s">
        <v>3092</v>
      </c>
      <c r="C1157" s="916" t="s">
        <v>5036</v>
      </c>
      <c r="D1157" s="943" t="s">
        <v>5040</v>
      </c>
      <c r="E1157" s="1144">
        <v>1200</v>
      </c>
      <c r="F1157" s="943" t="s">
        <v>5381</v>
      </c>
      <c r="G1157" s="1245" t="s">
        <v>5382</v>
      </c>
      <c r="H1157" s="1245" t="s">
        <v>5084</v>
      </c>
      <c r="I1157" s="1147"/>
      <c r="J1157" s="943"/>
      <c r="K1157" s="944">
        <v>1</v>
      </c>
      <c r="L1157" s="898">
        <v>12</v>
      </c>
      <c r="M1157" s="899">
        <f t="shared" si="46"/>
        <v>14400</v>
      </c>
      <c r="N1157" s="898">
        <v>1</v>
      </c>
      <c r="O1157" s="898">
        <v>12</v>
      </c>
      <c r="P1157" s="899">
        <f t="shared" si="47"/>
        <v>14400</v>
      </c>
    </row>
    <row r="1158" spans="1:16" x14ac:dyDescent="0.2">
      <c r="A1158" s="916" t="s">
        <v>5035</v>
      </c>
      <c r="B1158" s="943" t="s">
        <v>3092</v>
      </c>
      <c r="C1158" s="916" t="s">
        <v>5036</v>
      </c>
      <c r="D1158" s="943" t="s">
        <v>5040</v>
      </c>
      <c r="E1158" s="1144">
        <v>2500</v>
      </c>
      <c r="F1158" s="943" t="s">
        <v>5383</v>
      </c>
      <c r="G1158" s="1245" t="s">
        <v>5384</v>
      </c>
      <c r="H1158" s="1245" t="s">
        <v>5063</v>
      </c>
      <c r="I1158" s="1147"/>
      <c r="J1158" s="943"/>
      <c r="K1158" s="944">
        <v>1</v>
      </c>
      <c r="L1158" s="898">
        <v>12</v>
      </c>
      <c r="M1158" s="899">
        <f t="shared" si="46"/>
        <v>30000</v>
      </c>
      <c r="N1158" s="898">
        <v>1</v>
      </c>
      <c r="O1158" s="898">
        <v>12</v>
      </c>
      <c r="P1158" s="899">
        <f t="shared" si="47"/>
        <v>30000</v>
      </c>
    </row>
    <row r="1159" spans="1:16" x14ac:dyDescent="0.2">
      <c r="A1159" s="916" t="s">
        <v>5035</v>
      </c>
      <c r="B1159" s="943" t="s">
        <v>3092</v>
      </c>
      <c r="C1159" s="916" t="s">
        <v>5036</v>
      </c>
      <c r="D1159" s="943" t="s">
        <v>5040</v>
      </c>
      <c r="E1159" s="1144">
        <v>1800</v>
      </c>
      <c r="F1159" s="943" t="s">
        <v>5385</v>
      </c>
      <c r="G1159" s="1245" t="s">
        <v>5386</v>
      </c>
      <c r="H1159" s="1245" t="s">
        <v>581</v>
      </c>
      <c r="I1159" s="1147"/>
      <c r="J1159" s="943"/>
      <c r="K1159" s="944">
        <v>1</v>
      </c>
      <c r="L1159" s="898">
        <v>12</v>
      </c>
      <c r="M1159" s="899">
        <f t="shared" si="46"/>
        <v>21600</v>
      </c>
      <c r="N1159" s="898">
        <v>1</v>
      </c>
      <c r="O1159" s="898">
        <v>12</v>
      </c>
      <c r="P1159" s="899">
        <f t="shared" si="47"/>
        <v>21600</v>
      </c>
    </row>
    <row r="1160" spans="1:16" x14ac:dyDescent="0.2">
      <c r="A1160" s="916" t="s">
        <v>5035</v>
      </c>
      <c r="B1160" s="943" t="s">
        <v>3092</v>
      </c>
      <c r="C1160" s="916" t="s">
        <v>5036</v>
      </c>
      <c r="D1160" s="943" t="s">
        <v>5040</v>
      </c>
      <c r="E1160" s="1144">
        <v>2500</v>
      </c>
      <c r="F1160" s="943" t="s">
        <v>5387</v>
      </c>
      <c r="G1160" s="1245" t="s">
        <v>5388</v>
      </c>
      <c r="H1160" s="1245" t="s">
        <v>5063</v>
      </c>
      <c r="I1160" s="1147"/>
      <c r="J1160" s="943"/>
      <c r="K1160" s="944">
        <v>1</v>
      </c>
      <c r="L1160" s="898">
        <v>12</v>
      </c>
      <c r="M1160" s="899">
        <f t="shared" si="46"/>
        <v>30000</v>
      </c>
      <c r="N1160" s="898">
        <v>1</v>
      </c>
      <c r="O1160" s="898">
        <v>12</v>
      </c>
      <c r="P1160" s="899">
        <f t="shared" si="47"/>
        <v>30000</v>
      </c>
    </row>
    <row r="1161" spans="1:16" ht="24" x14ac:dyDescent="0.2">
      <c r="A1161" s="916" t="s">
        <v>5035</v>
      </c>
      <c r="B1161" s="943" t="s">
        <v>3092</v>
      </c>
      <c r="C1161" s="916" t="s">
        <v>5036</v>
      </c>
      <c r="D1161" s="943" t="s">
        <v>5040</v>
      </c>
      <c r="E1161" s="1144">
        <v>1500</v>
      </c>
      <c r="F1161" s="943" t="s">
        <v>5389</v>
      </c>
      <c r="G1161" s="1245" t="s">
        <v>5390</v>
      </c>
      <c r="H1161" s="1245" t="s">
        <v>5058</v>
      </c>
      <c r="I1161" s="1147"/>
      <c r="J1161" s="943"/>
      <c r="K1161" s="944">
        <v>1</v>
      </c>
      <c r="L1161" s="898">
        <v>12</v>
      </c>
      <c r="M1161" s="899">
        <f t="shared" si="46"/>
        <v>18000</v>
      </c>
      <c r="N1161" s="898">
        <v>1</v>
      </c>
      <c r="O1161" s="898">
        <v>12</v>
      </c>
      <c r="P1161" s="899">
        <f t="shared" si="47"/>
        <v>18000</v>
      </c>
    </row>
    <row r="1162" spans="1:16" x14ac:dyDescent="0.2">
      <c r="A1162" s="916" t="s">
        <v>5035</v>
      </c>
      <c r="B1162" s="943" t="s">
        <v>3092</v>
      </c>
      <c r="C1162" s="916" t="s">
        <v>5036</v>
      </c>
      <c r="D1162" s="943" t="s">
        <v>5040</v>
      </c>
      <c r="E1162" s="1144">
        <v>2500</v>
      </c>
      <c r="F1162" s="943" t="s">
        <v>5391</v>
      </c>
      <c r="G1162" s="1245" t="s">
        <v>5392</v>
      </c>
      <c r="H1162" s="1245" t="s">
        <v>5063</v>
      </c>
      <c r="I1162" s="1147"/>
      <c r="J1162" s="943"/>
      <c r="K1162" s="944">
        <v>1</v>
      </c>
      <c r="L1162" s="898">
        <v>12</v>
      </c>
      <c r="M1162" s="899">
        <f t="shared" si="46"/>
        <v>30000</v>
      </c>
      <c r="N1162" s="898">
        <v>1</v>
      </c>
      <c r="O1162" s="898">
        <v>12</v>
      </c>
      <c r="P1162" s="899">
        <f t="shared" si="47"/>
        <v>30000</v>
      </c>
    </row>
    <row r="1163" spans="1:16" ht="24" x14ac:dyDescent="0.2">
      <c r="A1163" s="916" t="s">
        <v>5035</v>
      </c>
      <c r="B1163" s="943" t="s">
        <v>3092</v>
      </c>
      <c r="C1163" s="916" t="s">
        <v>5036</v>
      </c>
      <c r="D1163" s="943" t="s">
        <v>491</v>
      </c>
      <c r="E1163" s="1144">
        <v>1000</v>
      </c>
      <c r="F1163" s="943" t="s">
        <v>5393</v>
      </c>
      <c r="G1163" s="1245" t="s">
        <v>5394</v>
      </c>
      <c r="H1163" s="1245" t="s">
        <v>583</v>
      </c>
      <c r="I1163" s="1147"/>
      <c r="J1163" s="943"/>
      <c r="K1163" s="944">
        <v>1</v>
      </c>
      <c r="L1163" s="898">
        <v>12</v>
      </c>
      <c r="M1163" s="899">
        <f t="shared" si="46"/>
        <v>12000</v>
      </c>
      <c r="N1163" s="898">
        <v>1</v>
      </c>
      <c r="O1163" s="898">
        <v>12</v>
      </c>
      <c r="P1163" s="899">
        <f t="shared" si="47"/>
        <v>12000</v>
      </c>
    </row>
    <row r="1164" spans="1:16" x14ac:dyDescent="0.2">
      <c r="A1164" s="916" t="s">
        <v>5035</v>
      </c>
      <c r="B1164" s="943" t="s">
        <v>3092</v>
      </c>
      <c r="C1164" s="916" t="s">
        <v>5036</v>
      </c>
      <c r="D1164" s="943" t="s">
        <v>5040</v>
      </c>
      <c r="E1164" s="1144">
        <v>2200</v>
      </c>
      <c r="F1164" s="943" t="s">
        <v>5395</v>
      </c>
      <c r="G1164" s="1245" t="s">
        <v>5396</v>
      </c>
      <c r="H1164" s="1245" t="s">
        <v>517</v>
      </c>
      <c r="I1164" s="1147"/>
      <c r="J1164" s="943"/>
      <c r="K1164" s="944">
        <v>1</v>
      </c>
      <c r="L1164" s="898">
        <v>12</v>
      </c>
      <c r="M1164" s="899">
        <f t="shared" si="46"/>
        <v>26400</v>
      </c>
      <c r="N1164" s="898">
        <v>1</v>
      </c>
      <c r="O1164" s="898">
        <v>12</v>
      </c>
      <c r="P1164" s="899">
        <f t="shared" si="47"/>
        <v>26400</v>
      </c>
    </row>
    <row r="1165" spans="1:16" ht="24" x14ac:dyDescent="0.2">
      <c r="A1165" s="916" t="s">
        <v>5035</v>
      </c>
      <c r="B1165" s="943" t="s">
        <v>3092</v>
      </c>
      <c r="C1165" s="916" t="s">
        <v>5036</v>
      </c>
      <c r="D1165" s="943" t="s">
        <v>491</v>
      </c>
      <c r="E1165" s="1144">
        <v>1557</v>
      </c>
      <c r="F1165" s="943" t="s">
        <v>5397</v>
      </c>
      <c r="G1165" s="1245" t="s">
        <v>5398</v>
      </c>
      <c r="H1165" s="1245" t="s">
        <v>3112</v>
      </c>
      <c r="I1165" s="1147"/>
      <c r="J1165" s="943"/>
      <c r="K1165" s="944">
        <v>1</v>
      </c>
      <c r="L1165" s="898">
        <v>12</v>
      </c>
      <c r="M1165" s="899">
        <f t="shared" si="46"/>
        <v>18684</v>
      </c>
      <c r="N1165" s="898">
        <v>1</v>
      </c>
      <c r="O1165" s="898">
        <v>12</v>
      </c>
      <c r="P1165" s="899">
        <f t="shared" si="47"/>
        <v>18684</v>
      </c>
    </row>
    <row r="1166" spans="1:16" x14ac:dyDescent="0.2">
      <c r="A1166" s="916" t="s">
        <v>5035</v>
      </c>
      <c r="B1166" s="943" t="s">
        <v>3092</v>
      </c>
      <c r="C1166" s="916" t="s">
        <v>5036</v>
      </c>
      <c r="D1166" s="943" t="s">
        <v>5040</v>
      </c>
      <c r="E1166" s="1144">
        <v>2200</v>
      </c>
      <c r="F1166" s="943" t="s">
        <v>5399</v>
      </c>
      <c r="G1166" s="1245" t="s">
        <v>5400</v>
      </c>
      <c r="H1166" s="1245" t="s">
        <v>5106</v>
      </c>
      <c r="I1166" s="1147"/>
      <c r="J1166" s="943"/>
      <c r="K1166" s="944">
        <v>1</v>
      </c>
      <c r="L1166" s="898">
        <v>12</v>
      </c>
      <c r="M1166" s="899">
        <f t="shared" si="46"/>
        <v>26400</v>
      </c>
      <c r="N1166" s="898">
        <v>1</v>
      </c>
      <c r="O1166" s="898">
        <v>12</v>
      </c>
      <c r="P1166" s="899">
        <f t="shared" si="47"/>
        <v>26400</v>
      </c>
    </row>
    <row r="1167" spans="1:16" ht="24" x14ac:dyDescent="0.2">
      <c r="A1167" s="916" t="s">
        <v>5035</v>
      </c>
      <c r="B1167" s="943" t="s">
        <v>3092</v>
      </c>
      <c r="C1167" s="916" t="s">
        <v>5036</v>
      </c>
      <c r="D1167" s="943" t="s">
        <v>5040</v>
      </c>
      <c r="E1167" s="1144">
        <v>1132</v>
      </c>
      <c r="F1167" s="943" t="s">
        <v>5401</v>
      </c>
      <c r="G1167" s="1245" t="s">
        <v>5402</v>
      </c>
      <c r="H1167" s="1245" t="s">
        <v>5043</v>
      </c>
      <c r="I1167" s="1147"/>
      <c r="J1167" s="943"/>
      <c r="K1167" s="944">
        <v>1</v>
      </c>
      <c r="L1167" s="898">
        <v>12</v>
      </c>
      <c r="M1167" s="899">
        <f t="shared" si="46"/>
        <v>13584</v>
      </c>
      <c r="N1167" s="898">
        <v>1</v>
      </c>
      <c r="O1167" s="898">
        <v>12</v>
      </c>
      <c r="P1167" s="899">
        <f t="shared" si="47"/>
        <v>13584</v>
      </c>
    </row>
    <row r="1168" spans="1:16" x14ac:dyDescent="0.2">
      <c r="A1168" s="916" t="s">
        <v>5035</v>
      </c>
      <c r="B1168" s="943" t="s">
        <v>3092</v>
      </c>
      <c r="C1168" s="916" t="s">
        <v>5036</v>
      </c>
      <c r="D1168" s="943" t="s">
        <v>5040</v>
      </c>
      <c r="E1168" s="1144">
        <v>2500</v>
      </c>
      <c r="F1168" s="943" t="s">
        <v>5403</v>
      </c>
      <c r="G1168" s="1245" t="s">
        <v>5404</v>
      </c>
      <c r="H1168" s="1245" t="s">
        <v>5063</v>
      </c>
      <c r="I1168" s="1147"/>
      <c r="J1168" s="943"/>
      <c r="K1168" s="944">
        <v>1</v>
      </c>
      <c r="L1168" s="898">
        <v>12</v>
      </c>
      <c r="M1168" s="899">
        <f t="shared" si="46"/>
        <v>30000</v>
      </c>
      <c r="N1168" s="898">
        <v>1</v>
      </c>
      <c r="O1168" s="898">
        <v>12</v>
      </c>
      <c r="P1168" s="899">
        <f t="shared" si="47"/>
        <v>30000</v>
      </c>
    </row>
    <row r="1169" spans="1:16" ht="24" x14ac:dyDescent="0.2">
      <c r="A1169" s="916" t="s">
        <v>5035</v>
      </c>
      <c r="B1169" s="943" t="s">
        <v>3092</v>
      </c>
      <c r="C1169" s="916" t="s">
        <v>5036</v>
      </c>
      <c r="D1169" s="943" t="s">
        <v>5040</v>
      </c>
      <c r="E1169" s="1144">
        <v>1200</v>
      </c>
      <c r="F1169" s="943" t="s">
        <v>5405</v>
      </c>
      <c r="G1169" s="1245" t="s">
        <v>5406</v>
      </c>
      <c r="H1169" s="1245" t="s">
        <v>5043</v>
      </c>
      <c r="I1169" s="1147"/>
      <c r="J1169" s="943"/>
      <c r="K1169" s="944">
        <v>1</v>
      </c>
      <c r="L1169" s="898">
        <v>12</v>
      </c>
      <c r="M1169" s="899">
        <f t="shared" si="46"/>
        <v>14400</v>
      </c>
      <c r="N1169" s="898">
        <v>1</v>
      </c>
      <c r="O1169" s="898">
        <v>12</v>
      </c>
      <c r="P1169" s="899">
        <f t="shared" si="47"/>
        <v>14400</v>
      </c>
    </row>
    <row r="1170" spans="1:16" ht="24" x14ac:dyDescent="0.2">
      <c r="A1170" s="916" t="s">
        <v>5035</v>
      </c>
      <c r="B1170" s="943" t="s">
        <v>3092</v>
      </c>
      <c r="C1170" s="916" t="s">
        <v>5036</v>
      </c>
      <c r="D1170" s="943" t="s">
        <v>5040</v>
      </c>
      <c r="E1170" s="1144">
        <v>1200</v>
      </c>
      <c r="F1170" s="943" t="s">
        <v>5407</v>
      </c>
      <c r="G1170" s="1245" t="s">
        <v>5408</v>
      </c>
      <c r="H1170" s="1245" t="s">
        <v>5133</v>
      </c>
      <c r="I1170" s="1147"/>
      <c r="J1170" s="943"/>
      <c r="K1170" s="944">
        <v>1</v>
      </c>
      <c r="L1170" s="898">
        <v>12</v>
      </c>
      <c r="M1170" s="899">
        <f t="shared" si="46"/>
        <v>14400</v>
      </c>
      <c r="N1170" s="898">
        <v>1</v>
      </c>
      <c r="O1170" s="898">
        <v>12</v>
      </c>
      <c r="P1170" s="899">
        <f t="shared" si="47"/>
        <v>14400</v>
      </c>
    </row>
    <row r="1171" spans="1:16" x14ac:dyDescent="0.2">
      <c r="A1171" s="916" t="s">
        <v>5035</v>
      </c>
      <c r="B1171" s="943" t="s">
        <v>3092</v>
      </c>
      <c r="C1171" s="916" t="s">
        <v>5036</v>
      </c>
      <c r="D1171" s="943" t="s">
        <v>5040</v>
      </c>
      <c r="E1171" s="1144">
        <v>2200</v>
      </c>
      <c r="F1171" s="943" t="s">
        <v>5409</v>
      </c>
      <c r="G1171" s="1245" t="s">
        <v>5410</v>
      </c>
      <c r="H1171" s="1245" t="s">
        <v>5106</v>
      </c>
      <c r="I1171" s="1147"/>
      <c r="J1171" s="943"/>
      <c r="K1171" s="944">
        <v>1</v>
      </c>
      <c r="L1171" s="898">
        <v>12</v>
      </c>
      <c r="M1171" s="899">
        <f t="shared" si="46"/>
        <v>26400</v>
      </c>
      <c r="N1171" s="898">
        <v>1</v>
      </c>
      <c r="O1171" s="898">
        <v>12</v>
      </c>
      <c r="P1171" s="899">
        <f t="shared" si="47"/>
        <v>26400</v>
      </c>
    </row>
    <row r="1172" spans="1:16" ht="24" x14ac:dyDescent="0.2">
      <c r="A1172" s="916" t="s">
        <v>5035</v>
      </c>
      <c r="B1172" s="943" t="s">
        <v>3092</v>
      </c>
      <c r="C1172" s="916" t="s">
        <v>5036</v>
      </c>
      <c r="D1172" s="943" t="s">
        <v>5040</v>
      </c>
      <c r="E1172" s="1144">
        <v>1200</v>
      </c>
      <c r="F1172" s="943" t="s">
        <v>5411</v>
      </c>
      <c r="G1172" s="1245" t="s">
        <v>5412</v>
      </c>
      <c r="H1172" s="1245" t="s">
        <v>5043</v>
      </c>
      <c r="I1172" s="1147"/>
      <c r="J1172" s="943"/>
      <c r="K1172" s="944">
        <v>1</v>
      </c>
      <c r="L1172" s="898">
        <v>12</v>
      </c>
      <c r="M1172" s="899">
        <f t="shared" si="46"/>
        <v>14400</v>
      </c>
      <c r="N1172" s="898">
        <v>1</v>
      </c>
      <c r="O1172" s="898">
        <v>12</v>
      </c>
      <c r="P1172" s="899">
        <f t="shared" si="47"/>
        <v>14400</v>
      </c>
    </row>
    <row r="1173" spans="1:16" ht="24" x14ac:dyDescent="0.2">
      <c r="A1173" s="916" t="s">
        <v>5035</v>
      </c>
      <c r="B1173" s="943" t="s">
        <v>3092</v>
      </c>
      <c r="C1173" s="916" t="s">
        <v>5036</v>
      </c>
      <c r="D1173" s="943" t="s">
        <v>491</v>
      </c>
      <c r="E1173" s="1144">
        <v>1000</v>
      </c>
      <c r="F1173" s="943" t="s">
        <v>5413</v>
      </c>
      <c r="G1173" s="1245" t="s">
        <v>5414</v>
      </c>
      <c r="H1173" s="1245" t="s">
        <v>583</v>
      </c>
      <c r="I1173" s="1147"/>
      <c r="J1173" s="943"/>
      <c r="K1173" s="944">
        <v>1</v>
      </c>
      <c r="L1173" s="898">
        <v>12</v>
      </c>
      <c r="M1173" s="899">
        <f t="shared" si="46"/>
        <v>12000</v>
      </c>
      <c r="N1173" s="898">
        <v>1</v>
      </c>
      <c r="O1173" s="898">
        <v>12</v>
      </c>
      <c r="P1173" s="899">
        <f t="shared" si="47"/>
        <v>12000</v>
      </c>
    </row>
    <row r="1174" spans="1:16" x14ac:dyDescent="0.2">
      <c r="A1174" s="916" t="s">
        <v>5035</v>
      </c>
      <c r="B1174" s="943" t="s">
        <v>3092</v>
      </c>
      <c r="C1174" s="916" t="s">
        <v>5036</v>
      </c>
      <c r="D1174" s="943" t="s">
        <v>491</v>
      </c>
      <c r="E1174" s="1144">
        <v>2175</v>
      </c>
      <c r="F1174" s="943" t="s">
        <v>5415</v>
      </c>
      <c r="G1174" s="1245" t="s">
        <v>5416</v>
      </c>
      <c r="H1174" s="1245" t="s">
        <v>3129</v>
      </c>
      <c r="I1174" s="1147"/>
      <c r="J1174" s="943"/>
      <c r="K1174" s="944">
        <v>1</v>
      </c>
      <c r="L1174" s="898">
        <v>12</v>
      </c>
      <c r="M1174" s="899">
        <f t="shared" si="46"/>
        <v>26100</v>
      </c>
      <c r="N1174" s="898">
        <v>1</v>
      </c>
      <c r="O1174" s="898">
        <v>12</v>
      </c>
      <c r="P1174" s="899">
        <f t="shared" si="47"/>
        <v>26100</v>
      </c>
    </row>
    <row r="1175" spans="1:16" x14ac:dyDescent="0.2">
      <c r="A1175" s="916" t="s">
        <v>5035</v>
      </c>
      <c r="B1175" s="943" t="s">
        <v>3092</v>
      </c>
      <c r="C1175" s="916" t="s">
        <v>5036</v>
      </c>
      <c r="D1175" s="943" t="s">
        <v>5040</v>
      </c>
      <c r="E1175" s="1144">
        <v>3000</v>
      </c>
      <c r="F1175" s="943" t="s">
        <v>5417</v>
      </c>
      <c r="G1175" s="1245" t="s">
        <v>5418</v>
      </c>
      <c r="H1175" s="1245" t="s">
        <v>517</v>
      </c>
      <c r="I1175" s="1147"/>
      <c r="J1175" s="943"/>
      <c r="K1175" s="944">
        <v>1</v>
      </c>
      <c r="L1175" s="898">
        <v>12</v>
      </c>
      <c r="M1175" s="899">
        <f t="shared" si="46"/>
        <v>36000</v>
      </c>
      <c r="N1175" s="898">
        <v>1</v>
      </c>
      <c r="O1175" s="898">
        <v>12</v>
      </c>
      <c r="P1175" s="899">
        <f t="shared" si="47"/>
        <v>36000</v>
      </c>
    </row>
    <row r="1176" spans="1:16" x14ac:dyDescent="0.2">
      <c r="A1176" s="916" t="s">
        <v>5035</v>
      </c>
      <c r="B1176" s="943" t="s">
        <v>3092</v>
      </c>
      <c r="C1176" s="916" t="s">
        <v>5036</v>
      </c>
      <c r="D1176" s="943" t="s">
        <v>491</v>
      </c>
      <c r="E1176" s="1144">
        <v>1183</v>
      </c>
      <c r="F1176" s="943" t="s">
        <v>5419</v>
      </c>
      <c r="G1176" s="1245" t="s">
        <v>5420</v>
      </c>
      <c r="H1176" s="1245" t="s">
        <v>3284</v>
      </c>
      <c r="I1176" s="1147"/>
      <c r="J1176" s="943"/>
      <c r="K1176" s="944">
        <v>1</v>
      </c>
      <c r="L1176" s="898">
        <v>12</v>
      </c>
      <c r="M1176" s="899">
        <f t="shared" si="46"/>
        <v>14196</v>
      </c>
      <c r="N1176" s="898">
        <v>1</v>
      </c>
      <c r="O1176" s="898">
        <v>12</v>
      </c>
      <c r="P1176" s="899">
        <f t="shared" si="47"/>
        <v>14196</v>
      </c>
    </row>
    <row r="1177" spans="1:16" x14ac:dyDescent="0.2">
      <c r="A1177" s="916" t="s">
        <v>5035</v>
      </c>
      <c r="B1177" s="943" t="s">
        <v>3092</v>
      </c>
      <c r="C1177" s="916" t="s">
        <v>5036</v>
      </c>
      <c r="D1177" s="943" t="s">
        <v>5040</v>
      </c>
      <c r="E1177" s="1144">
        <v>3000</v>
      </c>
      <c r="F1177" s="943" t="s">
        <v>5421</v>
      </c>
      <c r="G1177" s="1245" t="s">
        <v>5422</v>
      </c>
      <c r="H1177" s="1245" t="s">
        <v>517</v>
      </c>
      <c r="I1177" s="1147"/>
      <c r="J1177" s="943"/>
      <c r="K1177" s="944">
        <v>1</v>
      </c>
      <c r="L1177" s="898">
        <v>12</v>
      </c>
      <c r="M1177" s="899">
        <f t="shared" si="46"/>
        <v>36000</v>
      </c>
      <c r="N1177" s="898">
        <v>1</v>
      </c>
      <c r="O1177" s="898">
        <v>12</v>
      </c>
      <c r="P1177" s="899">
        <f t="shared" si="47"/>
        <v>36000</v>
      </c>
    </row>
    <row r="1178" spans="1:16" x14ac:dyDescent="0.2">
      <c r="A1178" s="916" t="s">
        <v>5035</v>
      </c>
      <c r="B1178" s="943" t="s">
        <v>3092</v>
      </c>
      <c r="C1178" s="916" t="s">
        <v>5036</v>
      </c>
      <c r="D1178" s="943" t="s">
        <v>5040</v>
      </c>
      <c r="E1178" s="1144">
        <v>1000</v>
      </c>
      <c r="F1178" s="943" t="s">
        <v>5423</v>
      </c>
      <c r="G1178" s="1245" t="s">
        <v>5424</v>
      </c>
      <c r="H1178" s="1245" t="s">
        <v>3187</v>
      </c>
      <c r="I1178" s="1147"/>
      <c r="J1178" s="943"/>
      <c r="K1178" s="944">
        <v>1</v>
      </c>
      <c r="L1178" s="898">
        <v>12</v>
      </c>
      <c r="M1178" s="899">
        <f t="shared" si="46"/>
        <v>12000</v>
      </c>
      <c r="N1178" s="898">
        <v>1</v>
      </c>
      <c r="O1178" s="898">
        <v>12</v>
      </c>
      <c r="P1178" s="899">
        <f t="shared" si="47"/>
        <v>12000</v>
      </c>
    </row>
    <row r="1179" spans="1:16" x14ac:dyDescent="0.2">
      <c r="A1179" s="916" t="s">
        <v>5035</v>
      </c>
      <c r="B1179" s="943" t="s">
        <v>3092</v>
      </c>
      <c r="C1179" s="916" t="s">
        <v>5036</v>
      </c>
      <c r="D1179" s="943" t="s">
        <v>5040</v>
      </c>
      <c r="E1179" s="1144">
        <v>2200</v>
      </c>
      <c r="F1179" s="943" t="s">
        <v>5425</v>
      </c>
      <c r="G1179" s="1245" t="s">
        <v>5426</v>
      </c>
      <c r="H1179" s="1245" t="s">
        <v>5205</v>
      </c>
      <c r="I1179" s="1147"/>
      <c r="J1179" s="943"/>
      <c r="K1179" s="944">
        <v>1</v>
      </c>
      <c r="L1179" s="898">
        <v>12</v>
      </c>
      <c r="M1179" s="899">
        <f t="shared" si="46"/>
        <v>26400</v>
      </c>
      <c r="N1179" s="898">
        <v>1</v>
      </c>
      <c r="O1179" s="898">
        <v>12</v>
      </c>
      <c r="P1179" s="899">
        <f t="shared" si="47"/>
        <v>26400</v>
      </c>
    </row>
    <row r="1180" spans="1:16" ht="24" x14ac:dyDescent="0.2">
      <c r="A1180" s="916" t="s">
        <v>5035</v>
      </c>
      <c r="B1180" s="943" t="s">
        <v>3092</v>
      </c>
      <c r="C1180" s="916" t="s">
        <v>5036</v>
      </c>
      <c r="D1180" s="943" t="s">
        <v>5040</v>
      </c>
      <c r="E1180" s="1144">
        <v>1200</v>
      </c>
      <c r="F1180" s="943" t="s">
        <v>5427</v>
      </c>
      <c r="G1180" s="1245" t="s">
        <v>5428</v>
      </c>
      <c r="H1180" s="1245" t="s">
        <v>5043</v>
      </c>
      <c r="I1180" s="1147"/>
      <c r="J1180" s="943"/>
      <c r="K1180" s="944">
        <v>1</v>
      </c>
      <c r="L1180" s="898">
        <v>12</v>
      </c>
      <c r="M1180" s="899">
        <f t="shared" si="46"/>
        <v>14400</v>
      </c>
      <c r="N1180" s="898">
        <v>1</v>
      </c>
      <c r="O1180" s="898">
        <v>12</v>
      </c>
      <c r="P1180" s="899">
        <f t="shared" si="47"/>
        <v>14400</v>
      </c>
    </row>
    <row r="1181" spans="1:16" ht="24" x14ac:dyDescent="0.2">
      <c r="A1181" s="916" t="s">
        <v>5035</v>
      </c>
      <c r="B1181" s="943" t="s">
        <v>3092</v>
      </c>
      <c r="C1181" s="916" t="s">
        <v>5036</v>
      </c>
      <c r="D1181" s="943" t="s">
        <v>491</v>
      </c>
      <c r="E1181" s="1144">
        <v>2165</v>
      </c>
      <c r="F1181" s="943" t="s">
        <v>5429</v>
      </c>
      <c r="G1181" s="1245" t="s">
        <v>5430</v>
      </c>
      <c r="H1181" s="1245" t="s">
        <v>3212</v>
      </c>
      <c r="I1181" s="1147"/>
      <c r="J1181" s="943"/>
      <c r="K1181" s="944">
        <v>1</v>
      </c>
      <c r="L1181" s="898">
        <v>12</v>
      </c>
      <c r="M1181" s="899">
        <f t="shared" si="46"/>
        <v>25980</v>
      </c>
      <c r="N1181" s="898">
        <v>1</v>
      </c>
      <c r="O1181" s="898">
        <v>12</v>
      </c>
      <c r="P1181" s="899">
        <f t="shared" si="47"/>
        <v>25980</v>
      </c>
    </row>
    <row r="1182" spans="1:16" x14ac:dyDescent="0.2">
      <c r="A1182" s="916" t="s">
        <v>5035</v>
      </c>
      <c r="B1182" s="943" t="s">
        <v>3092</v>
      </c>
      <c r="C1182" s="916" t="s">
        <v>5036</v>
      </c>
      <c r="D1182" s="943" t="s">
        <v>491</v>
      </c>
      <c r="E1182" s="1144">
        <v>2200</v>
      </c>
      <c r="F1182" s="943" t="s">
        <v>5431</v>
      </c>
      <c r="G1182" s="1245" t="s">
        <v>5432</v>
      </c>
      <c r="H1182" s="1245" t="s">
        <v>5433</v>
      </c>
      <c r="I1182" s="1147"/>
      <c r="J1182" s="943"/>
      <c r="K1182" s="944">
        <v>1</v>
      </c>
      <c r="L1182" s="898">
        <v>12</v>
      </c>
      <c r="M1182" s="899">
        <f t="shared" si="46"/>
        <v>26400</v>
      </c>
      <c r="N1182" s="898">
        <v>1</v>
      </c>
      <c r="O1182" s="898">
        <v>12</v>
      </c>
      <c r="P1182" s="899">
        <f t="shared" si="47"/>
        <v>26400</v>
      </c>
    </row>
    <row r="1183" spans="1:16" x14ac:dyDescent="0.2">
      <c r="A1183" s="916" t="s">
        <v>5035</v>
      </c>
      <c r="B1183" s="943" t="s">
        <v>3092</v>
      </c>
      <c r="C1183" s="916" t="s">
        <v>5036</v>
      </c>
      <c r="D1183" s="943" t="s">
        <v>5040</v>
      </c>
      <c r="E1183" s="1144">
        <v>1000</v>
      </c>
      <c r="F1183" s="943" t="s">
        <v>5434</v>
      </c>
      <c r="G1183" s="1245" t="s">
        <v>5435</v>
      </c>
      <c r="H1183" s="1245" t="s">
        <v>3187</v>
      </c>
      <c r="I1183" s="1147"/>
      <c r="J1183" s="943"/>
      <c r="K1183" s="944">
        <v>1</v>
      </c>
      <c r="L1183" s="898">
        <v>12</v>
      </c>
      <c r="M1183" s="899">
        <f t="shared" si="46"/>
        <v>12000</v>
      </c>
      <c r="N1183" s="898">
        <v>1</v>
      </c>
      <c r="O1183" s="898">
        <v>12</v>
      </c>
      <c r="P1183" s="899">
        <f t="shared" si="47"/>
        <v>12000</v>
      </c>
    </row>
    <row r="1184" spans="1:16" x14ac:dyDescent="0.2">
      <c r="A1184" s="916" t="s">
        <v>5035</v>
      </c>
      <c r="B1184" s="943" t="s">
        <v>3092</v>
      </c>
      <c r="C1184" s="916" t="s">
        <v>5036</v>
      </c>
      <c r="D1184" s="943" t="s">
        <v>5040</v>
      </c>
      <c r="E1184" s="1144">
        <v>2200</v>
      </c>
      <c r="F1184" s="943" t="s">
        <v>5436</v>
      </c>
      <c r="G1184" s="1245" t="s">
        <v>5437</v>
      </c>
      <c r="H1184" s="1245" t="s">
        <v>517</v>
      </c>
      <c r="I1184" s="1147"/>
      <c r="J1184" s="943"/>
      <c r="K1184" s="944">
        <v>1</v>
      </c>
      <c r="L1184" s="898">
        <v>12</v>
      </c>
      <c r="M1184" s="899">
        <f t="shared" si="46"/>
        <v>26400</v>
      </c>
      <c r="N1184" s="898">
        <v>1</v>
      </c>
      <c r="O1184" s="898">
        <v>12</v>
      </c>
      <c r="P1184" s="899">
        <f t="shared" si="47"/>
        <v>26400</v>
      </c>
    </row>
    <row r="1185" spans="1:16" x14ac:dyDescent="0.2">
      <c r="A1185" s="916" t="s">
        <v>5035</v>
      </c>
      <c r="B1185" s="943" t="s">
        <v>3092</v>
      </c>
      <c r="C1185" s="916" t="s">
        <v>5036</v>
      </c>
      <c r="D1185" s="943" t="s">
        <v>491</v>
      </c>
      <c r="E1185" s="1144">
        <v>1200</v>
      </c>
      <c r="F1185" s="943" t="s">
        <v>5438</v>
      </c>
      <c r="G1185" s="1245" t="s">
        <v>5439</v>
      </c>
      <c r="H1185" s="1245" t="s">
        <v>3134</v>
      </c>
      <c r="I1185" s="1147"/>
      <c r="J1185" s="943"/>
      <c r="K1185" s="944">
        <v>1</v>
      </c>
      <c r="L1185" s="898">
        <v>12</v>
      </c>
      <c r="M1185" s="899">
        <f t="shared" si="46"/>
        <v>14400</v>
      </c>
      <c r="N1185" s="898">
        <v>1</v>
      </c>
      <c r="O1185" s="898">
        <v>12</v>
      </c>
      <c r="P1185" s="899">
        <f t="shared" si="47"/>
        <v>14400</v>
      </c>
    </row>
    <row r="1186" spans="1:16" x14ac:dyDescent="0.2">
      <c r="A1186" s="916" t="s">
        <v>5035</v>
      </c>
      <c r="B1186" s="943" t="s">
        <v>3092</v>
      </c>
      <c r="C1186" s="916" t="s">
        <v>5036</v>
      </c>
      <c r="D1186" s="943" t="s">
        <v>5040</v>
      </c>
      <c r="E1186" s="1144">
        <v>1200</v>
      </c>
      <c r="F1186" s="943" t="s">
        <v>5440</v>
      </c>
      <c r="G1186" s="1245" t="s">
        <v>5441</v>
      </c>
      <c r="H1186" s="1245" t="s">
        <v>5084</v>
      </c>
      <c r="I1186" s="1147"/>
      <c r="J1186" s="943"/>
      <c r="K1186" s="944">
        <v>1</v>
      </c>
      <c r="L1186" s="898">
        <v>12</v>
      </c>
      <c r="M1186" s="899">
        <f t="shared" si="46"/>
        <v>14400</v>
      </c>
      <c r="N1186" s="898">
        <v>1</v>
      </c>
      <c r="O1186" s="898">
        <v>12</v>
      </c>
      <c r="P1186" s="899">
        <f t="shared" si="47"/>
        <v>14400</v>
      </c>
    </row>
    <row r="1187" spans="1:16" ht="24" x14ac:dyDescent="0.2">
      <c r="A1187" s="916" t="s">
        <v>5035</v>
      </c>
      <c r="B1187" s="943" t="s">
        <v>3092</v>
      </c>
      <c r="C1187" s="916" t="s">
        <v>5036</v>
      </c>
      <c r="D1187" s="943" t="s">
        <v>5040</v>
      </c>
      <c r="E1187" s="1144">
        <v>2500</v>
      </c>
      <c r="F1187" s="943" t="s">
        <v>5442</v>
      </c>
      <c r="G1187" s="1245" t="s">
        <v>5443</v>
      </c>
      <c r="H1187" s="1245" t="s">
        <v>5242</v>
      </c>
      <c r="I1187" s="1147"/>
      <c r="J1187" s="943"/>
      <c r="K1187" s="944">
        <v>1</v>
      </c>
      <c r="L1187" s="898">
        <v>12</v>
      </c>
      <c r="M1187" s="899">
        <f t="shared" si="46"/>
        <v>30000</v>
      </c>
      <c r="N1187" s="898">
        <v>1</v>
      </c>
      <c r="O1187" s="898">
        <v>12</v>
      </c>
      <c r="P1187" s="899">
        <f t="shared" si="47"/>
        <v>30000</v>
      </c>
    </row>
    <row r="1188" spans="1:16" x14ac:dyDescent="0.2">
      <c r="A1188" s="916" t="s">
        <v>5035</v>
      </c>
      <c r="B1188" s="943" t="s">
        <v>3092</v>
      </c>
      <c r="C1188" s="916" t="s">
        <v>5036</v>
      </c>
      <c r="D1188" s="943" t="s">
        <v>5040</v>
      </c>
      <c r="E1188" s="1144">
        <v>2500</v>
      </c>
      <c r="F1188" s="943" t="s">
        <v>5444</v>
      </c>
      <c r="G1188" s="1245" t="s">
        <v>5445</v>
      </c>
      <c r="H1188" s="1245" t="s">
        <v>517</v>
      </c>
      <c r="I1188" s="1147"/>
      <c r="J1188" s="943"/>
      <c r="K1188" s="944">
        <v>1</v>
      </c>
      <c r="L1188" s="898">
        <v>12</v>
      </c>
      <c r="M1188" s="899">
        <f t="shared" ref="M1188:M1251" si="48">+L1188*E1188</f>
        <v>30000</v>
      </c>
      <c r="N1188" s="898">
        <v>1</v>
      </c>
      <c r="O1188" s="898">
        <v>12</v>
      </c>
      <c r="P1188" s="899">
        <f t="shared" ref="P1188:P1251" si="49">+O1188*E1188</f>
        <v>30000</v>
      </c>
    </row>
    <row r="1189" spans="1:16" x14ac:dyDescent="0.2">
      <c r="A1189" s="916" t="s">
        <v>5035</v>
      </c>
      <c r="B1189" s="943" t="s">
        <v>3092</v>
      </c>
      <c r="C1189" s="916" t="s">
        <v>5036</v>
      </c>
      <c r="D1189" s="943" t="s">
        <v>5040</v>
      </c>
      <c r="E1189" s="1144">
        <v>1200</v>
      </c>
      <c r="F1189" s="943" t="s">
        <v>5446</v>
      </c>
      <c r="G1189" s="1245" t="s">
        <v>5447</v>
      </c>
      <c r="H1189" s="1245" t="s">
        <v>5084</v>
      </c>
      <c r="I1189" s="1147"/>
      <c r="J1189" s="943"/>
      <c r="K1189" s="944">
        <v>1</v>
      </c>
      <c r="L1189" s="898">
        <v>12</v>
      </c>
      <c r="M1189" s="899">
        <f t="shared" si="48"/>
        <v>14400</v>
      </c>
      <c r="N1189" s="898">
        <v>1</v>
      </c>
      <c r="O1189" s="898">
        <v>12</v>
      </c>
      <c r="P1189" s="899">
        <f t="shared" si="49"/>
        <v>14400</v>
      </c>
    </row>
    <row r="1190" spans="1:16" x14ac:dyDescent="0.2">
      <c r="A1190" s="916" t="s">
        <v>5035</v>
      </c>
      <c r="B1190" s="943" t="s">
        <v>3092</v>
      </c>
      <c r="C1190" s="916" t="s">
        <v>5036</v>
      </c>
      <c r="D1190" s="943" t="s">
        <v>491</v>
      </c>
      <c r="E1190" s="1144">
        <v>2178</v>
      </c>
      <c r="F1190" s="943" t="s">
        <v>5448</v>
      </c>
      <c r="G1190" s="1245" t="s">
        <v>5449</v>
      </c>
      <c r="H1190" s="1245" t="s">
        <v>3129</v>
      </c>
      <c r="I1190" s="1147"/>
      <c r="J1190" s="943"/>
      <c r="K1190" s="944">
        <v>1</v>
      </c>
      <c r="L1190" s="898">
        <v>12</v>
      </c>
      <c r="M1190" s="899">
        <f t="shared" si="48"/>
        <v>26136</v>
      </c>
      <c r="N1190" s="898">
        <v>1</v>
      </c>
      <c r="O1190" s="898">
        <v>12</v>
      </c>
      <c r="P1190" s="899">
        <f t="shared" si="49"/>
        <v>26136</v>
      </c>
    </row>
    <row r="1191" spans="1:16" ht="24" x14ac:dyDescent="0.2">
      <c r="A1191" s="916" t="s">
        <v>5035</v>
      </c>
      <c r="B1191" s="943" t="s">
        <v>3092</v>
      </c>
      <c r="C1191" s="916" t="s">
        <v>5036</v>
      </c>
      <c r="D1191" s="943" t="s">
        <v>491</v>
      </c>
      <c r="E1191" s="1144">
        <v>1000</v>
      </c>
      <c r="F1191" s="943" t="s">
        <v>5450</v>
      </c>
      <c r="G1191" s="1245" t="s">
        <v>5451</v>
      </c>
      <c r="H1191" s="1245" t="s">
        <v>583</v>
      </c>
      <c r="I1191" s="1147"/>
      <c r="J1191" s="943"/>
      <c r="K1191" s="944">
        <v>1</v>
      </c>
      <c r="L1191" s="898">
        <v>12</v>
      </c>
      <c r="M1191" s="899">
        <f t="shared" si="48"/>
        <v>12000</v>
      </c>
      <c r="N1191" s="898">
        <v>1</v>
      </c>
      <c r="O1191" s="898">
        <v>12</v>
      </c>
      <c r="P1191" s="899">
        <f t="shared" si="49"/>
        <v>12000</v>
      </c>
    </row>
    <row r="1192" spans="1:16" x14ac:dyDescent="0.2">
      <c r="A1192" s="916" t="s">
        <v>5035</v>
      </c>
      <c r="B1192" s="943" t="s">
        <v>3092</v>
      </c>
      <c r="C1192" s="916" t="s">
        <v>5036</v>
      </c>
      <c r="D1192" s="943" t="s">
        <v>5040</v>
      </c>
      <c r="E1192" s="1144">
        <v>2200</v>
      </c>
      <c r="F1192" s="943" t="s">
        <v>5452</v>
      </c>
      <c r="G1192" s="1245" t="s">
        <v>5453</v>
      </c>
      <c r="H1192" s="1245" t="s">
        <v>5106</v>
      </c>
      <c r="I1192" s="1147"/>
      <c r="J1192" s="943"/>
      <c r="K1192" s="944">
        <v>1</v>
      </c>
      <c r="L1192" s="898">
        <v>12</v>
      </c>
      <c r="M1192" s="899">
        <f t="shared" si="48"/>
        <v>26400</v>
      </c>
      <c r="N1192" s="898">
        <v>1</v>
      </c>
      <c r="O1192" s="898">
        <v>12</v>
      </c>
      <c r="P1192" s="899">
        <f t="shared" si="49"/>
        <v>26400</v>
      </c>
    </row>
    <row r="1193" spans="1:16" ht="24" x14ac:dyDescent="0.2">
      <c r="A1193" s="916" t="s">
        <v>5035</v>
      </c>
      <c r="B1193" s="943" t="s">
        <v>3092</v>
      </c>
      <c r="C1193" s="916" t="s">
        <v>5036</v>
      </c>
      <c r="D1193" s="943" t="s">
        <v>5040</v>
      </c>
      <c r="E1193" s="1144">
        <v>1000</v>
      </c>
      <c r="F1193" s="943" t="s">
        <v>5454</v>
      </c>
      <c r="G1193" s="1245" t="s">
        <v>5455</v>
      </c>
      <c r="H1193" s="1245" t="s">
        <v>5095</v>
      </c>
      <c r="I1193" s="1147"/>
      <c r="J1193" s="943"/>
      <c r="K1193" s="944">
        <v>1</v>
      </c>
      <c r="L1193" s="898">
        <v>12</v>
      </c>
      <c r="M1193" s="899">
        <f t="shared" si="48"/>
        <v>12000</v>
      </c>
      <c r="N1193" s="898">
        <v>1</v>
      </c>
      <c r="O1193" s="898">
        <v>12</v>
      </c>
      <c r="P1193" s="899">
        <f t="shared" si="49"/>
        <v>12000</v>
      </c>
    </row>
    <row r="1194" spans="1:16" ht="24" x14ac:dyDescent="0.2">
      <c r="A1194" s="916" t="s">
        <v>5035</v>
      </c>
      <c r="B1194" s="943" t="s">
        <v>3092</v>
      </c>
      <c r="C1194" s="916" t="s">
        <v>5036</v>
      </c>
      <c r="D1194" s="943" t="s">
        <v>5040</v>
      </c>
      <c r="E1194" s="1144">
        <v>1200</v>
      </c>
      <c r="F1194" s="943" t="s">
        <v>5456</v>
      </c>
      <c r="G1194" s="1245" t="s">
        <v>5457</v>
      </c>
      <c r="H1194" s="1245" t="s">
        <v>5043</v>
      </c>
      <c r="I1194" s="1147"/>
      <c r="J1194" s="943"/>
      <c r="K1194" s="944">
        <v>1</v>
      </c>
      <c r="L1194" s="898">
        <v>12</v>
      </c>
      <c r="M1194" s="899">
        <f t="shared" si="48"/>
        <v>14400</v>
      </c>
      <c r="N1194" s="898">
        <v>1</v>
      </c>
      <c r="O1194" s="898">
        <v>12</v>
      </c>
      <c r="P1194" s="899">
        <f t="shared" si="49"/>
        <v>14400</v>
      </c>
    </row>
    <row r="1195" spans="1:16" ht="24" x14ac:dyDescent="0.2">
      <c r="A1195" s="916" t="s">
        <v>5035</v>
      </c>
      <c r="B1195" s="943" t="s">
        <v>3092</v>
      </c>
      <c r="C1195" s="916" t="s">
        <v>5036</v>
      </c>
      <c r="D1195" s="943" t="s">
        <v>491</v>
      </c>
      <c r="E1195" s="1144">
        <v>1200</v>
      </c>
      <c r="F1195" s="943" t="s">
        <v>5458</v>
      </c>
      <c r="G1195" s="1245" t="s">
        <v>5459</v>
      </c>
      <c r="H1195" s="1245" t="s">
        <v>3284</v>
      </c>
      <c r="I1195" s="1147"/>
      <c r="J1195" s="943"/>
      <c r="K1195" s="944">
        <v>1</v>
      </c>
      <c r="L1195" s="898">
        <v>12</v>
      </c>
      <c r="M1195" s="899">
        <f t="shared" si="48"/>
        <v>14400</v>
      </c>
      <c r="N1195" s="898">
        <v>1</v>
      </c>
      <c r="O1195" s="898">
        <v>12</v>
      </c>
      <c r="P1195" s="899">
        <f t="shared" si="49"/>
        <v>14400</v>
      </c>
    </row>
    <row r="1196" spans="1:16" ht="24" x14ac:dyDescent="0.2">
      <c r="A1196" s="916" t="s">
        <v>5035</v>
      </c>
      <c r="B1196" s="943" t="s">
        <v>3092</v>
      </c>
      <c r="C1196" s="916" t="s">
        <v>5036</v>
      </c>
      <c r="D1196" s="943" t="s">
        <v>491</v>
      </c>
      <c r="E1196" s="1144">
        <v>1200</v>
      </c>
      <c r="F1196" s="943" t="s">
        <v>5460</v>
      </c>
      <c r="G1196" s="1245" t="s">
        <v>5461</v>
      </c>
      <c r="H1196" s="1245" t="s">
        <v>5109</v>
      </c>
      <c r="I1196" s="1147"/>
      <c r="J1196" s="943"/>
      <c r="K1196" s="944">
        <v>1</v>
      </c>
      <c r="L1196" s="898">
        <v>12</v>
      </c>
      <c r="M1196" s="899">
        <f t="shared" si="48"/>
        <v>14400</v>
      </c>
      <c r="N1196" s="898">
        <v>1</v>
      </c>
      <c r="O1196" s="898">
        <v>12</v>
      </c>
      <c r="P1196" s="899">
        <f t="shared" si="49"/>
        <v>14400</v>
      </c>
    </row>
    <row r="1197" spans="1:16" x14ac:dyDescent="0.2">
      <c r="A1197" s="916" t="s">
        <v>5035</v>
      </c>
      <c r="B1197" s="943" t="s">
        <v>3092</v>
      </c>
      <c r="C1197" s="916" t="s">
        <v>5036</v>
      </c>
      <c r="D1197" s="943" t="s">
        <v>5040</v>
      </c>
      <c r="E1197" s="1144">
        <v>2500</v>
      </c>
      <c r="F1197" s="943" t="s">
        <v>5462</v>
      </c>
      <c r="G1197" s="1245" t="s">
        <v>5463</v>
      </c>
      <c r="H1197" s="1245" t="s">
        <v>517</v>
      </c>
      <c r="I1197" s="1147"/>
      <c r="J1197" s="943"/>
      <c r="K1197" s="944">
        <v>1</v>
      </c>
      <c r="L1197" s="898">
        <v>12</v>
      </c>
      <c r="M1197" s="899">
        <f t="shared" si="48"/>
        <v>30000</v>
      </c>
      <c r="N1197" s="898">
        <v>1</v>
      </c>
      <c r="O1197" s="898">
        <v>12</v>
      </c>
      <c r="P1197" s="899">
        <f t="shared" si="49"/>
        <v>30000</v>
      </c>
    </row>
    <row r="1198" spans="1:16" x14ac:dyDescent="0.2">
      <c r="A1198" s="916" t="s">
        <v>5035</v>
      </c>
      <c r="B1198" s="943" t="s">
        <v>3092</v>
      </c>
      <c r="C1198" s="916" t="s">
        <v>5036</v>
      </c>
      <c r="D1198" s="943" t="s">
        <v>5040</v>
      </c>
      <c r="E1198" s="1144">
        <v>1176</v>
      </c>
      <c r="F1198" s="943" t="s">
        <v>5464</v>
      </c>
      <c r="G1198" s="1245" t="s">
        <v>5465</v>
      </c>
      <c r="H1198" s="1245" t="s">
        <v>5084</v>
      </c>
      <c r="I1198" s="1147"/>
      <c r="J1198" s="943"/>
      <c r="K1198" s="944">
        <v>1</v>
      </c>
      <c r="L1198" s="898">
        <v>12</v>
      </c>
      <c r="M1198" s="899">
        <f t="shared" si="48"/>
        <v>14112</v>
      </c>
      <c r="N1198" s="898">
        <v>1</v>
      </c>
      <c r="O1198" s="898">
        <v>12</v>
      </c>
      <c r="P1198" s="899">
        <f t="shared" si="49"/>
        <v>14112</v>
      </c>
    </row>
    <row r="1199" spans="1:16" x14ac:dyDescent="0.2">
      <c r="A1199" s="916" t="s">
        <v>5035</v>
      </c>
      <c r="B1199" s="943" t="s">
        <v>3092</v>
      </c>
      <c r="C1199" s="916" t="s">
        <v>5036</v>
      </c>
      <c r="D1199" s="943" t="s">
        <v>5040</v>
      </c>
      <c r="E1199" s="1144">
        <v>1500</v>
      </c>
      <c r="F1199" s="943" t="s">
        <v>5466</v>
      </c>
      <c r="G1199" s="1245" t="s">
        <v>5467</v>
      </c>
      <c r="H1199" s="1245" t="s">
        <v>3187</v>
      </c>
      <c r="I1199" s="1147"/>
      <c r="J1199" s="943"/>
      <c r="K1199" s="944">
        <v>1</v>
      </c>
      <c r="L1199" s="898">
        <v>12</v>
      </c>
      <c r="M1199" s="899">
        <f t="shared" si="48"/>
        <v>18000</v>
      </c>
      <c r="N1199" s="898">
        <v>1</v>
      </c>
      <c r="O1199" s="898">
        <v>12</v>
      </c>
      <c r="P1199" s="899">
        <f t="shared" si="49"/>
        <v>18000</v>
      </c>
    </row>
    <row r="1200" spans="1:16" x14ac:dyDescent="0.2">
      <c r="A1200" s="916" t="s">
        <v>5035</v>
      </c>
      <c r="B1200" s="943" t="s">
        <v>3092</v>
      </c>
      <c r="C1200" s="916" t="s">
        <v>5036</v>
      </c>
      <c r="D1200" s="943" t="s">
        <v>5040</v>
      </c>
      <c r="E1200" s="1144">
        <v>1167</v>
      </c>
      <c r="F1200" s="943" t="s">
        <v>5468</v>
      </c>
      <c r="G1200" s="1245" t="s">
        <v>5469</v>
      </c>
      <c r="H1200" s="1245" t="s">
        <v>5084</v>
      </c>
      <c r="I1200" s="1147"/>
      <c r="J1200" s="943"/>
      <c r="K1200" s="944">
        <v>1</v>
      </c>
      <c r="L1200" s="898">
        <v>12</v>
      </c>
      <c r="M1200" s="899">
        <f t="shared" si="48"/>
        <v>14004</v>
      </c>
      <c r="N1200" s="898">
        <v>1</v>
      </c>
      <c r="O1200" s="898">
        <v>12</v>
      </c>
      <c r="P1200" s="899">
        <f t="shared" si="49"/>
        <v>14004</v>
      </c>
    </row>
    <row r="1201" spans="1:16" ht="24" x14ac:dyDescent="0.2">
      <c r="A1201" s="916" t="s">
        <v>5035</v>
      </c>
      <c r="B1201" s="943" t="s">
        <v>3092</v>
      </c>
      <c r="C1201" s="916" t="s">
        <v>5036</v>
      </c>
      <c r="D1201" s="943" t="s">
        <v>491</v>
      </c>
      <c r="E1201" s="1144">
        <v>1000</v>
      </c>
      <c r="F1201" s="943" t="s">
        <v>5470</v>
      </c>
      <c r="G1201" s="1245" t="s">
        <v>5471</v>
      </c>
      <c r="H1201" s="1245" t="s">
        <v>583</v>
      </c>
      <c r="I1201" s="1147"/>
      <c r="J1201" s="943"/>
      <c r="K1201" s="944">
        <v>1</v>
      </c>
      <c r="L1201" s="898">
        <v>12</v>
      </c>
      <c r="M1201" s="899">
        <f t="shared" si="48"/>
        <v>12000</v>
      </c>
      <c r="N1201" s="898">
        <v>1</v>
      </c>
      <c r="O1201" s="898">
        <v>12</v>
      </c>
      <c r="P1201" s="899">
        <f t="shared" si="49"/>
        <v>12000</v>
      </c>
    </row>
    <row r="1202" spans="1:16" ht="24" x14ac:dyDescent="0.2">
      <c r="A1202" s="916" t="s">
        <v>5035</v>
      </c>
      <c r="B1202" s="943" t="s">
        <v>3092</v>
      </c>
      <c r="C1202" s="916" t="s">
        <v>5036</v>
      </c>
      <c r="D1202" s="943" t="s">
        <v>491</v>
      </c>
      <c r="E1202" s="1144">
        <v>1000</v>
      </c>
      <c r="F1202" s="943" t="s">
        <v>5472</v>
      </c>
      <c r="G1202" s="1245" t="s">
        <v>5473</v>
      </c>
      <c r="H1202" s="1245" t="s">
        <v>583</v>
      </c>
      <c r="I1202" s="1147"/>
      <c r="J1202" s="943"/>
      <c r="K1202" s="944">
        <v>1</v>
      </c>
      <c r="L1202" s="898">
        <v>12</v>
      </c>
      <c r="M1202" s="899">
        <f t="shared" si="48"/>
        <v>12000</v>
      </c>
      <c r="N1202" s="898">
        <v>1</v>
      </c>
      <c r="O1202" s="898">
        <v>12</v>
      </c>
      <c r="P1202" s="899">
        <f t="shared" si="49"/>
        <v>12000</v>
      </c>
    </row>
    <row r="1203" spans="1:16" ht="24" x14ac:dyDescent="0.2">
      <c r="A1203" s="916" t="s">
        <v>5035</v>
      </c>
      <c r="B1203" s="943" t="s">
        <v>3092</v>
      </c>
      <c r="C1203" s="916" t="s">
        <v>5036</v>
      </c>
      <c r="D1203" s="943" t="s">
        <v>491</v>
      </c>
      <c r="E1203" s="1144">
        <v>2000</v>
      </c>
      <c r="F1203" s="943" t="s">
        <v>5474</v>
      </c>
      <c r="G1203" s="1245" t="s">
        <v>5475</v>
      </c>
      <c r="H1203" s="1245" t="s">
        <v>3100</v>
      </c>
      <c r="I1203" s="1147"/>
      <c r="J1203" s="943"/>
      <c r="K1203" s="944">
        <v>1</v>
      </c>
      <c r="L1203" s="898">
        <v>12</v>
      </c>
      <c r="M1203" s="899">
        <f t="shared" si="48"/>
        <v>24000</v>
      </c>
      <c r="N1203" s="898">
        <v>1</v>
      </c>
      <c r="O1203" s="898">
        <v>12</v>
      </c>
      <c r="P1203" s="899">
        <f t="shared" si="49"/>
        <v>24000</v>
      </c>
    </row>
    <row r="1204" spans="1:16" x14ac:dyDescent="0.2">
      <c r="A1204" s="916" t="s">
        <v>5035</v>
      </c>
      <c r="B1204" s="943" t="s">
        <v>3092</v>
      </c>
      <c r="C1204" s="916" t="s">
        <v>5036</v>
      </c>
      <c r="D1204" s="943" t="s">
        <v>491</v>
      </c>
      <c r="E1204" s="1144">
        <v>2149</v>
      </c>
      <c r="F1204" s="943" t="s">
        <v>5476</v>
      </c>
      <c r="G1204" s="1245" t="s">
        <v>5477</v>
      </c>
      <c r="H1204" s="1245" t="s">
        <v>3129</v>
      </c>
      <c r="I1204" s="1147"/>
      <c r="J1204" s="943"/>
      <c r="K1204" s="944">
        <v>1</v>
      </c>
      <c r="L1204" s="898">
        <v>12</v>
      </c>
      <c r="M1204" s="899">
        <f t="shared" si="48"/>
        <v>25788</v>
      </c>
      <c r="N1204" s="898">
        <v>1</v>
      </c>
      <c r="O1204" s="898">
        <v>12</v>
      </c>
      <c r="P1204" s="899">
        <f t="shared" si="49"/>
        <v>25788</v>
      </c>
    </row>
    <row r="1205" spans="1:16" x14ac:dyDescent="0.2">
      <c r="A1205" s="916" t="s">
        <v>5035</v>
      </c>
      <c r="B1205" s="943" t="s">
        <v>3092</v>
      </c>
      <c r="C1205" s="916" t="s">
        <v>5036</v>
      </c>
      <c r="D1205" s="943" t="s">
        <v>5040</v>
      </c>
      <c r="E1205" s="1144">
        <v>2500</v>
      </c>
      <c r="F1205" s="943" t="s">
        <v>5478</v>
      </c>
      <c r="G1205" s="1245" t="s">
        <v>5479</v>
      </c>
      <c r="H1205" s="1245" t="s">
        <v>517</v>
      </c>
      <c r="I1205" s="1147"/>
      <c r="J1205" s="943"/>
      <c r="K1205" s="944">
        <v>1</v>
      </c>
      <c r="L1205" s="898">
        <v>12</v>
      </c>
      <c r="M1205" s="899">
        <f t="shared" si="48"/>
        <v>30000</v>
      </c>
      <c r="N1205" s="898">
        <v>1</v>
      </c>
      <c r="O1205" s="898">
        <v>12</v>
      </c>
      <c r="P1205" s="899">
        <f t="shared" si="49"/>
        <v>30000</v>
      </c>
    </row>
    <row r="1206" spans="1:16" ht="24" x14ac:dyDescent="0.2">
      <c r="A1206" s="916" t="s">
        <v>5035</v>
      </c>
      <c r="B1206" s="943" t="s">
        <v>3092</v>
      </c>
      <c r="C1206" s="916" t="s">
        <v>5036</v>
      </c>
      <c r="D1206" s="943" t="s">
        <v>491</v>
      </c>
      <c r="E1206" s="1144">
        <v>1200</v>
      </c>
      <c r="F1206" s="943" t="s">
        <v>5480</v>
      </c>
      <c r="G1206" s="1245" t="s">
        <v>5481</v>
      </c>
      <c r="H1206" s="1245" t="s">
        <v>5109</v>
      </c>
      <c r="I1206" s="1147"/>
      <c r="J1206" s="943"/>
      <c r="K1206" s="944">
        <v>1</v>
      </c>
      <c r="L1206" s="898">
        <v>12</v>
      </c>
      <c r="M1206" s="899">
        <f t="shared" si="48"/>
        <v>14400</v>
      </c>
      <c r="N1206" s="898">
        <v>1</v>
      </c>
      <c r="O1206" s="898">
        <v>12</v>
      </c>
      <c r="P1206" s="899">
        <f t="shared" si="49"/>
        <v>14400</v>
      </c>
    </row>
    <row r="1207" spans="1:16" x14ac:dyDescent="0.2">
      <c r="A1207" s="916" t="s">
        <v>5035</v>
      </c>
      <c r="B1207" s="943" t="s">
        <v>3092</v>
      </c>
      <c r="C1207" s="916" t="s">
        <v>5036</v>
      </c>
      <c r="D1207" s="943" t="s">
        <v>5040</v>
      </c>
      <c r="E1207" s="1144">
        <v>2500</v>
      </c>
      <c r="F1207" s="943" t="s">
        <v>5482</v>
      </c>
      <c r="G1207" s="1245" t="s">
        <v>5483</v>
      </c>
      <c r="H1207" s="1245" t="s">
        <v>5063</v>
      </c>
      <c r="I1207" s="1147"/>
      <c r="J1207" s="943"/>
      <c r="K1207" s="944">
        <v>1</v>
      </c>
      <c r="L1207" s="898">
        <v>12</v>
      </c>
      <c r="M1207" s="899">
        <f t="shared" si="48"/>
        <v>30000</v>
      </c>
      <c r="N1207" s="898">
        <v>1</v>
      </c>
      <c r="O1207" s="898">
        <v>12</v>
      </c>
      <c r="P1207" s="899">
        <f t="shared" si="49"/>
        <v>30000</v>
      </c>
    </row>
    <row r="1208" spans="1:16" ht="24" x14ac:dyDescent="0.2">
      <c r="A1208" s="916" t="s">
        <v>5035</v>
      </c>
      <c r="B1208" s="943" t="s">
        <v>3092</v>
      </c>
      <c r="C1208" s="916" t="s">
        <v>5036</v>
      </c>
      <c r="D1208" s="943" t="s">
        <v>5040</v>
      </c>
      <c r="E1208" s="1144">
        <v>1200</v>
      </c>
      <c r="F1208" s="943" t="s">
        <v>5484</v>
      </c>
      <c r="G1208" s="1245" t="s">
        <v>5485</v>
      </c>
      <c r="H1208" s="1245" t="s">
        <v>5043</v>
      </c>
      <c r="I1208" s="1147"/>
      <c r="J1208" s="943"/>
      <c r="K1208" s="944">
        <v>1</v>
      </c>
      <c r="L1208" s="898">
        <v>12</v>
      </c>
      <c r="M1208" s="899">
        <f t="shared" si="48"/>
        <v>14400</v>
      </c>
      <c r="N1208" s="898">
        <v>1</v>
      </c>
      <c r="O1208" s="898">
        <v>12</v>
      </c>
      <c r="P1208" s="899">
        <f t="shared" si="49"/>
        <v>14400</v>
      </c>
    </row>
    <row r="1209" spans="1:16" ht="24" x14ac:dyDescent="0.2">
      <c r="A1209" s="916" t="s">
        <v>5035</v>
      </c>
      <c r="B1209" s="943" t="s">
        <v>3092</v>
      </c>
      <c r="C1209" s="916" t="s">
        <v>5036</v>
      </c>
      <c r="D1209" s="943" t="s">
        <v>491</v>
      </c>
      <c r="E1209" s="1144">
        <v>1000</v>
      </c>
      <c r="F1209" s="943" t="s">
        <v>5486</v>
      </c>
      <c r="G1209" s="1245" t="s">
        <v>5487</v>
      </c>
      <c r="H1209" s="1245" t="s">
        <v>583</v>
      </c>
      <c r="I1209" s="1147"/>
      <c r="J1209" s="943"/>
      <c r="K1209" s="944">
        <v>1</v>
      </c>
      <c r="L1209" s="898">
        <v>12</v>
      </c>
      <c r="M1209" s="899">
        <f t="shared" si="48"/>
        <v>12000</v>
      </c>
      <c r="N1209" s="898">
        <v>1</v>
      </c>
      <c r="O1209" s="898">
        <v>12</v>
      </c>
      <c r="P1209" s="899">
        <f t="shared" si="49"/>
        <v>12000</v>
      </c>
    </row>
    <row r="1210" spans="1:16" ht="24" x14ac:dyDescent="0.2">
      <c r="A1210" s="916" t="s">
        <v>5035</v>
      </c>
      <c r="B1210" s="943" t="s">
        <v>3092</v>
      </c>
      <c r="C1210" s="916" t="s">
        <v>5036</v>
      </c>
      <c r="D1210" s="943" t="s">
        <v>491</v>
      </c>
      <c r="E1210" s="1144">
        <v>1200</v>
      </c>
      <c r="F1210" s="943" t="s">
        <v>5488</v>
      </c>
      <c r="G1210" s="1245" t="s">
        <v>5489</v>
      </c>
      <c r="H1210" s="1245" t="s">
        <v>5109</v>
      </c>
      <c r="I1210" s="1147"/>
      <c r="J1210" s="943"/>
      <c r="K1210" s="944">
        <v>1</v>
      </c>
      <c r="L1210" s="898">
        <v>12</v>
      </c>
      <c r="M1210" s="899">
        <f t="shared" si="48"/>
        <v>14400</v>
      </c>
      <c r="N1210" s="898">
        <v>1</v>
      </c>
      <c r="O1210" s="898">
        <v>12</v>
      </c>
      <c r="P1210" s="899">
        <f t="shared" si="49"/>
        <v>14400</v>
      </c>
    </row>
    <row r="1211" spans="1:16" x14ac:dyDescent="0.2">
      <c r="A1211" s="916" t="s">
        <v>5035</v>
      </c>
      <c r="B1211" s="943" t="s">
        <v>3092</v>
      </c>
      <c r="C1211" s="916" t="s">
        <v>5036</v>
      </c>
      <c r="D1211" s="943" t="s">
        <v>5040</v>
      </c>
      <c r="E1211" s="1144">
        <v>3000</v>
      </c>
      <c r="F1211" s="943" t="s">
        <v>5490</v>
      </c>
      <c r="G1211" s="1245" t="s">
        <v>5491</v>
      </c>
      <c r="H1211" s="1245" t="s">
        <v>517</v>
      </c>
      <c r="I1211" s="1147"/>
      <c r="J1211" s="943"/>
      <c r="K1211" s="944">
        <v>1</v>
      </c>
      <c r="L1211" s="898">
        <v>12</v>
      </c>
      <c r="M1211" s="899">
        <f t="shared" si="48"/>
        <v>36000</v>
      </c>
      <c r="N1211" s="898">
        <v>1</v>
      </c>
      <c r="O1211" s="898">
        <v>12</v>
      </c>
      <c r="P1211" s="899">
        <f t="shared" si="49"/>
        <v>36000</v>
      </c>
    </row>
    <row r="1212" spans="1:16" x14ac:dyDescent="0.2">
      <c r="A1212" s="916" t="s">
        <v>5035</v>
      </c>
      <c r="B1212" s="943" t="s">
        <v>3092</v>
      </c>
      <c r="C1212" s="916" t="s">
        <v>5036</v>
      </c>
      <c r="D1212" s="943" t="s">
        <v>491</v>
      </c>
      <c r="E1212" s="1144">
        <v>1200</v>
      </c>
      <c r="F1212" s="943" t="s">
        <v>5492</v>
      </c>
      <c r="G1212" s="1245" t="s">
        <v>5493</v>
      </c>
      <c r="H1212" s="1245" t="s">
        <v>3284</v>
      </c>
      <c r="I1212" s="1147"/>
      <c r="J1212" s="943"/>
      <c r="K1212" s="944">
        <v>1</v>
      </c>
      <c r="L1212" s="898">
        <v>12</v>
      </c>
      <c r="M1212" s="899">
        <f t="shared" si="48"/>
        <v>14400</v>
      </c>
      <c r="N1212" s="898">
        <v>1</v>
      </c>
      <c r="O1212" s="898">
        <v>12</v>
      </c>
      <c r="P1212" s="899">
        <f t="shared" si="49"/>
        <v>14400</v>
      </c>
    </row>
    <row r="1213" spans="1:16" ht="24" x14ac:dyDescent="0.2">
      <c r="A1213" s="916" t="s">
        <v>5035</v>
      </c>
      <c r="B1213" s="943" t="s">
        <v>3092</v>
      </c>
      <c r="C1213" s="916" t="s">
        <v>5036</v>
      </c>
      <c r="D1213" s="943" t="s">
        <v>491</v>
      </c>
      <c r="E1213" s="1144">
        <v>1200</v>
      </c>
      <c r="F1213" s="943" t="s">
        <v>5494</v>
      </c>
      <c r="G1213" s="1245" t="s">
        <v>5495</v>
      </c>
      <c r="H1213" s="1245" t="s">
        <v>5109</v>
      </c>
      <c r="I1213" s="1147"/>
      <c r="J1213" s="943"/>
      <c r="K1213" s="944">
        <v>1</v>
      </c>
      <c r="L1213" s="898">
        <v>12</v>
      </c>
      <c r="M1213" s="899">
        <f t="shared" si="48"/>
        <v>14400</v>
      </c>
      <c r="N1213" s="898">
        <v>1</v>
      </c>
      <c r="O1213" s="898">
        <v>12</v>
      </c>
      <c r="P1213" s="899">
        <f t="shared" si="49"/>
        <v>14400</v>
      </c>
    </row>
    <row r="1214" spans="1:16" x14ac:dyDescent="0.2">
      <c r="A1214" s="916" t="s">
        <v>5035</v>
      </c>
      <c r="B1214" s="943" t="s">
        <v>3092</v>
      </c>
      <c r="C1214" s="916" t="s">
        <v>5036</v>
      </c>
      <c r="D1214" s="943" t="s">
        <v>5040</v>
      </c>
      <c r="E1214" s="1144">
        <v>2500</v>
      </c>
      <c r="F1214" s="943" t="s">
        <v>5496</v>
      </c>
      <c r="G1214" s="1245" t="s">
        <v>5497</v>
      </c>
      <c r="H1214" s="1245" t="s">
        <v>5063</v>
      </c>
      <c r="I1214" s="1147"/>
      <c r="J1214" s="943"/>
      <c r="K1214" s="944">
        <v>1</v>
      </c>
      <c r="L1214" s="898">
        <v>12</v>
      </c>
      <c r="M1214" s="899">
        <f t="shared" si="48"/>
        <v>30000</v>
      </c>
      <c r="N1214" s="898">
        <v>1</v>
      </c>
      <c r="O1214" s="898">
        <v>12</v>
      </c>
      <c r="P1214" s="899">
        <f t="shared" si="49"/>
        <v>30000</v>
      </c>
    </row>
    <row r="1215" spans="1:16" ht="24" x14ac:dyDescent="0.2">
      <c r="A1215" s="916" t="s">
        <v>5035</v>
      </c>
      <c r="B1215" s="943" t="s">
        <v>3092</v>
      </c>
      <c r="C1215" s="916" t="s">
        <v>5036</v>
      </c>
      <c r="D1215" s="943" t="s">
        <v>5040</v>
      </c>
      <c r="E1215" s="1144">
        <v>2200</v>
      </c>
      <c r="F1215" s="943" t="s">
        <v>5498</v>
      </c>
      <c r="G1215" s="1245" t="s">
        <v>5499</v>
      </c>
      <c r="H1215" s="1245" t="s">
        <v>517</v>
      </c>
      <c r="I1215" s="1147"/>
      <c r="J1215" s="943"/>
      <c r="K1215" s="944">
        <v>1</v>
      </c>
      <c r="L1215" s="898">
        <v>12</v>
      </c>
      <c r="M1215" s="899">
        <f t="shared" si="48"/>
        <v>26400</v>
      </c>
      <c r="N1215" s="898">
        <v>1</v>
      </c>
      <c r="O1215" s="898">
        <v>12</v>
      </c>
      <c r="P1215" s="899">
        <f t="shared" si="49"/>
        <v>26400</v>
      </c>
    </row>
    <row r="1216" spans="1:16" x14ac:dyDescent="0.2">
      <c r="A1216" s="916" t="s">
        <v>5035</v>
      </c>
      <c r="B1216" s="943" t="s">
        <v>3092</v>
      </c>
      <c r="C1216" s="916" t="s">
        <v>5036</v>
      </c>
      <c r="D1216" s="943" t="s">
        <v>5040</v>
      </c>
      <c r="E1216" s="1144">
        <v>1200</v>
      </c>
      <c r="F1216" s="943" t="s">
        <v>5500</v>
      </c>
      <c r="G1216" s="1245" t="s">
        <v>5501</v>
      </c>
      <c r="H1216" s="1245" t="s">
        <v>5084</v>
      </c>
      <c r="I1216" s="1147"/>
      <c r="J1216" s="943"/>
      <c r="K1216" s="944">
        <v>1</v>
      </c>
      <c r="L1216" s="898">
        <v>12</v>
      </c>
      <c r="M1216" s="899">
        <f t="shared" si="48"/>
        <v>14400</v>
      </c>
      <c r="N1216" s="898">
        <v>1</v>
      </c>
      <c r="O1216" s="898">
        <v>12</v>
      </c>
      <c r="P1216" s="899">
        <f t="shared" si="49"/>
        <v>14400</v>
      </c>
    </row>
    <row r="1217" spans="1:16" ht="24" x14ac:dyDescent="0.2">
      <c r="A1217" s="916" t="s">
        <v>5035</v>
      </c>
      <c r="B1217" s="943" t="s">
        <v>3092</v>
      </c>
      <c r="C1217" s="916" t="s">
        <v>5036</v>
      </c>
      <c r="D1217" s="943" t="s">
        <v>491</v>
      </c>
      <c r="E1217" s="1144">
        <v>1200</v>
      </c>
      <c r="F1217" s="943" t="s">
        <v>5502</v>
      </c>
      <c r="G1217" s="1245" t="s">
        <v>5503</v>
      </c>
      <c r="H1217" s="1245" t="s">
        <v>3115</v>
      </c>
      <c r="I1217" s="1147"/>
      <c r="J1217" s="943"/>
      <c r="K1217" s="944">
        <v>1</v>
      </c>
      <c r="L1217" s="898">
        <v>12</v>
      </c>
      <c r="M1217" s="899">
        <f t="shared" si="48"/>
        <v>14400</v>
      </c>
      <c r="N1217" s="898">
        <v>1</v>
      </c>
      <c r="O1217" s="898">
        <v>12</v>
      </c>
      <c r="P1217" s="899">
        <f t="shared" si="49"/>
        <v>14400</v>
      </c>
    </row>
    <row r="1218" spans="1:16" ht="24" x14ac:dyDescent="0.2">
      <c r="A1218" s="916" t="s">
        <v>5035</v>
      </c>
      <c r="B1218" s="943" t="s">
        <v>3092</v>
      </c>
      <c r="C1218" s="916" t="s">
        <v>5036</v>
      </c>
      <c r="D1218" s="943" t="s">
        <v>491</v>
      </c>
      <c r="E1218" s="1144">
        <v>2000</v>
      </c>
      <c r="F1218" s="943" t="s">
        <v>5504</v>
      </c>
      <c r="G1218" s="1245" t="s">
        <v>5505</v>
      </c>
      <c r="H1218" s="1245" t="s">
        <v>3100</v>
      </c>
      <c r="I1218" s="1147"/>
      <c r="J1218" s="943"/>
      <c r="K1218" s="944">
        <v>1</v>
      </c>
      <c r="L1218" s="898">
        <v>12</v>
      </c>
      <c r="M1218" s="899">
        <f t="shared" si="48"/>
        <v>24000</v>
      </c>
      <c r="N1218" s="898">
        <v>1</v>
      </c>
      <c r="O1218" s="898">
        <v>12</v>
      </c>
      <c r="P1218" s="899">
        <f t="shared" si="49"/>
        <v>24000</v>
      </c>
    </row>
    <row r="1219" spans="1:16" x14ac:dyDescent="0.2">
      <c r="A1219" s="916" t="s">
        <v>5035</v>
      </c>
      <c r="B1219" s="943" t="s">
        <v>3092</v>
      </c>
      <c r="C1219" s="916" t="s">
        <v>5036</v>
      </c>
      <c r="D1219" s="943" t="s">
        <v>5040</v>
      </c>
      <c r="E1219" s="1144">
        <v>1200</v>
      </c>
      <c r="F1219" s="943" t="s">
        <v>5506</v>
      </c>
      <c r="G1219" s="1245" t="s">
        <v>5507</v>
      </c>
      <c r="H1219" s="1245" t="s">
        <v>5084</v>
      </c>
      <c r="I1219" s="1147"/>
      <c r="J1219" s="943"/>
      <c r="K1219" s="944">
        <v>1</v>
      </c>
      <c r="L1219" s="898">
        <v>12</v>
      </c>
      <c r="M1219" s="899">
        <f t="shared" si="48"/>
        <v>14400</v>
      </c>
      <c r="N1219" s="898">
        <v>1</v>
      </c>
      <c r="O1219" s="898">
        <v>12</v>
      </c>
      <c r="P1219" s="899">
        <f t="shared" si="49"/>
        <v>14400</v>
      </c>
    </row>
    <row r="1220" spans="1:16" x14ac:dyDescent="0.2">
      <c r="A1220" s="916" t="s">
        <v>5035</v>
      </c>
      <c r="B1220" s="943" t="s">
        <v>3092</v>
      </c>
      <c r="C1220" s="916" t="s">
        <v>5508</v>
      </c>
      <c r="D1220" s="943" t="s">
        <v>491</v>
      </c>
      <c r="E1220" s="1144">
        <v>5950</v>
      </c>
      <c r="F1220" s="943" t="s">
        <v>5509</v>
      </c>
      <c r="G1220" s="1245" t="s">
        <v>5510</v>
      </c>
      <c r="H1220" s="1245" t="s">
        <v>5511</v>
      </c>
      <c r="I1220" s="1147"/>
      <c r="J1220" s="943"/>
      <c r="K1220" s="944">
        <v>1</v>
      </c>
      <c r="L1220" s="898">
        <v>7</v>
      </c>
      <c r="M1220" s="899">
        <f t="shared" si="48"/>
        <v>41650</v>
      </c>
      <c r="N1220" s="898">
        <v>1</v>
      </c>
      <c r="O1220" s="898">
        <v>12</v>
      </c>
      <c r="P1220" s="899">
        <f t="shared" si="49"/>
        <v>71400</v>
      </c>
    </row>
    <row r="1221" spans="1:16" x14ac:dyDescent="0.2">
      <c r="A1221" s="916" t="s">
        <v>5035</v>
      </c>
      <c r="B1221" s="943" t="s">
        <v>3092</v>
      </c>
      <c r="C1221" s="916" t="s">
        <v>5508</v>
      </c>
      <c r="D1221" s="943" t="s">
        <v>491</v>
      </c>
      <c r="E1221" s="1144">
        <v>11300</v>
      </c>
      <c r="F1221" s="943" t="s">
        <v>5512</v>
      </c>
      <c r="G1221" s="1245" t="s">
        <v>5513</v>
      </c>
      <c r="H1221" s="1245" t="s">
        <v>5514</v>
      </c>
      <c r="I1221" s="1147"/>
      <c r="J1221" s="943"/>
      <c r="K1221" s="944">
        <v>1</v>
      </c>
      <c r="L1221" s="898">
        <v>7</v>
      </c>
      <c r="M1221" s="899">
        <f t="shared" si="48"/>
        <v>79100</v>
      </c>
      <c r="N1221" s="898">
        <v>1</v>
      </c>
      <c r="O1221" s="898">
        <v>12</v>
      </c>
      <c r="P1221" s="899">
        <f t="shared" si="49"/>
        <v>135600</v>
      </c>
    </row>
    <row r="1222" spans="1:16" ht="24" x14ac:dyDescent="0.2">
      <c r="A1222" s="916" t="s">
        <v>5035</v>
      </c>
      <c r="B1222" s="943" t="s">
        <v>3092</v>
      </c>
      <c r="C1222" s="916" t="s">
        <v>5515</v>
      </c>
      <c r="D1222" s="943" t="s">
        <v>5040</v>
      </c>
      <c r="E1222" s="1144">
        <v>6000</v>
      </c>
      <c r="F1222" s="943" t="s">
        <v>5516</v>
      </c>
      <c r="G1222" s="1245" t="s">
        <v>5517</v>
      </c>
      <c r="H1222" s="1245" t="s">
        <v>517</v>
      </c>
      <c r="I1222" s="1147"/>
      <c r="J1222" s="943"/>
      <c r="K1222" s="944">
        <v>1</v>
      </c>
      <c r="L1222" s="898">
        <v>7</v>
      </c>
      <c r="M1222" s="899">
        <f t="shared" si="48"/>
        <v>42000</v>
      </c>
      <c r="N1222" s="898">
        <v>1</v>
      </c>
      <c r="O1222" s="898">
        <v>12</v>
      </c>
      <c r="P1222" s="899">
        <f t="shared" si="49"/>
        <v>72000</v>
      </c>
    </row>
    <row r="1223" spans="1:16" ht="24" x14ac:dyDescent="0.2">
      <c r="A1223" s="916" t="s">
        <v>5035</v>
      </c>
      <c r="B1223" s="943" t="s">
        <v>3092</v>
      </c>
      <c r="C1223" s="916" t="s">
        <v>5515</v>
      </c>
      <c r="D1223" s="943" t="s">
        <v>5040</v>
      </c>
      <c r="E1223" s="1144">
        <v>3300</v>
      </c>
      <c r="F1223" s="943" t="s">
        <v>5518</v>
      </c>
      <c r="G1223" s="1245" t="s">
        <v>5519</v>
      </c>
      <c r="H1223" s="1245" t="s">
        <v>5043</v>
      </c>
      <c r="I1223" s="1147"/>
      <c r="J1223" s="943"/>
      <c r="K1223" s="944">
        <v>1</v>
      </c>
      <c r="L1223" s="898">
        <v>7</v>
      </c>
      <c r="M1223" s="899">
        <f t="shared" si="48"/>
        <v>23100</v>
      </c>
      <c r="N1223" s="898">
        <v>1</v>
      </c>
      <c r="O1223" s="898">
        <v>12</v>
      </c>
      <c r="P1223" s="899">
        <f t="shared" si="49"/>
        <v>39600</v>
      </c>
    </row>
    <row r="1224" spans="1:16" ht="24" x14ac:dyDescent="0.2">
      <c r="A1224" s="916" t="s">
        <v>5035</v>
      </c>
      <c r="B1224" s="943" t="s">
        <v>3092</v>
      </c>
      <c r="C1224" s="916" t="s">
        <v>5515</v>
      </c>
      <c r="D1224" s="943" t="s">
        <v>5040</v>
      </c>
      <c r="E1224" s="1144">
        <v>3300</v>
      </c>
      <c r="F1224" s="943" t="s">
        <v>5520</v>
      </c>
      <c r="G1224" s="1245" t="s">
        <v>5521</v>
      </c>
      <c r="H1224" s="1245" t="s">
        <v>5043</v>
      </c>
      <c r="I1224" s="1147"/>
      <c r="J1224" s="943"/>
      <c r="K1224" s="944">
        <v>1</v>
      </c>
      <c r="L1224" s="898">
        <v>7</v>
      </c>
      <c r="M1224" s="899">
        <f t="shared" si="48"/>
        <v>23100</v>
      </c>
      <c r="N1224" s="898">
        <v>1</v>
      </c>
      <c r="O1224" s="898">
        <v>12</v>
      </c>
      <c r="P1224" s="899">
        <f t="shared" si="49"/>
        <v>39600</v>
      </c>
    </row>
    <row r="1225" spans="1:16" ht="24" x14ac:dyDescent="0.2">
      <c r="A1225" s="916" t="s">
        <v>5035</v>
      </c>
      <c r="B1225" s="943" t="s">
        <v>3092</v>
      </c>
      <c r="C1225" s="916" t="s">
        <v>5515</v>
      </c>
      <c r="D1225" s="943" t="s">
        <v>5040</v>
      </c>
      <c r="E1225" s="1144">
        <v>6000</v>
      </c>
      <c r="F1225" s="943" t="s">
        <v>5522</v>
      </c>
      <c r="G1225" s="1245" t="s">
        <v>5523</v>
      </c>
      <c r="H1225" s="1245" t="s">
        <v>517</v>
      </c>
      <c r="I1225" s="1147"/>
      <c r="J1225" s="943"/>
      <c r="K1225" s="944">
        <v>1</v>
      </c>
      <c r="L1225" s="898">
        <v>7</v>
      </c>
      <c r="M1225" s="899">
        <f t="shared" si="48"/>
        <v>42000</v>
      </c>
      <c r="N1225" s="898">
        <v>1</v>
      </c>
      <c r="O1225" s="898">
        <v>12</v>
      </c>
      <c r="P1225" s="899">
        <f t="shared" si="49"/>
        <v>72000</v>
      </c>
    </row>
    <row r="1226" spans="1:16" ht="24" x14ac:dyDescent="0.2">
      <c r="A1226" s="916" t="s">
        <v>5035</v>
      </c>
      <c r="B1226" s="943" t="s">
        <v>3092</v>
      </c>
      <c r="C1226" s="916" t="s">
        <v>5515</v>
      </c>
      <c r="D1226" s="943" t="s">
        <v>5040</v>
      </c>
      <c r="E1226" s="1144">
        <v>3300</v>
      </c>
      <c r="F1226" s="943" t="s">
        <v>5524</v>
      </c>
      <c r="G1226" s="1245" t="s">
        <v>5525</v>
      </c>
      <c r="H1226" s="1245" t="s">
        <v>5043</v>
      </c>
      <c r="I1226" s="1147"/>
      <c r="J1226" s="943"/>
      <c r="K1226" s="944">
        <v>1</v>
      </c>
      <c r="L1226" s="898">
        <v>7</v>
      </c>
      <c r="M1226" s="899">
        <f t="shared" si="48"/>
        <v>23100</v>
      </c>
      <c r="N1226" s="898">
        <v>1</v>
      </c>
      <c r="O1226" s="898">
        <v>12</v>
      </c>
      <c r="P1226" s="899">
        <f t="shared" si="49"/>
        <v>39600</v>
      </c>
    </row>
    <row r="1227" spans="1:16" ht="24" x14ac:dyDescent="0.2">
      <c r="A1227" s="916" t="s">
        <v>5035</v>
      </c>
      <c r="B1227" s="943" t="s">
        <v>3092</v>
      </c>
      <c r="C1227" s="916" t="s">
        <v>5515</v>
      </c>
      <c r="D1227" s="943" t="s">
        <v>5040</v>
      </c>
      <c r="E1227" s="1144">
        <v>3300</v>
      </c>
      <c r="F1227" s="943" t="s">
        <v>5526</v>
      </c>
      <c r="G1227" s="1245" t="s">
        <v>5527</v>
      </c>
      <c r="H1227" s="1245" t="s">
        <v>5043</v>
      </c>
      <c r="I1227" s="1147"/>
      <c r="J1227" s="943"/>
      <c r="K1227" s="944">
        <v>1</v>
      </c>
      <c r="L1227" s="898">
        <v>7</v>
      </c>
      <c r="M1227" s="899">
        <f t="shared" si="48"/>
        <v>23100</v>
      </c>
      <c r="N1227" s="898">
        <v>1</v>
      </c>
      <c r="O1227" s="898">
        <v>12</v>
      </c>
      <c r="P1227" s="899">
        <f t="shared" si="49"/>
        <v>39600</v>
      </c>
    </row>
    <row r="1228" spans="1:16" ht="24" x14ac:dyDescent="0.2">
      <c r="A1228" s="916" t="s">
        <v>5035</v>
      </c>
      <c r="B1228" s="943" t="s">
        <v>3092</v>
      </c>
      <c r="C1228" s="916" t="s">
        <v>5515</v>
      </c>
      <c r="D1228" s="943" t="s">
        <v>5040</v>
      </c>
      <c r="E1228" s="1144">
        <v>6000</v>
      </c>
      <c r="F1228" s="943" t="s">
        <v>5528</v>
      </c>
      <c r="G1228" s="1245" t="s">
        <v>5529</v>
      </c>
      <c r="H1228" s="1245" t="s">
        <v>517</v>
      </c>
      <c r="I1228" s="1147"/>
      <c r="J1228" s="943"/>
      <c r="K1228" s="944">
        <v>1</v>
      </c>
      <c r="L1228" s="898">
        <v>7</v>
      </c>
      <c r="M1228" s="899">
        <f t="shared" si="48"/>
        <v>42000</v>
      </c>
      <c r="N1228" s="898">
        <v>1</v>
      </c>
      <c r="O1228" s="898">
        <v>12</v>
      </c>
      <c r="P1228" s="899">
        <f t="shared" si="49"/>
        <v>72000</v>
      </c>
    </row>
    <row r="1229" spans="1:16" ht="24" x14ac:dyDescent="0.2">
      <c r="A1229" s="916" t="s">
        <v>5035</v>
      </c>
      <c r="B1229" s="943" t="s">
        <v>3092</v>
      </c>
      <c r="C1229" s="916" t="s">
        <v>5515</v>
      </c>
      <c r="D1229" s="943" t="s">
        <v>5040</v>
      </c>
      <c r="E1229" s="1144">
        <v>6000</v>
      </c>
      <c r="F1229" s="943" t="s">
        <v>5530</v>
      </c>
      <c r="G1229" s="1245" t="s">
        <v>5531</v>
      </c>
      <c r="H1229" s="1245" t="s">
        <v>517</v>
      </c>
      <c r="I1229" s="1147"/>
      <c r="J1229" s="943"/>
      <c r="K1229" s="944">
        <v>1</v>
      </c>
      <c r="L1229" s="898">
        <v>7</v>
      </c>
      <c r="M1229" s="899">
        <f t="shared" si="48"/>
        <v>42000</v>
      </c>
      <c r="N1229" s="898">
        <v>1</v>
      </c>
      <c r="O1229" s="898">
        <v>12</v>
      </c>
      <c r="P1229" s="899">
        <f t="shared" si="49"/>
        <v>72000</v>
      </c>
    </row>
    <row r="1230" spans="1:16" ht="24" x14ac:dyDescent="0.2">
      <c r="A1230" s="916" t="s">
        <v>5035</v>
      </c>
      <c r="B1230" s="943" t="s">
        <v>3092</v>
      </c>
      <c r="C1230" s="916" t="s">
        <v>5515</v>
      </c>
      <c r="D1230" s="943" t="s">
        <v>5040</v>
      </c>
      <c r="E1230" s="1144">
        <v>3300</v>
      </c>
      <c r="F1230" s="943" t="s">
        <v>5532</v>
      </c>
      <c r="G1230" s="1245" t="s">
        <v>5533</v>
      </c>
      <c r="H1230" s="1245" t="s">
        <v>5043</v>
      </c>
      <c r="I1230" s="1147"/>
      <c r="J1230" s="943"/>
      <c r="K1230" s="944">
        <v>1</v>
      </c>
      <c r="L1230" s="898">
        <v>7</v>
      </c>
      <c r="M1230" s="899">
        <f t="shared" si="48"/>
        <v>23100</v>
      </c>
      <c r="N1230" s="898">
        <v>1</v>
      </c>
      <c r="O1230" s="898">
        <v>12</v>
      </c>
      <c r="P1230" s="899">
        <f t="shared" si="49"/>
        <v>39600</v>
      </c>
    </row>
    <row r="1231" spans="1:16" ht="24" x14ac:dyDescent="0.2">
      <c r="A1231" s="916" t="s">
        <v>5035</v>
      </c>
      <c r="B1231" s="943" t="s">
        <v>3092</v>
      </c>
      <c r="C1231" s="916" t="s">
        <v>5515</v>
      </c>
      <c r="D1231" s="943" t="s">
        <v>5040</v>
      </c>
      <c r="E1231" s="1144">
        <v>3300</v>
      </c>
      <c r="F1231" s="943" t="s">
        <v>5534</v>
      </c>
      <c r="G1231" s="1245" t="s">
        <v>5535</v>
      </c>
      <c r="H1231" s="1245" t="s">
        <v>5043</v>
      </c>
      <c r="I1231" s="1147"/>
      <c r="J1231" s="943"/>
      <c r="K1231" s="944">
        <v>1</v>
      </c>
      <c r="L1231" s="898">
        <v>7</v>
      </c>
      <c r="M1231" s="899">
        <f t="shared" si="48"/>
        <v>23100</v>
      </c>
      <c r="N1231" s="898">
        <v>1</v>
      </c>
      <c r="O1231" s="898">
        <v>12</v>
      </c>
      <c r="P1231" s="899">
        <f t="shared" si="49"/>
        <v>39600</v>
      </c>
    </row>
    <row r="1232" spans="1:16" ht="24" x14ac:dyDescent="0.2">
      <c r="A1232" s="916" t="s">
        <v>5035</v>
      </c>
      <c r="B1232" s="943" t="s">
        <v>3092</v>
      </c>
      <c r="C1232" s="916" t="s">
        <v>5515</v>
      </c>
      <c r="D1232" s="943" t="s">
        <v>5040</v>
      </c>
      <c r="E1232" s="1144">
        <v>3300</v>
      </c>
      <c r="F1232" s="943" t="s">
        <v>5536</v>
      </c>
      <c r="G1232" s="1245" t="s">
        <v>5537</v>
      </c>
      <c r="H1232" s="1245" t="s">
        <v>5043</v>
      </c>
      <c r="I1232" s="1147"/>
      <c r="J1232" s="943"/>
      <c r="K1232" s="944">
        <v>1</v>
      </c>
      <c r="L1232" s="898">
        <v>7</v>
      </c>
      <c r="M1232" s="899">
        <f t="shared" si="48"/>
        <v>23100</v>
      </c>
      <c r="N1232" s="898">
        <v>1</v>
      </c>
      <c r="O1232" s="898">
        <v>12</v>
      </c>
      <c r="P1232" s="899">
        <f t="shared" si="49"/>
        <v>39600</v>
      </c>
    </row>
    <row r="1233" spans="1:16" ht="24" x14ac:dyDescent="0.2">
      <c r="A1233" s="916" t="s">
        <v>5035</v>
      </c>
      <c r="B1233" s="943" t="s">
        <v>3092</v>
      </c>
      <c r="C1233" s="916" t="s">
        <v>5515</v>
      </c>
      <c r="D1233" s="943" t="s">
        <v>5040</v>
      </c>
      <c r="E1233" s="1144">
        <v>3300</v>
      </c>
      <c r="F1233" s="943" t="s">
        <v>5538</v>
      </c>
      <c r="G1233" s="1245" t="s">
        <v>5539</v>
      </c>
      <c r="H1233" s="1245" t="s">
        <v>5043</v>
      </c>
      <c r="I1233" s="1147"/>
      <c r="J1233" s="943"/>
      <c r="K1233" s="944">
        <v>1</v>
      </c>
      <c r="L1233" s="898">
        <v>7</v>
      </c>
      <c r="M1233" s="899">
        <f t="shared" si="48"/>
        <v>23100</v>
      </c>
      <c r="N1233" s="898">
        <v>1</v>
      </c>
      <c r="O1233" s="898">
        <v>12</v>
      </c>
      <c r="P1233" s="899">
        <f t="shared" si="49"/>
        <v>39600</v>
      </c>
    </row>
    <row r="1234" spans="1:16" ht="24" x14ac:dyDescent="0.2">
      <c r="A1234" s="916" t="s">
        <v>5035</v>
      </c>
      <c r="B1234" s="943" t="s">
        <v>3092</v>
      </c>
      <c r="C1234" s="916" t="s">
        <v>5515</v>
      </c>
      <c r="D1234" s="943" t="s">
        <v>5040</v>
      </c>
      <c r="E1234" s="1144">
        <v>6000</v>
      </c>
      <c r="F1234" s="943" t="s">
        <v>5540</v>
      </c>
      <c r="G1234" s="1245" t="s">
        <v>5541</v>
      </c>
      <c r="H1234" s="1245" t="s">
        <v>517</v>
      </c>
      <c r="I1234" s="1147"/>
      <c r="J1234" s="943"/>
      <c r="K1234" s="944">
        <v>1</v>
      </c>
      <c r="L1234" s="898">
        <v>7</v>
      </c>
      <c r="M1234" s="899">
        <f t="shared" si="48"/>
        <v>42000</v>
      </c>
      <c r="N1234" s="898">
        <v>1</v>
      </c>
      <c r="O1234" s="898">
        <v>12</v>
      </c>
      <c r="P1234" s="899">
        <f t="shared" si="49"/>
        <v>72000</v>
      </c>
    </row>
    <row r="1235" spans="1:16" ht="24" x14ac:dyDescent="0.2">
      <c r="A1235" s="916" t="s">
        <v>5035</v>
      </c>
      <c r="B1235" s="943" t="s">
        <v>3092</v>
      </c>
      <c r="C1235" s="916" t="s">
        <v>5515</v>
      </c>
      <c r="D1235" s="943" t="s">
        <v>5040</v>
      </c>
      <c r="E1235" s="1144">
        <v>3300</v>
      </c>
      <c r="F1235" s="943" t="s">
        <v>5542</v>
      </c>
      <c r="G1235" s="1245" t="s">
        <v>5543</v>
      </c>
      <c r="H1235" s="1245" t="s">
        <v>5043</v>
      </c>
      <c r="I1235" s="1147"/>
      <c r="J1235" s="943"/>
      <c r="K1235" s="944">
        <v>1</v>
      </c>
      <c r="L1235" s="898">
        <v>7</v>
      </c>
      <c r="M1235" s="899">
        <f t="shared" si="48"/>
        <v>23100</v>
      </c>
      <c r="N1235" s="898">
        <v>1</v>
      </c>
      <c r="O1235" s="898">
        <v>12</v>
      </c>
      <c r="P1235" s="899">
        <f t="shared" si="49"/>
        <v>39600</v>
      </c>
    </row>
    <row r="1236" spans="1:16" ht="24" x14ac:dyDescent="0.2">
      <c r="A1236" s="916" t="s">
        <v>5035</v>
      </c>
      <c r="B1236" s="943" t="s">
        <v>3092</v>
      </c>
      <c r="C1236" s="916" t="s">
        <v>5515</v>
      </c>
      <c r="D1236" s="943" t="s">
        <v>5040</v>
      </c>
      <c r="E1236" s="1144">
        <v>3300</v>
      </c>
      <c r="F1236" s="943" t="s">
        <v>5544</v>
      </c>
      <c r="G1236" s="1245" t="s">
        <v>5545</v>
      </c>
      <c r="H1236" s="1245" t="s">
        <v>5043</v>
      </c>
      <c r="I1236" s="1147"/>
      <c r="J1236" s="943"/>
      <c r="K1236" s="944">
        <v>1</v>
      </c>
      <c r="L1236" s="898">
        <v>7</v>
      </c>
      <c r="M1236" s="899">
        <f t="shared" si="48"/>
        <v>23100</v>
      </c>
      <c r="N1236" s="898">
        <v>1</v>
      </c>
      <c r="O1236" s="898">
        <v>12</v>
      </c>
      <c r="P1236" s="899">
        <f t="shared" si="49"/>
        <v>39600</v>
      </c>
    </row>
    <row r="1237" spans="1:16" ht="24" x14ac:dyDescent="0.2">
      <c r="A1237" s="916" t="s">
        <v>5035</v>
      </c>
      <c r="B1237" s="943" t="s">
        <v>3092</v>
      </c>
      <c r="C1237" s="916" t="s">
        <v>5515</v>
      </c>
      <c r="D1237" s="943" t="s">
        <v>5040</v>
      </c>
      <c r="E1237" s="1144">
        <v>3300</v>
      </c>
      <c r="F1237" s="943" t="s">
        <v>5546</v>
      </c>
      <c r="G1237" s="1245" t="s">
        <v>5547</v>
      </c>
      <c r="H1237" s="1245" t="s">
        <v>5043</v>
      </c>
      <c r="I1237" s="1147"/>
      <c r="J1237" s="943"/>
      <c r="K1237" s="944">
        <v>1</v>
      </c>
      <c r="L1237" s="898">
        <v>7</v>
      </c>
      <c r="M1237" s="899">
        <f t="shared" si="48"/>
        <v>23100</v>
      </c>
      <c r="N1237" s="898">
        <v>1</v>
      </c>
      <c r="O1237" s="898">
        <v>12</v>
      </c>
      <c r="P1237" s="899">
        <f t="shared" si="49"/>
        <v>39600</v>
      </c>
    </row>
    <row r="1238" spans="1:16" ht="24" x14ac:dyDescent="0.2">
      <c r="A1238" s="916" t="s">
        <v>5035</v>
      </c>
      <c r="B1238" s="943" t="s">
        <v>3092</v>
      </c>
      <c r="C1238" s="916" t="s">
        <v>5515</v>
      </c>
      <c r="D1238" s="943" t="s">
        <v>5040</v>
      </c>
      <c r="E1238" s="1144">
        <v>3300</v>
      </c>
      <c r="F1238" s="943" t="s">
        <v>5548</v>
      </c>
      <c r="G1238" s="1245" t="s">
        <v>5549</v>
      </c>
      <c r="H1238" s="1245" t="s">
        <v>5043</v>
      </c>
      <c r="I1238" s="1147"/>
      <c r="J1238" s="943"/>
      <c r="K1238" s="944">
        <v>1</v>
      </c>
      <c r="L1238" s="898">
        <v>7</v>
      </c>
      <c r="M1238" s="899">
        <f t="shared" si="48"/>
        <v>23100</v>
      </c>
      <c r="N1238" s="898">
        <v>1</v>
      </c>
      <c r="O1238" s="898">
        <v>12</v>
      </c>
      <c r="P1238" s="899">
        <f t="shared" si="49"/>
        <v>39600</v>
      </c>
    </row>
    <row r="1239" spans="1:16" ht="24" x14ac:dyDescent="0.2">
      <c r="A1239" s="916" t="s">
        <v>5035</v>
      </c>
      <c r="B1239" s="943" t="s">
        <v>3092</v>
      </c>
      <c r="C1239" s="916" t="s">
        <v>5515</v>
      </c>
      <c r="D1239" s="943" t="s">
        <v>5040</v>
      </c>
      <c r="E1239" s="1144">
        <v>3300</v>
      </c>
      <c r="F1239" s="943" t="s">
        <v>5550</v>
      </c>
      <c r="G1239" s="1245" t="s">
        <v>5551</v>
      </c>
      <c r="H1239" s="1245" t="s">
        <v>5043</v>
      </c>
      <c r="I1239" s="1147"/>
      <c r="J1239" s="943"/>
      <c r="K1239" s="944">
        <v>1</v>
      </c>
      <c r="L1239" s="898">
        <v>7</v>
      </c>
      <c r="M1239" s="899">
        <f t="shared" si="48"/>
        <v>23100</v>
      </c>
      <c r="N1239" s="898">
        <v>1</v>
      </c>
      <c r="O1239" s="898">
        <v>12</v>
      </c>
      <c r="P1239" s="899">
        <f t="shared" si="49"/>
        <v>39600</v>
      </c>
    </row>
    <row r="1240" spans="1:16" ht="24" x14ac:dyDescent="0.2">
      <c r="A1240" s="916" t="s">
        <v>5035</v>
      </c>
      <c r="B1240" s="943" t="s">
        <v>3092</v>
      </c>
      <c r="C1240" s="916" t="s">
        <v>5515</v>
      </c>
      <c r="D1240" s="943" t="s">
        <v>5040</v>
      </c>
      <c r="E1240" s="1144">
        <v>3300</v>
      </c>
      <c r="F1240" s="943" t="s">
        <v>5552</v>
      </c>
      <c r="G1240" s="1245" t="s">
        <v>5553</v>
      </c>
      <c r="H1240" s="1245" t="s">
        <v>5043</v>
      </c>
      <c r="I1240" s="1147"/>
      <c r="J1240" s="943"/>
      <c r="K1240" s="944">
        <v>1</v>
      </c>
      <c r="L1240" s="898">
        <v>7</v>
      </c>
      <c r="M1240" s="899">
        <f t="shared" si="48"/>
        <v>23100</v>
      </c>
      <c r="N1240" s="898">
        <v>1</v>
      </c>
      <c r="O1240" s="898">
        <v>12</v>
      </c>
      <c r="P1240" s="899">
        <f t="shared" si="49"/>
        <v>39600</v>
      </c>
    </row>
    <row r="1241" spans="1:16" ht="24" x14ac:dyDescent="0.2">
      <c r="A1241" s="916" t="s">
        <v>5035</v>
      </c>
      <c r="B1241" s="943" t="s">
        <v>3092</v>
      </c>
      <c r="C1241" s="916" t="s">
        <v>5515</v>
      </c>
      <c r="D1241" s="943" t="s">
        <v>5040</v>
      </c>
      <c r="E1241" s="1144">
        <v>3300</v>
      </c>
      <c r="F1241" s="943" t="s">
        <v>5554</v>
      </c>
      <c r="G1241" s="1245" t="s">
        <v>5555</v>
      </c>
      <c r="H1241" s="1245" t="s">
        <v>5043</v>
      </c>
      <c r="I1241" s="1147"/>
      <c r="J1241" s="943"/>
      <c r="K1241" s="944">
        <v>1</v>
      </c>
      <c r="L1241" s="898">
        <v>7</v>
      </c>
      <c r="M1241" s="899">
        <f t="shared" si="48"/>
        <v>23100</v>
      </c>
      <c r="N1241" s="898">
        <v>1</v>
      </c>
      <c r="O1241" s="898">
        <v>12</v>
      </c>
      <c r="P1241" s="899">
        <f t="shared" si="49"/>
        <v>39600</v>
      </c>
    </row>
    <row r="1242" spans="1:16" ht="24" x14ac:dyDescent="0.2">
      <c r="A1242" s="916" t="s">
        <v>5035</v>
      </c>
      <c r="B1242" s="943" t="s">
        <v>3092</v>
      </c>
      <c r="C1242" s="916" t="s">
        <v>5515</v>
      </c>
      <c r="D1242" s="943" t="s">
        <v>5040</v>
      </c>
      <c r="E1242" s="1144">
        <v>3300</v>
      </c>
      <c r="F1242" s="943" t="s">
        <v>5556</v>
      </c>
      <c r="G1242" s="1245" t="s">
        <v>5557</v>
      </c>
      <c r="H1242" s="1245" t="s">
        <v>5043</v>
      </c>
      <c r="I1242" s="1147"/>
      <c r="J1242" s="943"/>
      <c r="K1242" s="944">
        <v>1</v>
      </c>
      <c r="L1242" s="898">
        <v>7</v>
      </c>
      <c r="M1242" s="899">
        <f t="shared" si="48"/>
        <v>23100</v>
      </c>
      <c r="N1242" s="898">
        <v>1</v>
      </c>
      <c r="O1242" s="898">
        <v>12</v>
      </c>
      <c r="P1242" s="899">
        <f t="shared" si="49"/>
        <v>39600</v>
      </c>
    </row>
    <row r="1243" spans="1:16" ht="24" x14ac:dyDescent="0.2">
      <c r="A1243" s="916" t="s">
        <v>5035</v>
      </c>
      <c r="B1243" s="943" t="s">
        <v>3092</v>
      </c>
      <c r="C1243" s="916" t="s">
        <v>5515</v>
      </c>
      <c r="D1243" s="943" t="s">
        <v>5040</v>
      </c>
      <c r="E1243" s="1144">
        <v>6000</v>
      </c>
      <c r="F1243" s="943" t="s">
        <v>5558</v>
      </c>
      <c r="G1243" s="1245" t="s">
        <v>5559</v>
      </c>
      <c r="H1243" s="1245" t="s">
        <v>517</v>
      </c>
      <c r="I1243" s="1147"/>
      <c r="J1243" s="943"/>
      <c r="K1243" s="944">
        <v>1</v>
      </c>
      <c r="L1243" s="898">
        <v>7</v>
      </c>
      <c r="M1243" s="899">
        <f t="shared" si="48"/>
        <v>42000</v>
      </c>
      <c r="N1243" s="898">
        <v>1</v>
      </c>
      <c r="O1243" s="898">
        <v>12</v>
      </c>
      <c r="P1243" s="899">
        <f t="shared" si="49"/>
        <v>72000</v>
      </c>
    </row>
    <row r="1244" spans="1:16" ht="24" x14ac:dyDescent="0.2">
      <c r="A1244" s="916" t="s">
        <v>5035</v>
      </c>
      <c r="B1244" s="943" t="s">
        <v>3092</v>
      </c>
      <c r="C1244" s="916" t="s">
        <v>5515</v>
      </c>
      <c r="D1244" s="943" t="s">
        <v>5040</v>
      </c>
      <c r="E1244" s="1144">
        <v>3300</v>
      </c>
      <c r="F1244" s="943" t="s">
        <v>5560</v>
      </c>
      <c r="G1244" s="1245" t="s">
        <v>5561</v>
      </c>
      <c r="H1244" s="1245" t="s">
        <v>5043</v>
      </c>
      <c r="I1244" s="1147"/>
      <c r="J1244" s="943"/>
      <c r="K1244" s="944">
        <v>1</v>
      </c>
      <c r="L1244" s="898">
        <v>7</v>
      </c>
      <c r="M1244" s="899">
        <f t="shared" si="48"/>
        <v>23100</v>
      </c>
      <c r="N1244" s="898">
        <v>1</v>
      </c>
      <c r="O1244" s="898">
        <v>12</v>
      </c>
      <c r="P1244" s="899">
        <f t="shared" si="49"/>
        <v>39600</v>
      </c>
    </row>
    <row r="1245" spans="1:16" ht="24" x14ac:dyDescent="0.2">
      <c r="A1245" s="916" t="s">
        <v>5035</v>
      </c>
      <c r="B1245" s="943" t="s">
        <v>3092</v>
      </c>
      <c r="C1245" s="916" t="s">
        <v>5515</v>
      </c>
      <c r="D1245" s="943" t="s">
        <v>5040</v>
      </c>
      <c r="E1245" s="1144">
        <v>3300</v>
      </c>
      <c r="F1245" s="943" t="s">
        <v>5562</v>
      </c>
      <c r="G1245" s="1245" t="s">
        <v>5563</v>
      </c>
      <c r="H1245" s="1245" t="s">
        <v>5043</v>
      </c>
      <c r="I1245" s="1147"/>
      <c r="J1245" s="943"/>
      <c r="K1245" s="944">
        <v>1</v>
      </c>
      <c r="L1245" s="898">
        <v>7</v>
      </c>
      <c r="M1245" s="899">
        <f t="shared" si="48"/>
        <v>23100</v>
      </c>
      <c r="N1245" s="898">
        <v>1</v>
      </c>
      <c r="O1245" s="898">
        <v>12</v>
      </c>
      <c r="P1245" s="899">
        <f t="shared" si="49"/>
        <v>39600</v>
      </c>
    </row>
    <row r="1246" spans="1:16" ht="24" x14ac:dyDescent="0.2">
      <c r="A1246" s="916" t="s">
        <v>5035</v>
      </c>
      <c r="B1246" s="943" t="s">
        <v>3092</v>
      </c>
      <c r="C1246" s="916" t="s">
        <v>5515</v>
      </c>
      <c r="D1246" s="943" t="s">
        <v>5040</v>
      </c>
      <c r="E1246" s="1144">
        <v>6000</v>
      </c>
      <c r="F1246" s="943" t="s">
        <v>5564</v>
      </c>
      <c r="G1246" s="1245" t="s">
        <v>5565</v>
      </c>
      <c r="H1246" s="1245" t="s">
        <v>517</v>
      </c>
      <c r="I1246" s="1147"/>
      <c r="J1246" s="943"/>
      <c r="K1246" s="944">
        <v>1</v>
      </c>
      <c r="L1246" s="898">
        <v>7</v>
      </c>
      <c r="M1246" s="899">
        <f t="shared" si="48"/>
        <v>42000</v>
      </c>
      <c r="N1246" s="898">
        <v>1</v>
      </c>
      <c r="O1246" s="898">
        <v>12</v>
      </c>
      <c r="P1246" s="899">
        <f t="shared" si="49"/>
        <v>72000</v>
      </c>
    </row>
    <row r="1247" spans="1:16" ht="24" x14ac:dyDescent="0.2">
      <c r="A1247" s="916" t="s">
        <v>5035</v>
      </c>
      <c r="B1247" s="943" t="s">
        <v>3092</v>
      </c>
      <c r="C1247" s="916" t="s">
        <v>5515</v>
      </c>
      <c r="D1247" s="943" t="s">
        <v>5040</v>
      </c>
      <c r="E1247" s="1144">
        <v>5806.45</v>
      </c>
      <c r="F1247" s="943" t="s">
        <v>5566</v>
      </c>
      <c r="G1247" s="1245" t="s">
        <v>5567</v>
      </c>
      <c r="H1247" s="1245" t="s">
        <v>517</v>
      </c>
      <c r="I1247" s="1147"/>
      <c r="J1247" s="943"/>
      <c r="K1247" s="944">
        <v>1</v>
      </c>
      <c r="L1247" s="898">
        <v>7</v>
      </c>
      <c r="M1247" s="899">
        <f t="shared" si="48"/>
        <v>40645.15</v>
      </c>
      <c r="N1247" s="898">
        <v>1</v>
      </c>
      <c r="O1247" s="898">
        <v>12</v>
      </c>
      <c r="P1247" s="899">
        <f t="shared" si="49"/>
        <v>69677.399999999994</v>
      </c>
    </row>
    <row r="1248" spans="1:16" ht="24" x14ac:dyDescent="0.2">
      <c r="A1248" s="916" t="s">
        <v>5035</v>
      </c>
      <c r="B1248" s="943" t="s">
        <v>3092</v>
      </c>
      <c r="C1248" s="916" t="s">
        <v>5515</v>
      </c>
      <c r="D1248" s="943" t="s">
        <v>5040</v>
      </c>
      <c r="E1248" s="1144">
        <v>6000</v>
      </c>
      <c r="F1248" s="943" t="s">
        <v>5568</v>
      </c>
      <c r="G1248" s="1245" t="s">
        <v>5569</v>
      </c>
      <c r="H1248" s="1245" t="s">
        <v>517</v>
      </c>
      <c r="I1248" s="1147"/>
      <c r="J1248" s="943"/>
      <c r="K1248" s="944">
        <v>1</v>
      </c>
      <c r="L1248" s="898">
        <v>7</v>
      </c>
      <c r="M1248" s="899">
        <f t="shared" si="48"/>
        <v>42000</v>
      </c>
      <c r="N1248" s="898">
        <v>1</v>
      </c>
      <c r="O1248" s="898">
        <v>12</v>
      </c>
      <c r="P1248" s="899">
        <f t="shared" si="49"/>
        <v>72000</v>
      </c>
    </row>
    <row r="1249" spans="1:16" ht="24" x14ac:dyDescent="0.2">
      <c r="A1249" s="916" t="s">
        <v>5035</v>
      </c>
      <c r="B1249" s="943" t="s">
        <v>3092</v>
      </c>
      <c r="C1249" s="916" t="s">
        <v>5515</v>
      </c>
      <c r="D1249" s="943" t="s">
        <v>5040</v>
      </c>
      <c r="E1249" s="1144">
        <v>6000</v>
      </c>
      <c r="F1249" s="943" t="s">
        <v>5570</v>
      </c>
      <c r="G1249" s="1245" t="s">
        <v>5571</v>
      </c>
      <c r="H1249" s="1245" t="s">
        <v>517</v>
      </c>
      <c r="I1249" s="1147"/>
      <c r="J1249" s="943"/>
      <c r="K1249" s="944">
        <v>1</v>
      </c>
      <c r="L1249" s="898">
        <v>7</v>
      </c>
      <c r="M1249" s="899">
        <f t="shared" si="48"/>
        <v>42000</v>
      </c>
      <c r="N1249" s="898">
        <v>1</v>
      </c>
      <c r="O1249" s="898">
        <v>12</v>
      </c>
      <c r="P1249" s="899">
        <f t="shared" si="49"/>
        <v>72000</v>
      </c>
    </row>
    <row r="1250" spans="1:16" ht="24" x14ac:dyDescent="0.2">
      <c r="A1250" s="916" t="s">
        <v>5035</v>
      </c>
      <c r="B1250" s="943" t="s">
        <v>3092</v>
      </c>
      <c r="C1250" s="916" t="s">
        <v>5515</v>
      </c>
      <c r="D1250" s="943" t="s">
        <v>5040</v>
      </c>
      <c r="E1250" s="1144">
        <v>3300</v>
      </c>
      <c r="F1250" s="943" t="s">
        <v>5572</v>
      </c>
      <c r="G1250" s="1245" t="s">
        <v>5573</v>
      </c>
      <c r="H1250" s="1245" t="s">
        <v>5043</v>
      </c>
      <c r="I1250" s="1147"/>
      <c r="J1250" s="943"/>
      <c r="K1250" s="944">
        <v>1</v>
      </c>
      <c r="L1250" s="898">
        <v>7</v>
      </c>
      <c r="M1250" s="899">
        <f t="shared" si="48"/>
        <v>23100</v>
      </c>
      <c r="N1250" s="898">
        <v>1</v>
      </c>
      <c r="O1250" s="898">
        <v>12</v>
      </c>
      <c r="P1250" s="899">
        <f t="shared" si="49"/>
        <v>39600</v>
      </c>
    </row>
    <row r="1251" spans="1:16" ht="24" x14ac:dyDescent="0.2">
      <c r="A1251" s="916" t="s">
        <v>5035</v>
      </c>
      <c r="B1251" s="943" t="s">
        <v>3092</v>
      </c>
      <c r="C1251" s="916" t="s">
        <v>5515</v>
      </c>
      <c r="D1251" s="943" t="s">
        <v>5040</v>
      </c>
      <c r="E1251" s="1144">
        <v>3300</v>
      </c>
      <c r="F1251" s="943" t="s">
        <v>5574</v>
      </c>
      <c r="G1251" s="1245" t="s">
        <v>5575</v>
      </c>
      <c r="H1251" s="1245" t="s">
        <v>5043</v>
      </c>
      <c r="I1251" s="1147"/>
      <c r="J1251" s="943"/>
      <c r="K1251" s="944">
        <v>1</v>
      </c>
      <c r="L1251" s="898">
        <v>7</v>
      </c>
      <c r="M1251" s="899">
        <f t="shared" si="48"/>
        <v>23100</v>
      </c>
      <c r="N1251" s="898">
        <v>1</v>
      </c>
      <c r="O1251" s="898">
        <v>12</v>
      </c>
      <c r="P1251" s="899">
        <f t="shared" si="49"/>
        <v>39600</v>
      </c>
    </row>
    <row r="1252" spans="1:16" ht="24" x14ac:dyDescent="0.2">
      <c r="A1252" s="916" t="s">
        <v>5035</v>
      </c>
      <c r="B1252" s="943" t="s">
        <v>3092</v>
      </c>
      <c r="C1252" s="916" t="s">
        <v>5515</v>
      </c>
      <c r="D1252" s="943" t="s">
        <v>5040</v>
      </c>
      <c r="E1252" s="1144">
        <v>5806.45</v>
      </c>
      <c r="F1252" s="943" t="s">
        <v>5576</v>
      </c>
      <c r="G1252" s="1245" t="s">
        <v>5577</v>
      </c>
      <c r="H1252" s="1245" t="s">
        <v>517</v>
      </c>
      <c r="I1252" s="1147"/>
      <c r="J1252" s="943"/>
      <c r="K1252" s="944">
        <v>1</v>
      </c>
      <c r="L1252" s="898">
        <v>7</v>
      </c>
      <c r="M1252" s="899">
        <f t="shared" ref="M1252:M1315" si="50">+L1252*E1252</f>
        <v>40645.15</v>
      </c>
      <c r="N1252" s="898">
        <v>1</v>
      </c>
      <c r="O1252" s="898">
        <v>12</v>
      </c>
      <c r="P1252" s="899">
        <f t="shared" ref="P1252:P1315" si="51">+O1252*E1252</f>
        <v>69677.399999999994</v>
      </c>
    </row>
    <row r="1253" spans="1:16" ht="24" x14ac:dyDescent="0.2">
      <c r="A1253" s="916" t="s">
        <v>5035</v>
      </c>
      <c r="B1253" s="943" t="s">
        <v>3092</v>
      </c>
      <c r="C1253" s="916" t="s">
        <v>5515</v>
      </c>
      <c r="D1253" s="943" t="s">
        <v>5040</v>
      </c>
      <c r="E1253" s="1144">
        <v>6000</v>
      </c>
      <c r="F1253" s="943" t="s">
        <v>5578</v>
      </c>
      <c r="G1253" s="1245" t="s">
        <v>5579</v>
      </c>
      <c r="H1253" s="1245" t="s">
        <v>517</v>
      </c>
      <c r="I1253" s="1147"/>
      <c r="J1253" s="943"/>
      <c r="K1253" s="944">
        <v>1</v>
      </c>
      <c r="L1253" s="898">
        <v>7</v>
      </c>
      <c r="M1253" s="899">
        <f t="shared" si="50"/>
        <v>42000</v>
      </c>
      <c r="N1253" s="898">
        <v>1</v>
      </c>
      <c r="O1253" s="898">
        <v>12</v>
      </c>
      <c r="P1253" s="899">
        <f t="shared" si="51"/>
        <v>72000</v>
      </c>
    </row>
    <row r="1254" spans="1:16" ht="24" x14ac:dyDescent="0.2">
      <c r="A1254" s="916" t="s">
        <v>5035</v>
      </c>
      <c r="B1254" s="943" t="s">
        <v>3092</v>
      </c>
      <c r="C1254" s="916" t="s">
        <v>5515</v>
      </c>
      <c r="D1254" s="943" t="s">
        <v>5040</v>
      </c>
      <c r="E1254" s="1144">
        <v>3300</v>
      </c>
      <c r="F1254" s="943" t="s">
        <v>5580</v>
      </c>
      <c r="G1254" s="1245" t="s">
        <v>5581</v>
      </c>
      <c r="H1254" s="1245" t="s">
        <v>5043</v>
      </c>
      <c r="I1254" s="1147"/>
      <c r="J1254" s="943"/>
      <c r="K1254" s="944">
        <v>1</v>
      </c>
      <c r="L1254" s="898">
        <v>7</v>
      </c>
      <c r="M1254" s="899">
        <f t="shared" si="50"/>
        <v>23100</v>
      </c>
      <c r="N1254" s="898">
        <v>1</v>
      </c>
      <c r="O1254" s="898">
        <v>12</v>
      </c>
      <c r="P1254" s="899">
        <f t="shared" si="51"/>
        <v>39600</v>
      </c>
    </row>
    <row r="1255" spans="1:16" ht="24" x14ac:dyDescent="0.2">
      <c r="A1255" s="916" t="s">
        <v>5035</v>
      </c>
      <c r="B1255" s="943" t="s">
        <v>3092</v>
      </c>
      <c r="C1255" s="916" t="s">
        <v>5515</v>
      </c>
      <c r="D1255" s="943" t="s">
        <v>5040</v>
      </c>
      <c r="E1255" s="1144">
        <v>3300</v>
      </c>
      <c r="F1255" s="943" t="s">
        <v>5582</v>
      </c>
      <c r="G1255" s="1245" t="s">
        <v>5583</v>
      </c>
      <c r="H1255" s="1245" t="s">
        <v>5043</v>
      </c>
      <c r="I1255" s="1147"/>
      <c r="J1255" s="943"/>
      <c r="K1255" s="944">
        <v>1</v>
      </c>
      <c r="L1255" s="898">
        <v>7</v>
      </c>
      <c r="M1255" s="899">
        <f t="shared" si="50"/>
        <v>23100</v>
      </c>
      <c r="N1255" s="898">
        <v>1</v>
      </c>
      <c r="O1255" s="898">
        <v>12</v>
      </c>
      <c r="P1255" s="899">
        <f t="shared" si="51"/>
        <v>39600</v>
      </c>
    </row>
    <row r="1256" spans="1:16" ht="24" x14ac:dyDescent="0.2">
      <c r="A1256" s="916" t="s">
        <v>5035</v>
      </c>
      <c r="B1256" s="943" t="s">
        <v>3092</v>
      </c>
      <c r="C1256" s="916" t="s">
        <v>5515</v>
      </c>
      <c r="D1256" s="943" t="s">
        <v>5040</v>
      </c>
      <c r="E1256" s="1144">
        <v>6000</v>
      </c>
      <c r="F1256" s="943" t="s">
        <v>5584</v>
      </c>
      <c r="G1256" s="1245" t="s">
        <v>5585</v>
      </c>
      <c r="H1256" s="1245" t="s">
        <v>517</v>
      </c>
      <c r="I1256" s="1147"/>
      <c r="J1256" s="943"/>
      <c r="K1256" s="944">
        <v>1</v>
      </c>
      <c r="L1256" s="898">
        <v>7</v>
      </c>
      <c r="M1256" s="899">
        <f t="shared" si="50"/>
        <v>42000</v>
      </c>
      <c r="N1256" s="898">
        <v>1</v>
      </c>
      <c r="O1256" s="898">
        <v>12</v>
      </c>
      <c r="P1256" s="899">
        <f t="shared" si="51"/>
        <v>72000</v>
      </c>
    </row>
    <row r="1257" spans="1:16" ht="24" x14ac:dyDescent="0.2">
      <c r="A1257" s="916" t="s">
        <v>5035</v>
      </c>
      <c r="B1257" s="943" t="s">
        <v>3092</v>
      </c>
      <c r="C1257" s="916" t="s">
        <v>5515</v>
      </c>
      <c r="D1257" s="943" t="s">
        <v>5040</v>
      </c>
      <c r="E1257" s="1144">
        <v>5806.45</v>
      </c>
      <c r="F1257" s="943" t="s">
        <v>5586</v>
      </c>
      <c r="G1257" s="1245" t="s">
        <v>5587</v>
      </c>
      <c r="H1257" s="1245" t="s">
        <v>517</v>
      </c>
      <c r="I1257" s="1147"/>
      <c r="J1257" s="943"/>
      <c r="K1257" s="944">
        <v>1</v>
      </c>
      <c r="L1257" s="898">
        <v>7</v>
      </c>
      <c r="M1257" s="899">
        <f t="shared" si="50"/>
        <v>40645.15</v>
      </c>
      <c r="N1257" s="898">
        <v>1</v>
      </c>
      <c r="O1257" s="898">
        <v>12</v>
      </c>
      <c r="P1257" s="899">
        <f t="shared" si="51"/>
        <v>69677.399999999994</v>
      </c>
    </row>
    <row r="1258" spans="1:16" ht="24" x14ac:dyDescent="0.2">
      <c r="A1258" s="916" t="s">
        <v>5035</v>
      </c>
      <c r="B1258" s="943" t="s">
        <v>3092</v>
      </c>
      <c r="C1258" s="916" t="s">
        <v>5515</v>
      </c>
      <c r="D1258" s="943" t="s">
        <v>5040</v>
      </c>
      <c r="E1258" s="1144">
        <v>6000</v>
      </c>
      <c r="F1258" s="943" t="s">
        <v>5588</v>
      </c>
      <c r="G1258" s="1245" t="s">
        <v>5589</v>
      </c>
      <c r="H1258" s="1245" t="s">
        <v>517</v>
      </c>
      <c r="I1258" s="1147"/>
      <c r="J1258" s="943"/>
      <c r="K1258" s="944">
        <v>1</v>
      </c>
      <c r="L1258" s="898">
        <v>7</v>
      </c>
      <c r="M1258" s="899">
        <f t="shared" si="50"/>
        <v>42000</v>
      </c>
      <c r="N1258" s="898">
        <v>1</v>
      </c>
      <c r="O1258" s="898">
        <v>12</v>
      </c>
      <c r="P1258" s="899">
        <f t="shared" si="51"/>
        <v>72000</v>
      </c>
    </row>
    <row r="1259" spans="1:16" ht="24" x14ac:dyDescent="0.2">
      <c r="A1259" s="916" t="s">
        <v>5035</v>
      </c>
      <c r="B1259" s="943" t="s">
        <v>3092</v>
      </c>
      <c r="C1259" s="916" t="s">
        <v>5515</v>
      </c>
      <c r="D1259" s="943" t="s">
        <v>5040</v>
      </c>
      <c r="E1259" s="1144">
        <v>6000</v>
      </c>
      <c r="F1259" s="943" t="s">
        <v>5590</v>
      </c>
      <c r="G1259" s="1245" t="s">
        <v>5591</v>
      </c>
      <c r="H1259" s="1245" t="s">
        <v>517</v>
      </c>
      <c r="I1259" s="1147"/>
      <c r="J1259" s="943"/>
      <c r="K1259" s="944">
        <v>1</v>
      </c>
      <c r="L1259" s="898">
        <v>7</v>
      </c>
      <c r="M1259" s="899">
        <f t="shared" si="50"/>
        <v>42000</v>
      </c>
      <c r="N1259" s="898">
        <v>1</v>
      </c>
      <c r="O1259" s="898">
        <v>12</v>
      </c>
      <c r="P1259" s="899">
        <f t="shared" si="51"/>
        <v>72000</v>
      </c>
    </row>
    <row r="1260" spans="1:16" ht="24" x14ac:dyDescent="0.2">
      <c r="A1260" s="916" t="s">
        <v>5035</v>
      </c>
      <c r="B1260" s="943" t="s">
        <v>3092</v>
      </c>
      <c r="C1260" s="916" t="s">
        <v>5515</v>
      </c>
      <c r="D1260" s="943" t="s">
        <v>5040</v>
      </c>
      <c r="E1260" s="1144">
        <v>3300</v>
      </c>
      <c r="F1260" s="943" t="s">
        <v>5592</v>
      </c>
      <c r="G1260" s="1245" t="s">
        <v>5593</v>
      </c>
      <c r="H1260" s="1245" t="s">
        <v>5043</v>
      </c>
      <c r="I1260" s="1147"/>
      <c r="J1260" s="943"/>
      <c r="K1260" s="944">
        <v>1</v>
      </c>
      <c r="L1260" s="898">
        <v>7</v>
      </c>
      <c r="M1260" s="899">
        <f t="shared" si="50"/>
        <v>23100</v>
      </c>
      <c r="N1260" s="898">
        <v>1</v>
      </c>
      <c r="O1260" s="898">
        <v>12</v>
      </c>
      <c r="P1260" s="899">
        <f t="shared" si="51"/>
        <v>39600</v>
      </c>
    </row>
    <row r="1261" spans="1:16" ht="24" x14ac:dyDescent="0.2">
      <c r="A1261" s="916" t="s">
        <v>5035</v>
      </c>
      <c r="B1261" s="943" t="s">
        <v>3092</v>
      </c>
      <c r="C1261" s="916" t="s">
        <v>5515</v>
      </c>
      <c r="D1261" s="943" t="s">
        <v>5040</v>
      </c>
      <c r="E1261" s="1144">
        <v>6000</v>
      </c>
      <c r="F1261" s="943" t="s">
        <v>5594</v>
      </c>
      <c r="G1261" s="1245" t="s">
        <v>5595</v>
      </c>
      <c r="H1261" s="1245" t="s">
        <v>517</v>
      </c>
      <c r="I1261" s="1147"/>
      <c r="J1261" s="943"/>
      <c r="K1261" s="944">
        <v>1</v>
      </c>
      <c r="L1261" s="898">
        <v>7</v>
      </c>
      <c r="M1261" s="899">
        <f t="shared" si="50"/>
        <v>42000</v>
      </c>
      <c r="N1261" s="898">
        <v>1</v>
      </c>
      <c r="O1261" s="898">
        <v>12</v>
      </c>
      <c r="P1261" s="899">
        <f t="shared" si="51"/>
        <v>72000</v>
      </c>
    </row>
    <row r="1262" spans="1:16" ht="24" x14ac:dyDescent="0.2">
      <c r="A1262" s="916" t="s">
        <v>5035</v>
      </c>
      <c r="B1262" s="943" t="s">
        <v>3092</v>
      </c>
      <c r="C1262" s="916" t="s">
        <v>5515</v>
      </c>
      <c r="D1262" s="943" t="s">
        <v>5040</v>
      </c>
      <c r="E1262" s="1144">
        <v>6000</v>
      </c>
      <c r="F1262" s="943" t="s">
        <v>5596</v>
      </c>
      <c r="G1262" s="1245" t="s">
        <v>5597</v>
      </c>
      <c r="H1262" s="1245" t="s">
        <v>517</v>
      </c>
      <c r="I1262" s="1147"/>
      <c r="J1262" s="943"/>
      <c r="K1262" s="944">
        <v>1</v>
      </c>
      <c r="L1262" s="898">
        <v>7</v>
      </c>
      <c r="M1262" s="899">
        <f t="shared" si="50"/>
        <v>42000</v>
      </c>
      <c r="N1262" s="898">
        <v>1</v>
      </c>
      <c r="O1262" s="898">
        <v>12</v>
      </c>
      <c r="P1262" s="899">
        <f t="shared" si="51"/>
        <v>72000</v>
      </c>
    </row>
    <row r="1263" spans="1:16" ht="24" x14ac:dyDescent="0.2">
      <c r="A1263" s="916" t="s">
        <v>5035</v>
      </c>
      <c r="B1263" s="943" t="s">
        <v>3092</v>
      </c>
      <c r="C1263" s="916" t="s">
        <v>5598</v>
      </c>
      <c r="D1263" s="943" t="s">
        <v>5040</v>
      </c>
      <c r="E1263" s="1144">
        <v>3000</v>
      </c>
      <c r="F1263" s="943" t="s">
        <v>5599</v>
      </c>
      <c r="G1263" s="1245" t="s">
        <v>5600</v>
      </c>
      <c r="H1263" s="1245" t="s">
        <v>5043</v>
      </c>
      <c r="I1263" s="1147"/>
      <c r="J1263" s="943"/>
      <c r="K1263" s="944">
        <v>1</v>
      </c>
      <c r="L1263" s="898">
        <v>7</v>
      </c>
      <c r="M1263" s="899">
        <f t="shared" si="50"/>
        <v>21000</v>
      </c>
      <c r="N1263" s="898">
        <v>1</v>
      </c>
      <c r="O1263" s="898">
        <v>12</v>
      </c>
      <c r="P1263" s="899">
        <f t="shared" si="51"/>
        <v>36000</v>
      </c>
    </row>
    <row r="1264" spans="1:16" x14ac:dyDescent="0.2">
      <c r="A1264" s="916" t="s">
        <v>5035</v>
      </c>
      <c r="B1264" s="943" t="s">
        <v>3092</v>
      </c>
      <c r="C1264" s="916" t="s">
        <v>5598</v>
      </c>
      <c r="D1264" s="943" t="s">
        <v>5040</v>
      </c>
      <c r="E1264" s="1144">
        <v>2000</v>
      </c>
      <c r="F1264" s="943" t="s">
        <v>5601</v>
      </c>
      <c r="G1264" s="1245" t="s">
        <v>5602</v>
      </c>
      <c r="H1264" s="1245" t="s">
        <v>3164</v>
      </c>
      <c r="I1264" s="1147"/>
      <c r="J1264" s="943"/>
      <c r="K1264" s="944">
        <v>1</v>
      </c>
      <c r="L1264" s="898">
        <v>7</v>
      </c>
      <c r="M1264" s="899">
        <f t="shared" si="50"/>
        <v>14000</v>
      </c>
      <c r="N1264" s="898">
        <v>1</v>
      </c>
      <c r="O1264" s="898">
        <v>12</v>
      </c>
      <c r="P1264" s="899">
        <f t="shared" si="51"/>
        <v>24000</v>
      </c>
    </row>
    <row r="1265" spans="1:16" ht="24" x14ac:dyDescent="0.2">
      <c r="A1265" s="916" t="s">
        <v>5035</v>
      </c>
      <c r="B1265" s="943" t="s">
        <v>3092</v>
      </c>
      <c r="C1265" s="916" t="s">
        <v>5598</v>
      </c>
      <c r="D1265" s="943" t="s">
        <v>5040</v>
      </c>
      <c r="E1265" s="1144">
        <v>1200</v>
      </c>
      <c r="F1265" s="943" t="s">
        <v>5603</v>
      </c>
      <c r="G1265" s="1245" t="s">
        <v>5604</v>
      </c>
      <c r="H1265" s="1245" t="s">
        <v>5058</v>
      </c>
      <c r="I1265" s="1147"/>
      <c r="J1265" s="943"/>
      <c r="K1265" s="944">
        <v>1</v>
      </c>
      <c r="L1265" s="898">
        <v>7</v>
      </c>
      <c r="M1265" s="899">
        <f t="shared" si="50"/>
        <v>8400</v>
      </c>
      <c r="N1265" s="898">
        <v>1</v>
      </c>
      <c r="O1265" s="898">
        <v>12</v>
      </c>
      <c r="P1265" s="899">
        <f t="shared" si="51"/>
        <v>14400</v>
      </c>
    </row>
    <row r="1266" spans="1:16" ht="24" x14ac:dyDescent="0.2">
      <c r="A1266" s="916" t="s">
        <v>5035</v>
      </c>
      <c r="B1266" s="943" t="s">
        <v>3092</v>
      </c>
      <c r="C1266" s="916" t="s">
        <v>5598</v>
      </c>
      <c r="D1266" s="943" t="s">
        <v>5040</v>
      </c>
      <c r="E1266" s="1144">
        <v>1500</v>
      </c>
      <c r="F1266" s="943" t="s">
        <v>5605</v>
      </c>
      <c r="G1266" s="1245" t="s">
        <v>5606</v>
      </c>
      <c r="H1266" s="1245" t="s">
        <v>5607</v>
      </c>
      <c r="I1266" s="1147"/>
      <c r="J1266" s="943"/>
      <c r="K1266" s="944">
        <v>1</v>
      </c>
      <c r="L1266" s="898">
        <v>7</v>
      </c>
      <c r="M1266" s="899">
        <f t="shared" si="50"/>
        <v>10500</v>
      </c>
      <c r="N1266" s="898">
        <v>1</v>
      </c>
      <c r="O1266" s="898">
        <v>12</v>
      </c>
      <c r="P1266" s="899">
        <f t="shared" si="51"/>
        <v>18000</v>
      </c>
    </row>
    <row r="1267" spans="1:16" x14ac:dyDescent="0.2">
      <c r="A1267" s="916" t="s">
        <v>5035</v>
      </c>
      <c r="B1267" s="943" t="s">
        <v>3092</v>
      </c>
      <c r="C1267" s="916" t="s">
        <v>5598</v>
      </c>
      <c r="D1267" s="943" t="s">
        <v>491</v>
      </c>
      <c r="E1267" s="1144">
        <v>2124</v>
      </c>
      <c r="F1267" s="943" t="s">
        <v>5608</v>
      </c>
      <c r="G1267" s="1245" t="s">
        <v>5609</v>
      </c>
      <c r="H1267" s="1245" t="s">
        <v>3131</v>
      </c>
      <c r="I1267" s="1147"/>
      <c r="J1267" s="943"/>
      <c r="K1267" s="944">
        <v>1</v>
      </c>
      <c r="L1267" s="898">
        <v>7</v>
      </c>
      <c r="M1267" s="899">
        <f t="shared" si="50"/>
        <v>14868</v>
      </c>
      <c r="N1267" s="898">
        <v>1</v>
      </c>
      <c r="O1267" s="898">
        <v>12</v>
      </c>
      <c r="P1267" s="899">
        <f t="shared" si="51"/>
        <v>25488</v>
      </c>
    </row>
    <row r="1268" spans="1:16" ht="24" x14ac:dyDescent="0.2">
      <c r="A1268" s="916" t="s">
        <v>5035</v>
      </c>
      <c r="B1268" s="943" t="s">
        <v>3092</v>
      </c>
      <c r="C1268" s="916" t="s">
        <v>5598</v>
      </c>
      <c r="D1268" s="943" t="s">
        <v>5040</v>
      </c>
      <c r="E1268" s="1144">
        <v>1932</v>
      </c>
      <c r="F1268" s="943" t="s">
        <v>5610</v>
      </c>
      <c r="G1268" s="1245" t="s">
        <v>5611</v>
      </c>
      <c r="H1268" s="1245" t="s">
        <v>5043</v>
      </c>
      <c r="I1268" s="1147"/>
      <c r="J1268" s="943"/>
      <c r="K1268" s="944">
        <v>1</v>
      </c>
      <c r="L1268" s="898">
        <v>7</v>
      </c>
      <c r="M1268" s="899">
        <f t="shared" si="50"/>
        <v>13524</v>
      </c>
      <c r="N1268" s="898">
        <v>1</v>
      </c>
      <c r="O1268" s="898">
        <v>12</v>
      </c>
      <c r="P1268" s="899">
        <f t="shared" si="51"/>
        <v>23184</v>
      </c>
    </row>
    <row r="1269" spans="1:16" x14ac:dyDescent="0.2">
      <c r="A1269" s="916" t="s">
        <v>5035</v>
      </c>
      <c r="B1269" s="943" t="s">
        <v>3092</v>
      </c>
      <c r="C1269" s="916" t="s">
        <v>5598</v>
      </c>
      <c r="D1269" s="943" t="s">
        <v>5040</v>
      </c>
      <c r="E1269" s="1144">
        <v>1200</v>
      </c>
      <c r="F1269" s="943" t="s">
        <v>5612</v>
      </c>
      <c r="G1269" s="1245" t="s">
        <v>5613</v>
      </c>
      <c r="H1269" s="1245" t="s">
        <v>3187</v>
      </c>
      <c r="I1269" s="1147"/>
      <c r="J1269" s="943"/>
      <c r="K1269" s="944">
        <v>1</v>
      </c>
      <c r="L1269" s="898">
        <v>7</v>
      </c>
      <c r="M1269" s="899">
        <f t="shared" si="50"/>
        <v>8400</v>
      </c>
      <c r="N1269" s="898">
        <v>1</v>
      </c>
      <c r="O1269" s="898">
        <v>12</v>
      </c>
      <c r="P1269" s="899">
        <f t="shared" si="51"/>
        <v>14400</v>
      </c>
    </row>
    <row r="1270" spans="1:16" ht="24" x14ac:dyDescent="0.2">
      <c r="A1270" s="916" t="s">
        <v>5035</v>
      </c>
      <c r="B1270" s="943" t="s">
        <v>3092</v>
      </c>
      <c r="C1270" s="916" t="s">
        <v>5598</v>
      </c>
      <c r="D1270" s="943" t="s">
        <v>5040</v>
      </c>
      <c r="E1270" s="1144">
        <v>1200</v>
      </c>
      <c r="F1270" s="943" t="s">
        <v>5614</v>
      </c>
      <c r="G1270" s="1245" t="s">
        <v>5615</v>
      </c>
      <c r="H1270" s="1245" t="s">
        <v>5058</v>
      </c>
      <c r="I1270" s="1147"/>
      <c r="J1270" s="943"/>
      <c r="K1270" s="944">
        <v>1</v>
      </c>
      <c r="L1270" s="898">
        <v>7</v>
      </c>
      <c r="M1270" s="899">
        <f t="shared" si="50"/>
        <v>8400</v>
      </c>
      <c r="N1270" s="898">
        <v>1</v>
      </c>
      <c r="O1270" s="898">
        <v>12</v>
      </c>
      <c r="P1270" s="899">
        <f t="shared" si="51"/>
        <v>14400</v>
      </c>
    </row>
    <row r="1271" spans="1:16" ht="24" x14ac:dyDescent="0.2">
      <c r="A1271" s="916" t="s">
        <v>5035</v>
      </c>
      <c r="B1271" s="943" t="s">
        <v>3092</v>
      </c>
      <c r="C1271" s="916" t="s">
        <v>5598</v>
      </c>
      <c r="D1271" s="943" t="s">
        <v>5040</v>
      </c>
      <c r="E1271" s="1144">
        <v>5500</v>
      </c>
      <c r="F1271" s="943" t="s">
        <v>5616</v>
      </c>
      <c r="G1271" s="1245" t="s">
        <v>5617</v>
      </c>
      <c r="H1271" s="1245" t="s">
        <v>5112</v>
      </c>
      <c r="I1271" s="1147"/>
      <c r="J1271" s="943"/>
      <c r="K1271" s="944">
        <v>1</v>
      </c>
      <c r="L1271" s="898">
        <v>7</v>
      </c>
      <c r="M1271" s="899">
        <f t="shared" si="50"/>
        <v>38500</v>
      </c>
      <c r="N1271" s="898">
        <v>1</v>
      </c>
      <c r="O1271" s="898">
        <v>12</v>
      </c>
      <c r="P1271" s="899">
        <f t="shared" si="51"/>
        <v>66000</v>
      </c>
    </row>
    <row r="1272" spans="1:16" x14ac:dyDescent="0.2">
      <c r="A1272" s="916" t="s">
        <v>5035</v>
      </c>
      <c r="B1272" s="943" t="s">
        <v>3092</v>
      </c>
      <c r="C1272" s="916" t="s">
        <v>5598</v>
      </c>
      <c r="D1272" s="943" t="s">
        <v>5040</v>
      </c>
      <c r="E1272" s="1144">
        <v>3000</v>
      </c>
      <c r="F1272" s="943" t="s">
        <v>5618</v>
      </c>
      <c r="G1272" s="1245" t="s">
        <v>5619</v>
      </c>
      <c r="H1272" s="1245" t="s">
        <v>517</v>
      </c>
      <c r="I1272" s="1147"/>
      <c r="J1272" s="943"/>
      <c r="K1272" s="944">
        <v>1</v>
      </c>
      <c r="L1272" s="898">
        <v>7</v>
      </c>
      <c r="M1272" s="899">
        <f t="shared" si="50"/>
        <v>21000</v>
      </c>
      <c r="N1272" s="898">
        <v>1</v>
      </c>
      <c r="O1272" s="898">
        <v>12</v>
      </c>
      <c r="P1272" s="899">
        <f t="shared" si="51"/>
        <v>36000</v>
      </c>
    </row>
    <row r="1273" spans="1:16" ht="24" x14ac:dyDescent="0.2">
      <c r="A1273" s="916" t="s">
        <v>5035</v>
      </c>
      <c r="B1273" s="943" t="s">
        <v>3092</v>
      </c>
      <c r="C1273" s="916" t="s">
        <v>5598</v>
      </c>
      <c r="D1273" s="943" t="s">
        <v>491</v>
      </c>
      <c r="E1273" s="1144">
        <v>1200</v>
      </c>
      <c r="F1273" s="943" t="s">
        <v>5620</v>
      </c>
      <c r="G1273" s="1245" t="s">
        <v>5621</v>
      </c>
      <c r="H1273" s="1245" t="s">
        <v>3112</v>
      </c>
      <c r="I1273" s="1147"/>
      <c r="J1273" s="943"/>
      <c r="K1273" s="944">
        <v>1</v>
      </c>
      <c r="L1273" s="898">
        <v>7</v>
      </c>
      <c r="M1273" s="899">
        <f t="shared" si="50"/>
        <v>8400</v>
      </c>
      <c r="N1273" s="898">
        <v>1</v>
      </c>
      <c r="O1273" s="898">
        <v>12</v>
      </c>
      <c r="P1273" s="899">
        <f t="shared" si="51"/>
        <v>14400</v>
      </c>
    </row>
    <row r="1274" spans="1:16" ht="24" x14ac:dyDescent="0.2">
      <c r="A1274" s="916" t="s">
        <v>5035</v>
      </c>
      <c r="B1274" s="943" t="s">
        <v>3092</v>
      </c>
      <c r="C1274" s="916" t="s">
        <v>5598</v>
      </c>
      <c r="D1274" s="943" t="s">
        <v>491</v>
      </c>
      <c r="E1274" s="1144">
        <v>1658</v>
      </c>
      <c r="F1274" s="943" t="s">
        <v>5622</v>
      </c>
      <c r="G1274" s="1245" t="s">
        <v>5623</v>
      </c>
      <c r="H1274" s="1245" t="s">
        <v>3115</v>
      </c>
      <c r="I1274" s="1147"/>
      <c r="J1274" s="943"/>
      <c r="K1274" s="944">
        <v>1</v>
      </c>
      <c r="L1274" s="898">
        <v>7</v>
      </c>
      <c r="M1274" s="899">
        <f t="shared" si="50"/>
        <v>11606</v>
      </c>
      <c r="N1274" s="898">
        <v>1</v>
      </c>
      <c r="O1274" s="898">
        <v>12</v>
      </c>
      <c r="P1274" s="899">
        <f t="shared" si="51"/>
        <v>19896</v>
      </c>
    </row>
    <row r="1275" spans="1:16" ht="24" x14ac:dyDescent="0.2">
      <c r="A1275" s="916" t="s">
        <v>5035</v>
      </c>
      <c r="B1275" s="943" t="s">
        <v>3092</v>
      </c>
      <c r="C1275" s="916" t="s">
        <v>5598</v>
      </c>
      <c r="D1275" s="943" t="s">
        <v>5040</v>
      </c>
      <c r="E1275" s="1144">
        <v>1932</v>
      </c>
      <c r="F1275" s="943" t="s">
        <v>5624</v>
      </c>
      <c r="G1275" s="1245" t="s">
        <v>5625</v>
      </c>
      <c r="H1275" s="1245" t="s">
        <v>5043</v>
      </c>
      <c r="I1275" s="1147"/>
      <c r="J1275" s="943"/>
      <c r="K1275" s="944">
        <v>1</v>
      </c>
      <c r="L1275" s="898">
        <v>7</v>
      </c>
      <c r="M1275" s="899">
        <f t="shared" si="50"/>
        <v>13524</v>
      </c>
      <c r="N1275" s="898">
        <v>1</v>
      </c>
      <c r="O1275" s="898">
        <v>12</v>
      </c>
      <c r="P1275" s="899">
        <f t="shared" si="51"/>
        <v>23184</v>
      </c>
    </row>
    <row r="1276" spans="1:16" ht="24" x14ac:dyDescent="0.2">
      <c r="A1276" s="916" t="s">
        <v>5035</v>
      </c>
      <c r="B1276" s="943" t="s">
        <v>3092</v>
      </c>
      <c r="C1276" s="916" t="s">
        <v>5598</v>
      </c>
      <c r="D1276" s="943" t="s">
        <v>5040</v>
      </c>
      <c r="E1276" s="1144">
        <v>1923</v>
      </c>
      <c r="F1276" s="943" t="s">
        <v>5626</v>
      </c>
      <c r="G1276" s="1245" t="s">
        <v>5627</v>
      </c>
      <c r="H1276" s="1245" t="s">
        <v>5043</v>
      </c>
      <c r="I1276" s="1147"/>
      <c r="J1276" s="943"/>
      <c r="K1276" s="944">
        <v>1</v>
      </c>
      <c r="L1276" s="898">
        <v>7</v>
      </c>
      <c r="M1276" s="899">
        <f t="shared" si="50"/>
        <v>13461</v>
      </c>
      <c r="N1276" s="898">
        <v>1</v>
      </c>
      <c r="O1276" s="898">
        <v>12</v>
      </c>
      <c r="P1276" s="899">
        <f t="shared" si="51"/>
        <v>23076</v>
      </c>
    </row>
    <row r="1277" spans="1:16" x14ac:dyDescent="0.2">
      <c r="A1277" s="916" t="s">
        <v>5035</v>
      </c>
      <c r="B1277" s="943" t="s">
        <v>3092</v>
      </c>
      <c r="C1277" s="916" t="s">
        <v>5598</v>
      </c>
      <c r="D1277" s="943" t="s">
        <v>5040</v>
      </c>
      <c r="E1277" s="1144">
        <v>1200</v>
      </c>
      <c r="F1277" s="943" t="s">
        <v>5628</v>
      </c>
      <c r="G1277" s="1245" t="s">
        <v>5629</v>
      </c>
      <c r="H1277" s="1245" t="s">
        <v>5630</v>
      </c>
      <c r="I1277" s="1147"/>
      <c r="J1277" s="943"/>
      <c r="K1277" s="944">
        <v>1</v>
      </c>
      <c r="L1277" s="898">
        <v>7</v>
      </c>
      <c r="M1277" s="899">
        <f t="shared" si="50"/>
        <v>8400</v>
      </c>
      <c r="N1277" s="898">
        <v>1</v>
      </c>
      <c r="O1277" s="898">
        <v>12</v>
      </c>
      <c r="P1277" s="899">
        <f t="shared" si="51"/>
        <v>14400</v>
      </c>
    </row>
    <row r="1278" spans="1:16" x14ac:dyDescent="0.2">
      <c r="A1278" s="916" t="s">
        <v>5035</v>
      </c>
      <c r="B1278" s="943" t="s">
        <v>3092</v>
      </c>
      <c r="C1278" s="916" t="s">
        <v>5598</v>
      </c>
      <c r="D1278" s="943" t="s">
        <v>5040</v>
      </c>
      <c r="E1278" s="1144">
        <v>2931</v>
      </c>
      <c r="F1278" s="943" t="s">
        <v>5631</v>
      </c>
      <c r="G1278" s="1245" t="s">
        <v>5632</v>
      </c>
      <c r="H1278" s="1245" t="s">
        <v>5106</v>
      </c>
      <c r="I1278" s="1147"/>
      <c r="J1278" s="943"/>
      <c r="K1278" s="944">
        <v>1</v>
      </c>
      <c r="L1278" s="898">
        <v>7</v>
      </c>
      <c r="M1278" s="899">
        <f t="shared" si="50"/>
        <v>20517</v>
      </c>
      <c r="N1278" s="898">
        <v>1</v>
      </c>
      <c r="O1278" s="898">
        <v>12</v>
      </c>
      <c r="P1278" s="899">
        <f t="shared" si="51"/>
        <v>35172</v>
      </c>
    </row>
    <row r="1279" spans="1:16" ht="24" x14ac:dyDescent="0.2">
      <c r="A1279" s="916" t="s">
        <v>5035</v>
      </c>
      <c r="B1279" s="943" t="s">
        <v>3092</v>
      </c>
      <c r="C1279" s="916" t="s">
        <v>5598</v>
      </c>
      <c r="D1279" s="943" t="s">
        <v>5040</v>
      </c>
      <c r="E1279" s="1144">
        <v>2000</v>
      </c>
      <c r="F1279" s="943" t="s">
        <v>5633</v>
      </c>
      <c r="G1279" s="1245" t="s">
        <v>5634</v>
      </c>
      <c r="H1279" s="1245" t="s">
        <v>5058</v>
      </c>
      <c r="I1279" s="1147"/>
      <c r="J1279" s="943"/>
      <c r="K1279" s="944">
        <v>1</v>
      </c>
      <c r="L1279" s="898">
        <v>7</v>
      </c>
      <c r="M1279" s="899">
        <f t="shared" si="50"/>
        <v>14000</v>
      </c>
      <c r="N1279" s="898">
        <v>1</v>
      </c>
      <c r="O1279" s="898">
        <v>12</v>
      </c>
      <c r="P1279" s="899">
        <f t="shared" si="51"/>
        <v>24000</v>
      </c>
    </row>
    <row r="1280" spans="1:16" x14ac:dyDescent="0.2">
      <c r="A1280" s="916" t="s">
        <v>5035</v>
      </c>
      <c r="B1280" s="943" t="s">
        <v>3092</v>
      </c>
      <c r="C1280" s="916" t="s">
        <v>5598</v>
      </c>
      <c r="D1280" s="943" t="s">
        <v>5040</v>
      </c>
      <c r="E1280" s="1144">
        <v>5500</v>
      </c>
      <c r="F1280" s="943" t="s">
        <v>5635</v>
      </c>
      <c r="G1280" s="1245" t="s">
        <v>5636</v>
      </c>
      <c r="H1280" s="1245" t="s">
        <v>517</v>
      </c>
      <c r="I1280" s="1147"/>
      <c r="J1280" s="943"/>
      <c r="K1280" s="944">
        <v>1</v>
      </c>
      <c r="L1280" s="898">
        <v>7</v>
      </c>
      <c r="M1280" s="899">
        <f t="shared" si="50"/>
        <v>38500</v>
      </c>
      <c r="N1280" s="898">
        <v>1</v>
      </c>
      <c r="O1280" s="898">
        <v>12</v>
      </c>
      <c r="P1280" s="899">
        <f t="shared" si="51"/>
        <v>66000</v>
      </c>
    </row>
    <row r="1281" spans="1:16" ht="24" x14ac:dyDescent="0.2">
      <c r="A1281" s="916" t="s">
        <v>5035</v>
      </c>
      <c r="B1281" s="943" t="s">
        <v>3092</v>
      </c>
      <c r="C1281" s="916" t="s">
        <v>5598</v>
      </c>
      <c r="D1281" s="943" t="s">
        <v>491</v>
      </c>
      <c r="E1281" s="1144">
        <v>1146</v>
      </c>
      <c r="F1281" s="943" t="s">
        <v>5637</v>
      </c>
      <c r="G1281" s="1245" t="s">
        <v>5638</v>
      </c>
      <c r="H1281" s="1245" t="s">
        <v>3112</v>
      </c>
      <c r="I1281" s="1147"/>
      <c r="J1281" s="943"/>
      <c r="K1281" s="944">
        <v>1</v>
      </c>
      <c r="L1281" s="898">
        <v>7</v>
      </c>
      <c r="M1281" s="899">
        <f t="shared" si="50"/>
        <v>8022</v>
      </c>
      <c r="N1281" s="898">
        <v>1</v>
      </c>
      <c r="O1281" s="898">
        <v>12</v>
      </c>
      <c r="P1281" s="899">
        <f t="shared" si="51"/>
        <v>13752</v>
      </c>
    </row>
    <row r="1282" spans="1:16" x14ac:dyDescent="0.2">
      <c r="A1282" s="916" t="s">
        <v>5035</v>
      </c>
      <c r="B1282" s="943" t="s">
        <v>3092</v>
      </c>
      <c r="C1282" s="916" t="s">
        <v>5598</v>
      </c>
      <c r="D1282" s="943" t="s">
        <v>5040</v>
      </c>
      <c r="E1282" s="1144">
        <v>2000</v>
      </c>
      <c r="F1282" s="943" t="s">
        <v>5639</v>
      </c>
      <c r="G1282" s="1245" t="s">
        <v>5640</v>
      </c>
      <c r="H1282" s="1245" t="s">
        <v>3164</v>
      </c>
      <c r="I1282" s="1147"/>
      <c r="J1282" s="943"/>
      <c r="K1282" s="944">
        <v>1</v>
      </c>
      <c r="L1282" s="898">
        <v>7</v>
      </c>
      <c r="M1282" s="899">
        <f t="shared" si="50"/>
        <v>14000</v>
      </c>
      <c r="N1282" s="898">
        <v>1</v>
      </c>
      <c r="O1282" s="898">
        <v>12</v>
      </c>
      <c r="P1282" s="899">
        <f t="shared" si="51"/>
        <v>24000</v>
      </c>
    </row>
    <row r="1283" spans="1:16" ht="24" x14ac:dyDescent="0.2">
      <c r="A1283" s="916" t="s">
        <v>5035</v>
      </c>
      <c r="B1283" s="943" t="s">
        <v>3092</v>
      </c>
      <c r="C1283" s="916" t="s">
        <v>5598</v>
      </c>
      <c r="D1283" s="943" t="s">
        <v>5040</v>
      </c>
      <c r="E1283" s="1144">
        <v>1200</v>
      </c>
      <c r="F1283" s="943" t="s">
        <v>5641</v>
      </c>
      <c r="G1283" s="1245" t="s">
        <v>5642</v>
      </c>
      <c r="H1283" s="1245" t="s">
        <v>5643</v>
      </c>
      <c r="I1283" s="1147"/>
      <c r="J1283" s="943"/>
      <c r="K1283" s="944">
        <v>1</v>
      </c>
      <c r="L1283" s="898">
        <v>7</v>
      </c>
      <c r="M1283" s="899">
        <f t="shared" si="50"/>
        <v>8400</v>
      </c>
      <c r="N1283" s="898">
        <v>1</v>
      </c>
      <c r="O1283" s="898">
        <v>12</v>
      </c>
      <c r="P1283" s="899">
        <f t="shared" si="51"/>
        <v>14400</v>
      </c>
    </row>
    <row r="1284" spans="1:16" ht="24" x14ac:dyDescent="0.2">
      <c r="A1284" s="916" t="s">
        <v>5035</v>
      </c>
      <c r="B1284" s="943" t="s">
        <v>3092</v>
      </c>
      <c r="C1284" s="916" t="s">
        <v>5598</v>
      </c>
      <c r="D1284" s="943" t="s">
        <v>491</v>
      </c>
      <c r="E1284" s="1144">
        <v>1400</v>
      </c>
      <c r="F1284" s="943" t="s">
        <v>5644</v>
      </c>
      <c r="G1284" s="1245" t="s">
        <v>5645</v>
      </c>
      <c r="H1284" s="1245" t="s">
        <v>4186</v>
      </c>
      <c r="I1284" s="1147"/>
      <c r="J1284" s="943"/>
      <c r="K1284" s="944">
        <v>1</v>
      </c>
      <c r="L1284" s="898">
        <v>7</v>
      </c>
      <c r="M1284" s="899">
        <f t="shared" si="50"/>
        <v>9800</v>
      </c>
      <c r="N1284" s="898">
        <v>1</v>
      </c>
      <c r="O1284" s="898">
        <v>12</v>
      </c>
      <c r="P1284" s="899">
        <f t="shared" si="51"/>
        <v>16800</v>
      </c>
    </row>
    <row r="1285" spans="1:16" ht="24" x14ac:dyDescent="0.2">
      <c r="A1285" s="916" t="s">
        <v>5035</v>
      </c>
      <c r="B1285" s="943" t="s">
        <v>3092</v>
      </c>
      <c r="C1285" s="916" t="s">
        <v>5598</v>
      </c>
      <c r="D1285" s="943" t="s">
        <v>491</v>
      </c>
      <c r="E1285" s="1144">
        <v>1900</v>
      </c>
      <c r="F1285" s="943" t="s">
        <v>5646</v>
      </c>
      <c r="G1285" s="1245" t="s">
        <v>5647</v>
      </c>
      <c r="H1285" s="1245" t="s">
        <v>3112</v>
      </c>
      <c r="I1285" s="1147"/>
      <c r="J1285" s="943"/>
      <c r="K1285" s="944">
        <v>1</v>
      </c>
      <c r="L1285" s="898">
        <v>7</v>
      </c>
      <c r="M1285" s="899">
        <f t="shared" si="50"/>
        <v>13300</v>
      </c>
      <c r="N1285" s="898">
        <v>1</v>
      </c>
      <c r="O1285" s="898">
        <v>12</v>
      </c>
      <c r="P1285" s="899">
        <f t="shared" si="51"/>
        <v>22800</v>
      </c>
    </row>
    <row r="1286" spans="1:16" x14ac:dyDescent="0.2">
      <c r="A1286" s="916" t="s">
        <v>5035</v>
      </c>
      <c r="B1286" s="943" t="s">
        <v>3092</v>
      </c>
      <c r="C1286" s="916" t="s">
        <v>5598</v>
      </c>
      <c r="D1286" s="943" t="s">
        <v>5040</v>
      </c>
      <c r="E1286" s="1144">
        <v>1200</v>
      </c>
      <c r="F1286" s="943" t="s">
        <v>5648</v>
      </c>
      <c r="G1286" s="1245" t="s">
        <v>5649</v>
      </c>
      <c r="H1286" s="1245" t="s">
        <v>3187</v>
      </c>
      <c r="I1286" s="1147"/>
      <c r="J1286" s="943"/>
      <c r="K1286" s="944">
        <v>1</v>
      </c>
      <c r="L1286" s="898">
        <v>7</v>
      </c>
      <c r="M1286" s="899">
        <f t="shared" si="50"/>
        <v>8400</v>
      </c>
      <c r="N1286" s="898">
        <v>1</v>
      </c>
      <c r="O1286" s="898">
        <v>12</v>
      </c>
      <c r="P1286" s="899">
        <f t="shared" si="51"/>
        <v>14400</v>
      </c>
    </row>
    <row r="1287" spans="1:16" x14ac:dyDescent="0.2">
      <c r="A1287" s="916" t="s">
        <v>5035</v>
      </c>
      <c r="B1287" s="943" t="s">
        <v>3092</v>
      </c>
      <c r="C1287" s="916" t="s">
        <v>5598</v>
      </c>
      <c r="D1287" s="943" t="s">
        <v>5040</v>
      </c>
      <c r="E1287" s="1144">
        <v>1200</v>
      </c>
      <c r="F1287" s="943" t="s">
        <v>5650</v>
      </c>
      <c r="G1287" s="1245" t="s">
        <v>5651</v>
      </c>
      <c r="H1287" s="1245" t="s">
        <v>5652</v>
      </c>
      <c r="I1287" s="1147"/>
      <c r="J1287" s="943"/>
      <c r="K1287" s="944">
        <v>1</v>
      </c>
      <c r="L1287" s="898">
        <v>7</v>
      </c>
      <c r="M1287" s="899">
        <f t="shared" si="50"/>
        <v>8400</v>
      </c>
      <c r="N1287" s="898">
        <v>1</v>
      </c>
      <c r="O1287" s="898">
        <v>12</v>
      </c>
      <c r="P1287" s="899">
        <f t="shared" si="51"/>
        <v>14400</v>
      </c>
    </row>
    <row r="1288" spans="1:16" ht="24" x14ac:dyDescent="0.2">
      <c r="A1288" s="916" t="s">
        <v>5035</v>
      </c>
      <c r="B1288" s="943" t="s">
        <v>3092</v>
      </c>
      <c r="C1288" s="916" t="s">
        <v>5598</v>
      </c>
      <c r="D1288" s="943" t="s">
        <v>5040</v>
      </c>
      <c r="E1288" s="1144">
        <v>2931</v>
      </c>
      <c r="F1288" s="943" t="s">
        <v>5653</v>
      </c>
      <c r="G1288" s="1245" t="s">
        <v>5654</v>
      </c>
      <c r="H1288" s="1245" t="s">
        <v>5106</v>
      </c>
      <c r="I1288" s="1147"/>
      <c r="J1288" s="943"/>
      <c r="K1288" s="944">
        <v>1</v>
      </c>
      <c r="L1288" s="898">
        <v>7</v>
      </c>
      <c r="M1288" s="899">
        <f t="shared" si="50"/>
        <v>20517</v>
      </c>
      <c r="N1288" s="898">
        <v>1</v>
      </c>
      <c r="O1288" s="898">
        <v>12</v>
      </c>
      <c r="P1288" s="899">
        <f t="shared" si="51"/>
        <v>35172</v>
      </c>
    </row>
    <row r="1289" spans="1:16" x14ac:dyDescent="0.2">
      <c r="A1289" s="916" t="s">
        <v>5035</v>
      </c>
      <c r="B1289" s="943" t="s">
        <v>3092</v>
      </c>
      <c r="C1289" s="916" t="s">
        <v>5598</v>
      </c>
      <c r="D1289" s="943" t="s">
        <v>5040</v>
      </c>
      <c r="E1289" s="1144">
        <v>1200</v>
      </c>
      <c r="F1289" s="943" t="s">
        <v>5655</v>
      </c>
      <c r="G1289" s="1245" t="s">
        <v>5656</v>
      </c>
      <c r="H1289" s="1245" t="s">
        <v>5657</v>
      </c>
      <c r="I1289" s="1147"/>
      <c r="J1289" s="943"/>
      <c r="K1289" s="944">
        <v>1</v>
      </c>
      <c r="L1289" s="898">
        <v>7</v>
      </c>
      <c r="M1289" s="899">
        <f t="shared" si="50"/>
        <v>8400</v>
      </c>
      <c r="N1289" s="898">
        <v>1</v>
      </c>
      <c r="O1289" s="898">
        <v>12</v>
      </c>
      <c r="P1289" s="899">
        <f t="shared" si="51"/>
        <v>14400</v>
      </c>
    </row>
    <row r="1290" spans="1:16" ht="24" x14ac:dyDescent="0.2">
      <c r="A1290" s="916" t="s">
        <v>5035</v>
      </c>
      <c r="B1290" s="943" t="s">
        <v>3092</v>
      </c>
      <c r="C1290" s="916" t="s">
        <v>5598</v>
      </c>
      <c r="D1290" s="943" t="s">
        <v>491</v>
      </c>
      <c r="E1290" s="1144">
        <v>2200</v>
      </c>
      <c r="F1290" s="943" t="s">
        <v>5658</v>
      </c>
      <c r="G1290" s="1245" t="s">
        <v>5659</v>
      </c>
      <c r="H1290" s="1245" t="s">
        <v>3212</v>
      </c>
      <c r="I1290" s="1147"/>
      <c r="J1290" s="943"/>
      <c r="K1290" s="944">
        <v>1</v>
      </c>
      <c r="L1290" s="898">
        <v>7</v>
      </c>
      <c r="M1290" s="899">
        <f t="shared" si="50"/>
        <v>15400</v>
      </c>
      <c r="N1290" s="898">
        <v>1</v>
      </c>
      <c r="O1290" s="898">
        <v>12</v>
      </c>
      <c r="P1290" s="899">
        <f t="shared" si="51"/>
        <v>26400</v>
      </c>
    </row>
    <row r="1291" spans="1:16" ht="24" x14ac:dyDescent="0.2">
      <c r="A1291" s="916" t="s">
        <v>5035</v>
      </c>
      <c r="B1291" s="943" t="s">
        <v>3092</v>
      </c>
      <c r="C1291" s="916" t="s">
        <v>5598</v>
      </c>
      <c r="D1291" s="943" t="s">
        <v>5040</v>
      </c>
      <c r="E1291" s="1144">
        <v>1923</v>
      </c>
      <c r="F1291" s="943" t="s">
        <v>5660</v>
      </c>
      <c r="G1291" s="1245" t="s">
        <v>5661</v>
      </c>
      <c r="H1291" s="1245" t="s">
        <v>5043</v>
      </c>
      <c r="I1291" s="1147"/>
      <c r="J1291" s="943"/>
      <c r="K1291" s="944">
        <v>1</v>
      </c>
      <c r="L1291" s="898">
        <v>7</v>
      </c>
      <c r="M1291" s="899">
        <f t="shared" si="50"/>
        <v>13461</v>
      </c>
      <c r="N1291" s="898">
        <v>1</v>
      </c>
      <c r="O1291" s="898">
        <v>12</v>
      </c>
      <c r="P1291" s="899">
        <f t="shared" si="51"/>
        <v>23076</v>
      </c>
    </row>
    <row r="1292" spans="1:16" x14ac:dyDescent="0.2">
      <c r="A1292" s="916" t="s">
        <v>5035</v>
      </c>
      <c r="B1292" s="943" t="s">
        <v>3092</v>
      </c>
      <c r="C1292" s="916" t="s">
        <v>5598</v>
      </c>
      <c r="D1292" s="943" t="s">
        <v>5040</v>
      </c>
      <c r="E1292" s="1144">
        <v>3000</v>
      </c>
      <c r="F1292" s="943" t="s">
        <v>5662</v>
      </c>
      <c r="G1292" s="1245" t="s">
        <v>5663</v>
      </c>
      <c r="H1292" s="1245" t="s">
        <v>517</v>
      </c>
      <c r="I1292" s="1147"/>
      <c r="J1292" s="943"/>
      <c r="K1292" s="944">
        <v>1</v>
      </c>
      <c r="L1292" s="898">
        <v>7</v>
      </c>
      <c r="M1292" s="899">
        <f t="shared" si="50"/>
        <v>21000</v>
      </c>
      <c r="N1292" s="898">
        <v>1</v>
      </c>
      <c r="O1292" s="898">
        <v>12</v>
      </c>
      <c r="P1292" s="899">
        <f t="shared" si="51"/>
        <v>36000</v>
      </c>
    </row>
    <row r="1293" spans="1:16" x14ac:dyDescent="0.2">
      <c r="A1293" s="916" t="s">
        <v>5035</v>
      </c>
      <c r="B1293" s="943" t="s">
        <v>3092</v>
      </c>
      <c r="C1293" s="916" t="s">
        <v>5598</v>
      </c>
      <c r="D1293" s="943" t="s">
        <v>5040</v>
      </c>
      <c r="E1293" s="1144">
        <v>1500</v>
      </c>
      <c r="F1293" s="943" t="s">
        <v>5664</v>
      </c>
      <c r="G1293" s="1245" t="s">
        <v>5665</v>
      </c>
      <c r="H1293" s="1245" t="s">
        <v>5666</v>
      </c>
      <c r="I1293" s="1147"/>
      <c r="J1293" s="943"/>
      <c r="K1293" s="944">
        <v>1</v>
      </c>
      <c r="L1293" s="898">
        <v>7</v>
      </c>
      <c r="M1293" s="899">
        <f t="shared" si="50"/>
        <v>10500</v>
      </c>
      <c r="N1293" s="898">
        <v>1</v>
      </c>
      <c r="O1293" s="898">
        <v>12</v>
      </c>
      <c r="P1293" s="899">
        <f t="shared" si="51"/>
        <v>18000</v>
      </c>
    </row>
    <row r="1294" spans="1:16" x14ac:dyDescent="0.2">
      <c r="A1294" s="916" t="s">
        <v>5035</v>
      </c>
      <c r="B1294" s="943" t="s">
        <v>3092</v>
      </c>
      <c r="C1294" s="916" t="s">
        <v>5598</v>
      </c>
      <c r="D1294" s="943" t="s">
        <v>5040</v>
      </c>
      <c r="E1294" s="1144">
        <v>1200</v>
      </c>
      <c r="F1294" s="943" t="s">
        <v>5667</v>
      </c>
      <c r="G1294" s="1245" t="s">
        <v>5668</v>
      </c>
      <c r="H1294" s="1245" t="s">
        <v>5652</v>
      </c>
      <c r="I1294" s="1147"/>
      <c r="J1294" s="943"/>
      <c r="K1294" s="944">
        <v>1</v>
      </c>
      <c r="L1294" s="898">
        <v>7</v>
      </c>
      <c r="M1294" s="899">
        <f t="shared" si="50"/>
        <v>8400</v>
      </c>
      <c r="N1294" s="898">
        <v>1</v>
      </c>
      <c r="O1294" s="898">
        <v>12</v>
      </c>
      <c r="P1294" s="899">
        <f t="shared" si="51"/>
        <v>14400</v>
      </c>
    </row>
    <row r="1295" spans="1:16" ht="24" x14ac:dyDescent="0.2">
      <c r="A1295" s="916" t="s">
        <v>5035</v>
      </c>
      <c r="B1295" s="943" t="s">
        <v>3092</v>
      </c>
      <c r="C1295" s="916" t="s">
        <v>5598</v>
      </c>
      <c r="D1295" s="943" t="s">
        <v>491</v>
      </c>
      <c r="E1295" s="1144">
        <v>1400</v>
      </c>
      <c r="F1295" s="943" t="s">
        <v>5669</v>
      </c>
      <c r="G1295" s="1245" t="s">
        <v>5670</v>
      </c>
      <c r="H1295" s="1245" t="s">
        <v>3115</v>
      </c>
      <c r="I1295" s="1147"/>
      <c r="J1295" s="943"/>
      <c r="K1295" s="944">
        <v>1</v>
      </c>
      <c r="L1295" s="898">
        <v>7</v>
      </c>
      <c r="M1295" s="899">
        <f t="shared" si="50"/>
        <v>9800</v>
      </c>
      <c r="N1295" s="898">
        <v>1</v>
      </c>
      <c r="O1295" s="898">
        <v>12</v>
      </c>
      <c r="P1295" s="899">
        <f t="shared" si="51"/>
        <v>16800</v>
      </c>
    </row>
    <row r="1296" spans="1:16" x14ac:dyDescent="0.2">
      <c r="A1296" s="916" t="s">
        <v>5035</v>
      </c>
      <c r="B1296" s="943" t="s">
        <v>3092</v>
      </c>
      <c r="C1296" s="916" t="s">
        <v>5598</v>
      </c>
      <c r="D1296" s="943" t="s">
        <v>5040</v>
      </c>
      <c r="E1296" s="1144">
        <v>2931</v>
      </c>
      <c r="F1296" s="943" t="s">
        <v>5671</v>
      </c>
      <c r="G1296" s="1245" t="s">
        <v>5672</v>
      </c>
      <c r="H1296" s="1245" t="s">
        <v>5106</v>
      </c>
      <c r="I1296" s="1147"/>
      <c r="J1296" s="943"/>
      <c r="K1296" s="944">
        <v>1</v>
      </c>
      <c r="L1296" s="898">
        <v>7</v>
      </c>
      <c r="M1296" s="899">
        <f t="shared" si="50"/>
        <v>20517</v>
      </c>
      <c r="N1296" s="898">
        <v>1</v>
      </c>
      <c r="O1296" s="898">
        <v>12</v>
      </c>
      <c r="P1296" s="899">
        <f t="shared" si="51"/>
        <v>35172</v>
      </c>
    </row>
    <row r="1297" spans="1:16" x14ac:dyDescent="0.2">
      <c r="A1297" s="916" t="s">
        <v>5035</v>
      </c>
      <c r="B1297" s="943" t="s">
        <v>3092</v>
      </c>
      <c r="C1297" s="916" t="s">
        <v>5598</v>
      </c>
      <c r="D1297" s="943" t="s">
        <v>5040</v>
      </c>
      <c r="E1297" s="1144">
        <v>1200</v>
      </c>
      <c r="F1297" s="943" t="s">
        <v>5673</v>
      </c>
      <c r="G1297" s="1245" t="s">
        <v>5674</v>
      </c>
      <c r="H1297" s="1245" t="s">
        <v>3187</v>
      </c>
      <c r="I1297" s="1147"/>
      <c r="J1297" s="943"/>
      <c r="K1297" s="944">
        <v>1</v>
      </c>
      <c r="L1297" s="898">
        <v>7</v>
      </c>
      <c r="M1297" s="899">
        <f t="shared" si="50"/>
        <v>8400</v>
      </c>
      <c r="N1297" s="898">
        <v>1</v>
      </c>
      <c r="O1297" s="898">
        <v>12</v>
      </c>
      <c r="P1297" s="899">
        <f t="shared" si="51"/>
        <v>14400</v>
      </c>
    </row>
    <row r="1298" spans="1:16" ht="24" x14ac:dyDescent="0.2">
      <c r="A1298" s="916" t="s">
        <v>5035</v>
      </c>
      <c r="B1298" s="943" t="s">
        <v>3092</v>
      </c>
      <c r="C1298" s="916" t="s">
        <v>5598</v>
      </c>
      <c r="D1298" s="943" t="s">
        <v>5040</v>
      </c>
      <c r="E1298" s="1144">
        <v>3000</v>
      </c>
      <c r="F1298" s="943" t="s">
        <v>5675</v>
      </c>
      <c r="G1298" s="1245" t="s">
        <v>5676</v>
      </c>
      <c r="H1298" s="1245" t="s">
        <v>5043</v>
      </c>
      <c r="I1298" s="1147"/>
      <c r="J1298" s="943"/>
      <c r="K1298" s="944">
        <v>1</v>
      </c>
      <c r="L1298" s="898">
        <v>7</v>
      </c>
      <c r="M1298" s="899">
        <f t="shared" si="50"/>
        <v>21000</v>
      </c>
      <c r="N1298" s="898">
        <v>1</v>
      </c>
      <c r="O1298" s="898">
        <v>12</v>
      </c>
      <c r="P1298" s="899">
        <f t="shared" si="51"/>
        <v>36000</v>
      </c>
    </row>
    <row r="1299" spans="1:16" ht="24" x14ac:dyDescent="0.2">
      <c r="A1299" s="916" t="s">
        <v>5035</v>
      </c>
      <c r="B1299" s="943" t="s">
        <v>3092</v>
      </c>
      <c r="C1299" s="916" t="s">
        <v>5598</v>
      </c>
      <c r="D1299" s="943" t="s">
        <v>5040</v>
      </c>
      <c r="E1299" s="1144">
        <v>1923</v>
      </c>
      <c r="F1299" s="943" t="s">
        <v>5677</v>
      </c>
      <c r="G1299" s="1245" t="s">
        <v>5678</v>
      </c>
      <c r="H1299" s="1245" t="s">
        <v>5043</v>
      </c>
      <c r="I1299" s="1147"/>
      <c r="J1299" s="943"/>
      <c r="K1299" s="944">
        <v>1</v>
      </c>
      <c r="L1299" s="898">
        <v>7</v>
      </c>
      <c r="M1299" s="899">
        <f t="shared" si="50"/>
        <v>13461</v>
      </c>
      <c r="N1299" s="898">
        <v>1</v>
      </c>
      <c r="O1299" s="898">
        <v>12</v>
      </c>
      <c r="P1299" s="899">
        <f t="shared" si="51"/>
        <v>23076</v>
      </c>
    </row>
    <row r="1300" spans="1:16" ht="24" x14ac:dyDescent="0.2">
      <c r="A1300" s="916" t="s">
        <v>5035</v>
      </c>
      <c r="B1300" s="943" t="s">
        <v>3092</v>
      </c>
      <c r="C1300" s="916" t="s">
        <v>5598</v>
      </c>
      <c r="D1300" s="943" t="s">
        <v>5040</v>
      </c>
      <c r="E1300" s="1144">
        <v>3000</v>
      </c>
      <c r="F1300" s="943" t="s">
        <v>5679</v>
      </c>
      <c r="G1300" s="1245" t="s">
        <v>5680</v>
      </c>
      <c r="H1300" s="1245" t="s">
        <v>580</v>
      </c>
      <c r="I1300" s="1147"/>
      <c r="J1300" s="943"/>
      <c r="K1300" s="944">
        <v>1</v>
      </c>
      <c r="L1300" s="898">
        <v>7</v>
      </c>
      <c r="M1300" s="899">
        <f t="shared" si="50"/>
        <v>21000</v>
      </c>
      <c r="N1300" s="898">
        <v>1</v>
      </c>
      <c r="O1300" s="898">
        <v>12</v>
      </c>
      <c r="P1300" s="899">
        <f t="shared" si="51"/>
        <v>36000</v>
      </c>
    </row>
    <row r="1301" spans="1:16" ht="24" x14ac:dyDescent="0.2">
      <c r="A1301" s="916" t="s">
        <v>5035</v>
      </c>
      <c r="B1301" s="943" t="s">
        <v>3092</v>
      </c>
      <c r="C1301" s="916" t="s">
        <v>5598</v>
      </c>
      <c r="D1301" s="943" t="s">
        <v>491</v>
      </c>
      <c r="E1301" s="1144">
        <v>1162</v>
      </c>
      <c r="F1301" s="943" t="s">
        <v>5681</v>
      </c>
      <c r="G1301" s="1245" t="s">
        <v>5682</v>
      </c>
      <c r="H1301" s="1245" t="s">
        <v>4186</v>
      </c>
      <c r="I1301" s="1147"/>
      <c r="J1301" s="943"/>
      <c r="K1301" s="944">
        <v>1</v>
      </c>
      <c r="L1301" s="898">
        <v>7</v>
      </c>
      <c r="M1301" s="899">
        <f t="shared" si="50"/>
        <v>8134</v>
      </c>
      <c r="N1301" s="898">
        <v>1</v>
      </c>
      <c r="O1301" s="898">
        <v>12</v>
      </c>
      <c r="P1301" s="899">
        <f t="shared" si="51"/>
        <v>13944</v>
      </c>
    </row>
    <row r="1302" spans="1:16" ht="24" x14ac:dyDescent="0.2">
      <c r="A1302" s="916" t="s">
        <v>5035</v>
      </c>
      <c r="B1302" s="943" t="s">
        <v>3092</v>
      </c>
      <c r="C1302" s="916" t="s">
        <v>5598</v>
      </c>
      <c r="D1302" s="943" t="s">
        <v>5040</v>
      </c>
      <c r="E1302" s="1144">
        <v>1923</v>
      </c>
      <c r="F1302" s="943" t="s">
        <v>5683</v>
      </c>
      <c r="G1302" s="1245" t="s">
        <v>5684</v>
      </c>
      <c r="H1302" s="1245" t="s">
        <v>5043</v>
      </c>
      <c r="I1302" s="1147"/>
      <c r="J1302" s="943"/>
      <c r="K1302" s="944">
        <v>1</v>
      </c>
      <c r="L1302" s="898">
        <v>7</v>
      </c>
      <c r="M1302" s="899">
        <f t="shared" si="50"/>
        <v>13461</v>
      </c>
      <c r="N1302" s="898">
        <v>1</v>
      </c>
      <c r="O1302" s="898">
        <v>12</v>
      </c>
      <c r="P1302" s="899">
        <f t="shared" si="51"/>
        <v>23076</v>
      </c>
    </row>
    <row r="1303" spans="1:16" x14ac:dyDescent="0.2">
      <c r="A1303" s="916" t="s">
        <v>5035</v>
      </c>
      <c r="B1303" s="943" t="s">
        <v>3092</v>
      </c>
      <c r="C1303" s="916" t="s">
        <v>5598</v>
      </c>
      <c r="D1303" s="943" t="s">
        <v>5040</v>
      </c>
      <c r="E1303" s="1144">
        <v>4200</v>
      </c>
      <c r="F1303" s="943" t="s">
        <v>5685</v>
      </c>
      <c r="G1303" s="1245" t="s">
        <v>5686</v>
      </c>
      <c r="H1303" s="1245" t="s">
        <v>517</v>
      </c>
      <c r="I1303" s="1147"/>
      <c r="J1303" s="943"/>
      <c r="K1303" s="944">
        <v>1</v>
      </c>
      <c r="L1303" s="898">
        <v>7</v>
      </c>
      <c r="M1303" s="899">
        <f t="shared" si="50"/>
        <v>29400</v>
      </c>
      <c r="N1303" s="898">
        <v>1</v>
      </c>
      <c r="O1303" s="898">
        <v>12</v>
      </c>
      <c r="P1303" s="899">
        <f t="shared" si="51"/>
        <v>50400</v>
      </c>
    </row>
    <row r="1304" spans="1:16" x14ac:dyDescent="0.2">
      <c r="A1304" s="916" t="s">
        <v>5035</v>
      </c>
      <c r="B1304" s="943" t="s">
        <v>3092</v>
      </c>
      <c r="C1304" s="916" t="s">
        <v>5598</v>
      </c>
      <c r="D1304" s="943" t="s">
        <v>5040</v>
      </c>
      <c r="E1304" s="1144">
        <v>1200</v>
      </c>
      <c r="F1304" s="943" t="s">
        <v>5687</v>
      </c>
      <c r="G1304" s="1245" t="s">
        <v>5688</v>
      </c>
      <c r="H1304" s="1245" t="s">
        <v>5630</v>
      </c>
      <c r="I1304" s="1147"/>
      <c r="J1304" s="943"/>
      <c r="K1304" s="944">
        <v>1</v>
      </c>
      <c r="L1304" s="898">
        <v>7</v>
      </c>
      <c r="M1304" s="899">
        <f t="shared" si="50"/>
        <v>8400</v>
      </c>
      <c r="N1304" s="898">
        <v>1</v>
      </c>
      <c r="O1304" s="898">
        <v>12</v>
      </c>
      <c r="P1304" s="899">
        <f t="shared" si="51"/>
        <v>14400</v>
      </c>
    </row>
    <row r="1305" spans="1:16" ht="24" x14ac:dyDescent="0.2">
      <c r="A1305" s="916" t="s">
        <v>5035</v>
      </c>
      <c r="B1305" s="943" t="s">
        <v>3092</v>
      </c>
      <c r="C1305" s="916" t="s">
        <v>5598</v>
      </c>
      <c r="D1305" s="943" t="s">
        <v>5040</v>
      </c>
      <c r="E1305" s="1144">
        <v>2000</v>
      </c>
      <c r="F1305" s="943" t="s">
        <v>5689</v>
      </c>
      <c r="G1305" s="1245" t="s">
        <v>5690</v>
      </c>
      <c r="H1305" s="1245" t="s">
        <v>5210</v>
      </c>
      <c r="I1305" s="1147"/>
      <c r="J1305" s="943"/>
      <c r="K1305" s="944">
        <v>1</v>
      </c>
      <c r="L1305" s="898">
        <v>7</v>
      </c>
      <c r="M1305" s="899">
        <f t="shared" si="50"/>
        <v>14000</v>
      </c>
      <c r="N1305" s="898">
        <v>1</v>
      </c>
      <c r="O1305" s="898">
        <v>12</v>
      </c>
      <c r="P1305" s="899">
        <f t="shared" si="51"/>
        <v>24000</v>
      </c>
    </row>
    <row r="1306" spans="1:16" ht="24" x14ac:dyDescent="0.2">
      <c r="A1306" s="916" t="s">
        <v>5035</v>
      </c>
      <c r="B1306" s="943" t="s">
        <v>3092</v>
      </c>
      <c r="C1306" s="916" t="s">
        <v>5598</v>
      </c>
      <c r="D1306" s="943" t="s">
        <v>5040</v>
      </c>
      <c r="E1306" s="1144">
        <v>1923</v>
      </c>
      <c r="F1306" s="943" t="s">
        <v>5691</v>
      </c>
      <c r="G1306" s="1245" t="s">
        <v>5692</v>
      </c>
      <c r="H1306" s="1245" t="s">
        <v>5043</v>
      </c>
      <c r="I1306" s="1147"/>
      <c r="J1306" s="943"/>
      <c r="K1306" s="944">
        <v>1</v>
      </c>
      <c r="L1306" s="898">
        <v>7</v>
      </c>
      <c r="M1306" s="899">
        <f t="shared" si="50"/>
        <v>13461</v>
      </c>
      <c r="N1306" s="898">
        <v>1</v>
      </c>
      <c r="O1306" s="898">
        <v>12</v>
      </c>
      <c r="P1306" s="899">
        <f t="shared" si="51"/>
        <v>23076</v>
      </c>
    </row>
    <row r="1307" spans="1:16" ht="24" x14ac:dyDescent="0.2">
      <c r="A1307" s="916" t="s">
        <v>5035</v>
      </c>
      <c r="B1307" s="943" t="s">
        <v>3092</v>
      </c>
      <c r="C1307" s="916" t="s">
        <v>5598</v>
      </c>
      <c r="D1307" s="943" t="s">
        <v>491</v>
      </c>
      <c r="E1307" s="1144">
        <v>1200</v>
      </c>
      <c r="F1307" s="943" t="s">
        <v>5693</v>
      </c>
      <c r="G1307" s="1245" t="s">
        <v>5694</v>
      </c>
      <c r="H1307" s="1245" t="s">
        <v>3112</v>
      </c>
      <c r="I1307" s="1147"/>
      <c r="J1307" s="943"/>
      <c r="K1307" s="944">
        <v>1</v>
      </c>
      <c r="L1307" s="898">
        <v>7</v>
      </c>
      <c r="M1307" s="899">
        <f t="shared" si="50"/>
        <v>8400</v>
      </c>
      <c r="N1307" s="898">
        <v>1</v>
      </c>
      <c r="O1307" s="898">
        <v>12</v>
      </c>
      <c r="P1307" s="899">
        <f t="shared" si="51"/>
        <v>14400</v>
      </c>
    </row>
    <row r="1308" spans="1:16" x14ac:dyDescent="0.2">
      <c r="A1308" s="916" t="s">
        <v>5035</v>
      </c>
      <c r="B1308" s="943" t="s">
        <v>3092</v>
      </c>
      <c r="C1308" s="916" t="s">
        <v>5598</v>
      </c>
      <c r="D1308" s="943" t="s">
        <v>5040</v>
      </c>
      <c r="E1308" s="1144">
        <v>1200</v>
      </c>
      <c r="F1308" s="943" t="s">
        <v>5695</v>
      </c>
      <c r="G1308" s="1245" t="s">
        <v>5696</v>
      </c>
      <c r="H1308" s="1245" t="s">
        <v>3187</v>
      </c>
      <c r="I1308" s="1147"/>
      <c r="J1308" s="943"/>
      <c r="K1308" s="944">
        <v>1</v>
      </c>
      <c r="L1308" s="898">
        <v>7</v>
      </c>
      <c r="M1308" s="899">
        <f t="shared" si="50"/>
        <v>8400</v>
      </c>
      <c r="N1308" s="898">
        <v>1</v>
      </c>
      <c r="O1308" s="898">
        <v>12</v>
      </c>
      <c r="P1308" s="899">
        <f t="shared" si="51"/>
        <v>14400</v>
      </c>
    </row>
    <row r="1309" spans="1:16" x14ac:dyDescent="0.2">
      <c r="A1309" s="916" t="s">
        <v>5035</v>
      </c>
      <c r="B1309" s="943" t="s">
        <v>3092</v>
      </c>
      <c r="C1309" s="916" t="s">
        <v>5598</v>
      </c>
      <c r="D1309" s="943" t="s">
        <v>5040</v>
      </c>
      <c r="E1309" s="1144">
        <v>5500</v>
      </c>
      <c r="F1309" s="943" t="s">
        <v>5697</v>
      </c>
      <c r="G1309" s="1245" t="s">
        <v>5698</v>
      </c>
      <c r="H1309" s="1245" t="s">
        <v>5112</v>
      </c>
      <c r="I1309" s="1147"/>
      <c r="J1309" s="943"/>
      <c r="K1309" s="944">
        <v>1</v>
      </c>
      <c r="L1309" s="898">
        <v>7</v>
      </c>
      <c r="M1309" s="899">
        <f t="shared" si="50"/>
        <v>38500</v>
      </c>
      <c r="N1309" s="898">
        <v>1</v>
      </c>
      <c r="O1309" s="898">
        <v>12</v>
      </c>
      <c r="P1309" s="899">
        <f t="shared" si="51"/>
        <v>66000</v>
      </c>
    </row>
    <row r="1310" spans="1:16" x14ac:dyDescent="0.2">
      <c r="A1310" s="916" t="s">
        <v>5035</v>
      </c>
      <c r="B1310" s="943" t="s">
        <v>3092</v>
      </c>
      <c r="C1310" s="916" t="s">
        <v>5598</v>
      </c>
      <c r="D1310" s="943" t="s">
        <v>5040</v>
      </c>
      <c r="E1310" s="1144">
        <v>5206.6000000000004</v>
      </c>
      <c r="F1310" s="943" t="s">
        <v>5699</v>
      </c>
      <c r="G1310" s="1245" t="s">
        <v>5700</v>
      </c>
      <c r="H1310" s="1245" t="s">
        <v>5077</v>
      </c>
      <c r="I1310" s="1147"/>
      <c r="J1310" s="943"/>
      <c r="K1310" s="944">
        <v>1</v>
      </c>
      <c r="L1310" s="898">
        <v>7</v>
      </c>
      <c r="M1310" s="899">
        <f t="shared" si="50"/>
        <v>36446.200000000004</v>
      </c>
      <c r="N1310" s="898">
        <v>1</v>
      </c>
      <c r="O1310" s="898">
        <v>12</v>
      </c>
      <c r="P1310" s="899">
        <f t="shared" si="51"/>
        <v>62479.200000000004</v>
      </c>
    </row>
    <row r="1311" spans="1:16" ht="24" x14ac:dyDescent="0.2">
      <c r="A1311" s="916" t="s">
        <v>5035</v>
      </c>
      <c r="B1311" s="943" t="s">
        <v>3092</v>
      </c>
      <c r="C1311" s="916" t="s">
        <v>5598</v>
      </c>
      <c r="D1311" s="943" t="s">
        <v>5040</v>
      </c>
      <c r="E1311" s="1144">
        <v>3000</v>
      </c>
      <c r="F1311" s="943" t="s">
        <v>5701</v>
      </c>
      <c r="G1311" s="1245" t="s">
        <v>5702</v>
      </c>
      <c r="H1311" s="1245" t="s">
        <v>5043</v>
      </c>
      <c r="I1311" s="1147"/>
      <c r="J1311" s="943"/>
      <c r="K1311" s="944">
        <v>1</v>
      </c>
      <c r="L1311" s="898">
        <v>7</v>
      </c>
      <c r="M1311" s="899">
        <f t="shared" si="50"/>
        <v>21000</v>
      </c>
      <c r="N1311" s="898">
        <v>1</v>
      </c>
      <c r="O1311" s="898">
        <v>12</v>
      </c>
      <c r="P1311" s="899">
        <f t="shared" si="51"/>
        <v>36000</v>
      </c>
    </row>
    <row r="1312" spans="1:16" x14ac:dyDescent="0.2">
      <c r="A1312" s="916" t="s">
        <v>5035</v>
      </c>
      <c r="B1312" s="943" t="s">
        <v>3092</v>
      </c>
      <c r="C1312" s="916" t="s">
        <v>5598</v>
      </c>
      <c r="D1312" s="943" t="s">
        <v>5040</v>
      </c>
      <c r="E1312" s="1144">
        <v>2931</v>
      </c>
      <c r="F1312" s="943" t="s">
        <v>5703</v>
      </c>
      <c r="G1312" s="1245" t="s">
        <v>5704</v>
      </c>
      <c r="H1312" s="1245" t="s">
        <v>5106</v>
      </c>
      <c r="I1312" s="1147"/>
      <c r="J1312" s="943"/>
      <c r="K1312" s="944">
        <v>1</v>
      </c>
      <c r="L1312" s="898">
        <v>7</v>
      </c>
      <c r="M1312" s="899">
        <f t="shared" si="50"/>
        <v>20517</v>
      </c>
      <c r="N1312" s="898">
        <v>1</v>
      </c>
      <c r="O1312" s="898">
        <v>12</v>
      </c>
      <c r="P1312" s="899">
        <f t="shared" si="51"/>
        <v>35172</v>
      </c>
    </row>
    <row r="1313" spans="1:16" x14ac:dyDescent="0.2">
      <c r="A1313" s="916" t="s">
        <v>5035</v>
      </c>
      <c r="B1313" s="943" t="s">
        <v>3092</v>
      </c>
      <c r="C1313" s="916" t="s">
        <v>5598</v>
      </c>
      <c r="D1313" s="943" t="s">
        <v>5040</v>
      </c>
      <c r="E1313" s="1144">
        <v>3000</v>
      </c>
      <c r="F1313" s="943" t="s">
        <v>5705</v>
      </c>
      <c r="G1313" s="1245" t="s">
        <v>5706</v>
      </c>
      <c r="H1313" s="1245" t="s">
        <v>5106</v>
      </c>
      <c r="I1313" s="1147"/>
      <c r="J1313" s="943"/>
      <c r="K1313" s="944">
        <v>1</v>
      </c>
      <c r="L1313" s="898">
        <v>7</v>
      </c>
      <c r="M1313" s="899">
        <f t="shared" si="50"/>
        <v>21000</v>
      </c>
      <c r="N1313" s="898">
        <v>1</v>
      </c>
      <c r="O1313" s="898">
        <v>12</v>
      </c>
      <c r="P1313" s="899">
        <f t="shared" si="51"/>
        <v>36000</v>
      </c>
    </row>
    <row r="1314" spans="1:16" x14ac:dyDescent="0.2">
      <c r="A1314" s="916" t="s">
        <v>5035</v>
      </c>
      <c r="B1314" s="943" t="s">
        <v>3092</v>
      </c>
      <c r="C1314" s="916" t="s">
        <v>5598</v>
      </c>
      <c r="D1314" s="943" t="s">
        <v>5040</v>
      </c>
      <c r="E1314" s="1144">
        <v>7000</v>
      </c>
      <c r="F1314" s="943" t="s">
        <v>5707</v>
      </c>
      <c r="G1314" s="1245" t="s">
        <v>5708</v>
      </c>
      <c r="H1314" s="1245" t="s">
        <v>5077</v>
      </c>
      <c r="I1314" s="1147"/>
      <c r="J1314" s="943"/>
      <c r="K1314" s="944">
        <v>1</v>
      </c>
      <c r="L1314" s="898">
        <v>7</v>
      </c>
      <c r="M1314" s="899">
        <f t="shared" si="50"/>
        <v>49000</v>
      </c>
      <c r="N1314" s="898">
        <v>1</v>
      </c>
      <c r="O1314" s="898">
        <v>12</v>
      </c>
      <c r="P1314" s="899">
        <f t="shared" si="51"/>
        <v>84000</v>
      </c>
    </row>
    <row r="1315" spans="1:16" x14ac:dyDescent="0.2">
      <c r="A1315" s="916" t="s">
        <v>5035</v>
      </c>
      <c r="B1315" s="943" t="s">
        <v>3092</v>
      </c>
      <c r="C1315" s="916" t="s">
        <v>5598</v>
      </c>
      <c r="D1315" s="943" t="s">
        <v>491</v>
      </c>
      <c r="E1315" s="1144">
        <v>1457</v>
      </c>
      <c r="F1315" s="943" t="s">
        <v>5709</v>
      </c>
      <c r="G1315" s="1245" t="s">
        <v>5710</v>
      </c>
      <c r="H1315" s="1245" t="s">
        <v>3284</v>
      </c>
      <c r="I1315" s="1147"/>
      <c r="J1315" s="943"/>
      <c r="K1315" s="944">
        <v>1</v>
      </c>
      <c r="L1315" s="898">
        <v>7</v>
      </c>
      <c r="M1315" s="899">
        <f t="shared" si="50"/>
        <v>10199</v>
      </c>
      <c r="N1315" s="898">
        <v>1</v>
      </c>
      <c r="O1315" s="898">
        <v>12</v>
      </c>
      <c r="P1315" s="899">
        <f t="shared" si="51"/>
        <v>17484</v>
      </c>
    </row>
    <row r="1316" spans="1:16" ht="24" x14ac:dyDescent="0.2">
      <c r="A1316" s="916" t="s">
        <v>5035</v>
      </c>
      <c r="B1316" s="943" t="s">
        <v>3092</v>
      </c>
      <c r="C1316" s="916" t="s">
        <v>5598</v>
      </c>
      <c r="D1316" s="943" t="s">
        <v>5040</v>
      </c>
      <c r="E1316" s="1144">
        <v>1932</v>
      </c>
      <c r="F1316" s="943" t="s">
        <v>5711</v>
      </c>
      <c r="G1316" s="1245" t="s">
        <v>5712</v>
      </c>
      <c r="H1316" s="1245" t="s">
        <v>5043</v>
      </c>
      <c r="I1316" s="1147"/>
      <c r="J1316" s="943"/>
      <c r="K1316" s="944">
        <v>1</v>
      </c>
      <c r="L1316" s="898">
        <v>7</v>
      </c>
      <c r="M1316" s="899">
        <f t="shared" ref="M1316:M1379" si="52">+L1316*E1316</f>
        <v>13524</v>
      </c>
      <c r="N1316" s="898">
        <v>1</v>
      </c>
      <c r="O1316" s="898">
        <v>12</v>
      </c>
      <c r="P1316" s="899">
        <f t="shared" ref="P1316:P1379" si="53">+O1316*E1316</f>
        <v>23184</v>
      </c>
    </row>
    <row r="1317" spans="1:16" ht="24" x14ac:dyDescent="0.2">
      <c r="A1317" s="916" t="s">
        <v>5035</v>
      </c>
      <c r="B1317" s="943" t="s">
        <v>3092</v>
      </c>
      <c r="C1317" s="916" t="s">
        <v>5598</v>
      </c>
      <c r="D1317" s="943" t="s">
        <v>5040</v>
      </c>
      <c r="E1317" s="1144">
        <v>1923</v>
      </c>
      <c r="F1317" s="943" t="s">
        <v>5713</v>
      </c>
      <c r="G1317" s="1245" t="s">
        <v>5714</v>
      </c>
      <c r="H1317" s="1245" t="s">
        <v>5043</v>
      </c>
      <c r="I1317" s="1147"/>
      <c r="J1317" s="943"/>
      <c r="K1317" s="944">
        <v>1</v>
      </c>
      <c r="L1317" s="898">
        <v>7</v>
      </c>
      <c r="M1317" s="899">
        <f t="shared" si="52"/>
        <v>13461</v>
      </c>
      <c r="N1317" s="898">
        <v>1</v>
      </c>
      <c r="O1317" s="898">
        <v>12</v>
      </c>
      <c r="P1317" s="899">
        <f t="shared" si="53"/>
        <v>23076</v>
      </c>
    </row>
    <row r="1318" spans="1:16" x14ac:dyDescent="0.2">
      <c r="A1318" s="916" t="s">
        <v>5035</v>
      </c>
      <c r="B1318" s="943" t="s">
        <v>3092</v>
      </c>
      <c r="C1318" s="916" t="s">
        <v>5598</v>
      </c>
      <c r="D1318" s="943" t="s">
        <v>5040</v>
      </c>
      <c r="E1318" s="1144">
        <v>1200</v>
      </c>
      <c r="F1318" s="943" t="s">
        <v>5715</v>
      </c>
      <c r="G1318" s="1245" t="s">
        <v>5716</v>
      </c>
      <c r="H1318" s="1245" t="s">
        <v>5657</v>
      </c>
      <c r="I1318" s="1147"/>
      <c r="J1318" s="943"/>
      <c r="K1318" s="944">
        <v>1</v>
      </c>
      <c r="L1318" s="898">
        <v>7</v>
      </c>
      <c r="M1318" s="899">
        <f t="shared" si="52"/>
        <v>8400</v>
      </c>
      <c r="N1318" s="898">
        <v>1</v>
      </c>
      <c r="O1318" s="898">
        <v>12</v>
      </c>
      <c r="P1318" s="899">
        <f t="shared" si="53"/>
        <v>14400</v>
      </c>
    </row>
    <row r="1319" spans="1:16" ht="24" x14ac:dyDescent="0.2">
      <c r="A1319" s="916" t="s">
        <v>5035</v>
      </c>
      <c r="B1319" s="943" t="s">
        <v>3092</v>
      </c>
      <c r="C1319" s="916" t="s">
        <v>5598</v>
      </c>
      <c r="D1319" s="943" t="s">
        <v>5040</v>
      </c>
      <c r="E1319" s="1144">
        <v>1923</v>
      </c>
      <c r="F1319" s="943" t="s">
        <v>5717</v>
      </c>
      <c r="G1319" s="1245" t="s">
        <v>5718</v>
      </c>
      <c r="H1319" s="1245" t="s">
        <v>5043</v>
      </c>
      <c r="I1319" s="1147"/>
      <c r="J1319" s="943"/>
      <c r="K1319" s="944">
        <v>1</v>
      </c>
      <c r="L1319" s="898">
        <v>7</v>
      </c>
      <c r="M1319" s="899">
        <f t="shared" si="52"/>
        <v>13461</v>
      </c>
      <c r="N1319" s="898">
        <v>1</v>
      </c>
      <c r="O1319" s="898">
        <v>12</v>
      </c>
      <c r="P1319" s="899">
        <f t="shared" si="53"/>
        <v>23076</v>
      </c>
    </row>
    <row r="1320" spans="1:16" ht="24" x14ac:dyDescent="0.2">
      <c r="A1320" s="916" t="s">
        <v>5035</v>
      </c>
      <c r="B1320" s="943" t="s">
        <v>3092</v>
      </c>
      <c r="C1320" s="916" t="s">
        <v>5598</v>
      </c>
      <c r="D1320" s="943" t="s">
        <v>5040</v>
      </c>
      <c r="E1320" s="1144">
        <v>1200</v>
      </c>
      <c r="F1320" s="943" t="s">
        <v>5719</v>
      </c>
      <c r="G1320" s="1245" t="s">
        <v>5720</v>
      </c>
      <c r="H1320" s="1245" t="s">
        <v>5058</v>
      </c>
      <c r="I1320" s="1147"/>
      <c r="J1320" s="943"/>
      <c r="K1320" s="944">
        <v>1</v>
      </c>
      <c r="L1320" s="898">
        <v>7</v>
      </c>
      <c r="M1320" s="899">
        <f t="shared" si="52"/>
        <v>8400</v>
      </c>
      <c r="N1320" s="898">
        <v>1</v>
      </c>
      <c r="O1320" s="898">
        <v>12</v>
      </c>
      <c r="P1320" s="899">
        <f t="shared" si="53"/>
        <v>14400</v>
      </c>
    </row>
    <row r="1321" spans="1:16" x14ac:dyDescent="0.2">
      <c r="A1321" s="916" t="s">
        <v>5035</v>
      </c>
      <c r="B1321" s="943" t="s">
        <v>3092</v>
      </c>
      <c r="C1321" s="916" t="s">
        <v>5598</v>
      </c>
      <c r="D1321" s="943" t="s">
        <v>5040</v>
      </c>
      <c r="E1321" s="1144">
        <v>1901</v>
      </c>
      <c r="F1321" s="943" t="s">
        <v>5721</v>
      </c>
      <c r="G1321" s="1245" t="s">
        <v>5722</v>
      </c>
      <c r="H1321" s="1245" t="s">
        <v>581</v>
      </c>
      <c r="I1321" s="1147"/>
      <c r="J1321" s="943"/>
      <c r="K1321" s="944">
        <v>1</v>
      </c>
      <c r="L1321" s="898">
        <v>7</v>
      </c>
      <c r="M1321" s="899">
        <f t="shared" si="52"/>
        <v>13307</v>
      </c>
      <c r="N1321" s="898">
        <v>1</v>
      </c>
      <c r="O1321" s="898">
        <v>12</v>
      </c>
      <c r="P1321" s="899">
        <f t="shared" si="53"/>
        <v>22812</v>
      </c>
    </row>
    <row r="1322" spans="1:16" ht="24" x14ac:dyDescent="0.2">
      <c r="A1322" s="916" t="s">
        <v>5035</v>
      </c>
      <c r="B1322" s="943" t="s">
        <v>3092</v>
      </c>
      <c r="C1322" s="916" t="s">
        <v>5598</v>
      </c>
      <c r="D1322" s="943" t="s">
        <v>5040</v>
      </c>
      <c r="E1322" s="1144">
        <v>1923</v>
      </c>
      <c r="F1322" s="943" t="s">
        <v>5723</v>
      </c>
      <c r="G1322" s="1245" t="s">
        <v>5724</v>
      </c>
      <c r="H1322" s="1245" t="s">
        <v>5043</v>
      </c>
      <c r="I1322" s="1147"/>
      <c r="J1322" s="943"/>
      <c r="K1322" s="944">
        <v>1</v>
      </c>
      <c r="L1322" s="898">
        <v>7</v>
      </c>
      <c r="M1322" s="899">
        <f t="shared" si="52"/>
        <v>13461</v>
      </c>
      <c r="N1322" s="898">
        <v>1</v>
      </c>
      <c r="O1322" s="898">
        <v>12</v>
      </c>
      <c r="P1322" s="899">
        <f t="shared" si="53"/>
        <v>23076</v>
      </c>
    </row>
    <row r="1323" spans="1:16" ht="24" x14ac:dyDescent="0.2">
      <c r="A1323" s="916" t="s">
        <v>5035</v>
      </c>
      <c r="B1323" s="943" t="s">
        <v>3092</v>
      </c>
      <c r="C1323" s="916" t="s">
        <v>5598</v>
      </c>
      <c r="D1323" s="943" t="s">
        <v>5040</v>
      </c>
      <c r="E1323" s="1144">
        <v>1923</v>
      </c>
      <c r="F1323" s="943" t="s">
        <v>5725</v>
      </c>
      <c r="G1323" s="1245" t="s">
        <v>5726</v>
      </c>
      <c r="H1323" s="1245" t="s">
        <v>580</v>
      </c>
      <c r="I1323" s="1147"/>
      <c r="J1323" s="943"/>
      <c r="K1323" s="944">
        <v>1</v>
      </c>
      <c r="L1323" s="898">
        <v>7</v>
      </c>
      <c r="M1323" s="899">
        <f t="shared" si="52"/>
        <v>13461</v>
      </c>
      <c r="N1323" s="898">
        <v>1</v>
      </c>
      <c r="O1323" s="898">
        <v>12</v>
      </c>
      <c r="P1323" s="899">
        <f t="shared" si="53"/>
        <v>23076</v>
      </c>
    </row>
    <row r="1324" spans="1:16" ht="24" x14ac:dyDescent="0.2">
      <c r="A1324" s="916" t="s">
        <v>5035</v>
      </c>
      <c r="B1324" s="943" t="s">
        <v>3092</v>
      </c>
      <c r="C1324" s="916" t="s">
        <v>5598</v>
      </c>
      <c r="D1324" s="943" t="s">
        <v>5040</v>
      </c>
      <c r="E1324" s="1144">
        <v>1923</v>
      </c>
      <c r="F1324" s="943" t="s">
        <v>5727</v>
      </c>
      <c r="G1324" s="1245" t="s">
        <v>5728</v>
      </c>
      <c r="H1324" s="1245" t="s">
        <v>5043</v>
      </c>
      <c r="I1324" s="1147"/>
      <c r="J1324" s="943"/>
      <c r="K1324" s="944">
        <v>1</v>
      </c>
      <c r="L1324" s="898">
        <v>7</v>
      </c>
      <c r="M1324" s="899">
        <f t="shared" si="52"/>
        <v>13461</v>
      </c>
      <c r="N1324" s="898">
        <v>1</v>
      </c>
      <c r="O1324" s="898">
        <v>12</v>
      </c>
      <c r="P1324" s="899">
        <f t="shared" si="53"/>
        <v>23076</v>
      </c>
    </row>
    <row r="1325" spans="1:16" ht="24" x14ac:dyDescent="0.2">
      <c r="A1325" s="916" t="s">
        <v>5035</v>
      </c>
      <c r="B1325" s="943" t="s">
        <v>3092</v>
      </c>
      <c r="C1325" s="916" t="s">
        <v>5598</v>
      </c>
      <c r="D1325" s="943" t="s">
        <v>5040</v>
      </c>
      <c r="E1325" s="1144">
        <v>2838</v>
      </c>
      <c r="F1325" s="943" t="s">
        <v>5729</v>
      </c>
      <c r="G1325" s="1245" t="s">
        <v>5730</v>
      </c>
      <c r="H1325" s="1245" t="s">
        <v>566</v>
      </c>
      <c r="I1325" s="1147"/>
      <c r="J1325" s="943"/>
      <c r="K1325" s="944">
        <v>1</v>
      </c>
      <c r="L1325" s="898">
        <v>7</v>
      </c>
      <c r="M1325" s="899">
        <f t="shared" si="52"/>
        <v>19866</v>
      </c>
      <c r="N1325" s="898">
        <v>1</v>
      </c>
      <c r="O1325" s="898">
        <v>12</v>
      </c>
      <c r="P1325" s="899">
        <f t="shared" si="53"/>
        <v>34056</v>
      </c>
    </row>
    <row r="1326" spans="1:16" ht="24" x14ac:dyDescent="0.2">
      <c r="A1326" s="916" t="s">
        <v>5035</v>
      </c>
      <c r="B1326" s="943" t="s">
        <v>3092</v>
      </c>
      <c r="C1326" s="916" t="s">
        <v>5598</v>
      </c>
      <c r="D1326" s="943" t="s">
        <v>491</v>
      </c>
      <c r="E1326" s="1144">
        <v>3000</v>
      </c>
      <c r="F1326" s="943" t="s">
        <v>5731</v>
      </c>
      <c r="G1326" s="1245" t="s">
        <v>5732</v>
      </c>
      <c r="H1326" s="1245" t="s">
        <v>5733</v>
      </c>
      <c r="I1326" s="1147"/>
      <c r="J1326" s="943"/>
      <c r="K1326" s="944">
        <v>1</v>
      </c>
      <c r="L1326" s="898">
        <v>7</v>
      </c>
      <c r="M1326" s="899">
        <f t="shared" si="52"/>
        <v>21000</v>
      </c>
      <c r="N1326" s="898">
        <v>1</v>
      </c>
      <c r="O1326" s="898">
        <v>12</v>
      </c>
      <c r="P1326" s="899">
        <f t="shared" si="53"/>
        <v>36000</v>
      </c>
    </row>
    <row r="1327" spans="1:16" x14ac:dyDescent="0.2">
      <c r="A1327" s="916" t="s">
        <v>5035</v>
      </c>
      <c r="B1327" s="943" t="s">
        <v>3092</v>
      </c>
      <c r="C1327" s="916" t="s">
        <v>5598</v>
      </c>
      <c r="D1327" s="943" t="s">
        <v>5040</v>
      </c>
      <c r="E1327" s="1144">
        <v>1923</v>
      </c>
      <c r="F1327" s="943" t="s">
        <v>5734</v>
      </c>
      <c r="G1327" s="1245" t="s">
        <v>5735</v>
      </c>
      <c r="H1327" s="1245" t="s">
        <v>581</v>
      </c>
      <c r="I1327" s="1147"/>
      <c r="J1327" s="943"/>
      <c r="K1327" s="944">
        <v>1</v>
      </c>
      <c r="L1327" s="898">
        <v>7</v>
      </c>
      <c r="M1327" s="899">
        <f t="shared" si="52"/>
        <v>13461</v>
      </c>
      <c r="N1327" s="898">
        <v>1</v>
      </c>
      <c r="O1327" s="898">
        <v>12</v>
      </c>
      <c r="P1327" s="899">
        <f t="shared" si="53"/>
        <v>23076</v>
      </c>
    </row>
    <row r="1328" spans="1:16" ht="24" x14ac:dyDescent="0.2">
      <c r="A1328" s="916" t="s">
        <v>5035</v>
      </c>
      <c r="B1328" s="943" t="s">
        <v>3092</v>
      </c>
      <c r="C1328" s="916" t="s">
        <v>5598</v>
      </c>
      <c r="D1328" s="943" t="s">
        <v>5040</v>
      </c>
      <c r="E1328" s="1144">
        <v>1923</v>
      </c>
      <c r="F1328" s="943" t="s">
        <v>5736</v>
      </c>
      <c r="G1328" s="1245" t="s">
        <v>5737</v>
      </c>
      <c r="H1328" s="1245" t="s">
        <v>5043</v>
      </c>
      <c r="I1328" s="1147"/>
      <c r="J1328" s="943"/>
      <c r="K1328" s="944">
        <v>1</v>
      </c>
      <c r="L1328" s="898">
        <v>7</v>
      </c>
      <c r="M1328" s="899">
        <f t="shared" si="52"/>
        <v>13461</v>
      </c>
      <c r="N1328" s="898">
        <v>1</v>
      </c>
      <c r="O1328" s="898">
        <v>12</v>
      </c>
      <c r="P1328" s="899">
        <f t="shared" si="53"/>
        <v>23076</v>
      </c>
    </row>
    <row r="1329" spans="1:16" ht="24" x14ac:dyDescent="0.2">
      <c r="A1329" s="916" t="s">
        <v>5035</v>
      </c>
      <c r="B1329" s="943" t="s">
        <v>3092</v>
      </c>
      <c r="C1329" s="916" t="s">
        <v>5598</v>
      </c>
      <c r="D1329" s="943" t="s">
        <v>5040</v>
      </c>
      <c r="E1329" s="1144">
        <v>1923</v>
      </c>
      <c r="F1329" s="943" t="s">
        <v>5738</v>
      </c>
      <c r="G1329" s="1245" t="s">
        <v>5739</v>
      </c>
      <c r="H1329" s="1245" t="s">
        <v>5043</v>
      </c>
      <c r="I1329" s="1147"/>
      <c r="J1329" s="943"/>
      <c r="K1329" s="944">
        <v>1</v>
      </c>
      <c r="L1329" s="898">
        <v>7</v>
      </c>
      <c r="M1329" s="899">
        <f t="shared" si="52"/>
        <v>13461</v>
      </c>
      <c r="N1329" s="898">
        <v>1</v>
      </c>
      <c r="O1329" s="898">
        <v>12</v>
      </c>
      <c r="P1329" s="899">
        <f t="shared" si="53"/>
        <v>23076</v>
      </c>
    </row>
    <row r="1330" spans="1:16" x14ac:dyDescent="0.2">
      <c r="A1330" s="916" t="s">
        <v>5035</v>
      </c>
      <c r="B1330" s="943" t="s">
        <v>3092</v>
      </c>
      <c r="C1330" s="916" t="s">
        <v>5598</v>
      </c>
      <c r="D1330" s="943" t="s">
        <v>5040</v>
      </c>
      <c r="E1330" s="1144">
        <v>2931</v>
      </c>
      <c r="F1330" s="943" t="s">
        <v>5740</v>
      </c>
      <c r="G1330" s="1245" t="s">
        <v>5741</v>
      </c>
      <c r="H1330" s="1245" t="s">
        <v>517</v>
      </c>
      <c r="I1330" s="1147"/>
      <c r="J1330" s="943"/>
      <c r="K1330" s="944">
        <v>1</v>
      </c>
      <c r="L1330" s="898">
        <v>7</v>
      </c>
      <c r="M1330" s="899">
        <f t="shared" si="52"/>
        <v>20517</v>
      </c>
      <c r="N1330" s="898">
        <v>1</v>
      </c>
      <c r="O1330" s="898">
        <v>12</v>
      </c>
      <c r="P1330" s="899">
        <f t="shared" si="53"/>
        <v>35172</v>
      </c>
    </row>
    <row r="1331" spans="1:16" ht="24" x14ac:dyDescent="0.2">
      <c r="A1331" s="916" t="s">
        <v>5035</v>
      </c>
      <c r="B1331" s="943" t="s">
        <v>3092</v>
      </c>
      <c r="C1331" s="916" t="s">
        <v>5598</v>
      </c>
      <c r="D1331" s="943" t="s">
        <v>5040</v>
      </c>
      <c r="E1331" s="1144">
        <v>1923</v>
      </c>
      <c r="F1331" s="943" t="s">
        <v>5742</v>
      </c>
      <c r="G1331" s="1245" t="s">
        <v>5743</v>
      </c>
      <c r="H1331" s="1245" t="s">
        <v>5043</v>
      </c>
      <c r="I1331" s="1147"/>
      <c r="J1331" s="943"/>
      <c r="K1331" s="944">
        <v>1</v>
      </c>
      <c r="L1331" s="898">
        <v>7</v>
      </c>
      <c r="M1331" s="899">
        <f t="shared" si="52"/>
        <v>13461</v>
      </c>
      <c r="N1331" s="898">
        <v>1</v>
      </c>
      <c r="O1331" s="898">
        <v>12</v>
      </c>
      <c r="P1331" s="899">
        <f t="shared" si="53"/>
        <v>23076</v>
      </c>
    </row>
    <row r="1332" spans="1:16" ht="24" x14ac:dyDescent="0.2">
      <c r="A1332" s="916" t="s">
        <v>5035</v>
      </c>
      <c r="B1332" s="943" t="s">
        <v>3092</v>
      </c>
      <c r="C1332" s="916" t="s">
        <v>5598</v>
      </c>
      <c r="D1332" s="943" t="s">
        <v>5040</v>
      </c>
      <c r="E1332" s="1144">
        <v>1923</v>
      </c>
      <c r="F1332" s="943" t="s">
        <v>5744</v>
      </c>
      <c r="G1332" s="1245" t="s">
        <v>5745</v>
      </c>
      <c r="H1332" s="1245" t="s">
        <v>5043</v>
      </c>
      <c r="I1332" s="1147"/>
      <c r="J1332" s="943"/>
      <c r="K1332" s="944">
        <v>1</v>
      </c>
      <c r="L1332" s="898">
        <v>7</v>
      </c>
      <c r="M1332" s="899">
        <f t="shared" si="52"/>
        <v>13461</v>
      </c>
      <c r="N1332" s="898">
        <v>1</v>
      </c>
      <c r="O1332" s="898">
        <v>12</v>
      </c>
      <c r="P1332" s="899">
        <f t="shared" si="53"/>
        <v>23076</v>
      </c>
    </row>
    <row r="1333" spans="1:16" ht="24" x14ac:dyDescent="0.2">
      <c r="A1333" s="916" t="s">
        <v>5035</v>
      </c>
      <c r="B1333" s="943" t="s">
        <v>3092</v>
      </c>
      <c r="C1333" s="916" t="s">
        <v>5598</v>
      </c>
      <c r="D1333" s="943" t="s">
        <v>5040</v>
      </c>
      <c r="E1333" s="1144">
        <v>1932</v>
      </c>
      <c r="F1333" s="943" t="s">
        <v>5746</v>
      </c>
      <c r="G1333" s="1245" t="s">
        <v>5747</v>
      </c>
      <c r="H1333" s="1245" t="s">
        <v>5043</v>
      </c>
      <c r="I1333" s="1147"/>
      <c r="J1333" s="943"/>
      <c r="K1333" s="944">
        <v>1</v>
      </c>
      <c r="L1333" s="898">
        <v>7</v>
      </c>
      <c r="M1333" s="899">
        <f t="shared" si="52"/>
        <v>13524</v>
      </c>
      <c r="N1333" s="898">
        <v>1</v>
      </c>
      <c r="O1333" s="898">
        <v>12</v>
      </c>
      <c r="P1333" s="899">
        <f t="shared" si="53"/>
        <v>23184</v>
      </c>
    </row>
    <row r="1334" spans="1:16" x14ac:dyDescent="0.2">
      <c r="A1334" s="916" t="s">
        <v>5035</v>
      </c>
      <c r="B1334" s="943" t="s">
        <v>3092</v>
      </c>
      <c r="C1334" s="916" t="s">
        <v>5598</v>
      </c>
      <c r="D1334" s="943" t="s">
        <v>5040</v>
      </c>
      <c r="E1334" s="1144">
        <v>2931</v>
      </c>
      <c r="F1334" s="943" t="s">
        <v>5748</v>
      </c>
      <c r="G1334" s="1245" t="s">
        <v>5749</v>
      </c>
      <c r="H1334" s="1245" t="s">
        <v>5063</v>
      </c>
      <c r="I1334" s="1147"/>
      <c r="J1334" s="943"/>
      <c r="K1334" s="944">
        <v>1</v>
      </c>
      <c r="L1334" s="898">
        <v>7</v>
      </c>
      <c r="M1334" s="899">
        <f t="shared" si="52"/>
        <v>20517</v>
      </c>
      <c r="N1334" s="898">
        <v>1</v>
      </c>
      <c r="O1334" s="898">
        <v>12</v>
      </c>
      <c r="P1334" s="899">
        <f t="shared" si="53"/>
        <v>35172</v>
      </c>
    </row>
    <row r="1335" spans="1:16" ht="24" x14ac:dyDescent="0.2">
      <c r="A1335" s="916" t="s">
        <v>5035</v>
      </c>
      <c r="B1335" s="943" t="s">
        <v>3092</v>
      </c>
      <c r="C1335" s="916" t="s">
        <v>5598</v>
      </c>
      <c r="D1335" s="943" t="s">
        <v>491</v>
      </c>
      <c r="E1335" s="1144">
        <v>1348</v>
      </c>
      <c r="F1335" s="943" t="s">
        <v>5750</v>
      </c>
      <c r="G1335" s="1245" t="s">
        <v>5751</v>
      </c>
      <c r="H1335" s="1245" t="s">
        <v>3115</v>
      </c>
      <c r="I1335" s="1147"/>
      <c r="J1335" s="943"/>
      <c r="K1335" s="944">
        <v>1</v>
      </c>
      <c r="L1335" s="898">
        <v>7</v>
      </c>
      <c r="M1335" s="899">
        <f t="shared" si="52"/>
        <v>9436</v>
      </c>
      <c r="N1335" s="898">
        <v>1</v>
      </c>
      <c r="O1335" s="898">
        <v>12</v>
      </c>
      <c r="P1335" s="899">
        <f t="shared" si="53"/>
        <v>16176</v>
      </c>
    </row>
    <row r="1336" spans="1:16" ht="24" x14ac:dyDescent="0.2">
      <c r="A1336" s="916" t="s">
        <v>5035</v>
      </c>
      <c r="B1336" s="943" t="s">
        <v>3092</v>
      </c>
      <c r="C1336" s="916" t="s">
        <v>5598</v>
      </c>
      <c r="D1336" s="943" t="s">
        <v>5040</v>
      </c>
      <c r="E1336" s="1144">
        <v>1923</v>
      </c>
      <c r="F1336" s="943" t="s">
        <v>5752</v>
      </c>
      <c r="G1336" s="1245" t="s">
        <v>5753</v>
      </c>
      <c r="H1336" s="1245" t="s">
        <v>5043</v>
      </c>
      <c r="I1336" s="1147"/>
      <c r="J1336" s="943"/>
      <c r="K1336" s="944">
        <v>1</v>
      </c>
      <c r="L1336" s="898">
        <v>7</v>
      </c>
      <c r="M1336" s="899">
        <f t="shared" si="52"/>
        <v>13461</v>
      </c>
      <c r="N1336" s="898">
        <v>1</v>
      </c>
      <c r="O1336" s="898">
        <v>12</v>
      </c>
      <c r="P1336" s="899">
        <f t="shared" si="53"/>
        <v>23076</v>
      </c>
    </row>
    <row r="1337" spans="1:16" x14ac:dyDescent="0.2">
      <c r="A1337" s="916" t="s">
        <v>5035</v>
      </c>
      <c r="B1337" s="943" t="s">
        <v>3092</v>
      </c>
      <c r="C1337" s="916" t="s">
        <v>5598</v>
      </c>
      <c r="D1337" s="943" t="s">
        <v>5040</v>
      </c>
      <c r="E1337" s="1144">
        <v>2200</v>
      </c>
      <c r="F1337" s="943" t="s">
        <v>5754</v>
      </c>
      <c r="G1337" s="1245" t="s">
        <v>4956</v>
      </c>
      <c r="H1337" s="1245" t="s">
        <v>5755</v>
      </c>
      <c r="I1337" s="1147"/>
      <c r="J1337" s="943"/>
      <c r="K1337" s="944">
        <v>1</v>
      </c>
      <c r="L1337" s="898">
        <v>7</v>
      </c>
      <c r="M1337" s="899">
        <f t="shared" si="52"/>
        <v>15400</v>
      </c>
      <c r="N1337" s="898">
        <v>1</v>
      </c>
      <c r="O1337" s="898">
        <v>12</v>
      </c>
      <c r="P1337" s="899">
        <f t="shared" si="53"/>
        <v>26400</v>
      </c>
    </row>
    <row r="1338" spans="1:16" ht="24" x14ac:dyDescent="0.2">
      <c r="A1338" s="916" t="s">
        <v>5035</v>
      </c>
      <c r="B1338" s="943" t="s">
        <v>3092</v>
      </c>
      <c r="C1338" s="916" t="s">
        <v>5598</v>
      </c>
      <c r="D1338" s="943" t="s">
        <v>5040</v>
      </c>
      <c r="E1338" s="1144">
        <v>7000</v>
      </c>
      <c r="F1338" s="943" t="s">
        <v>5756</v>
      </c>
      <c r="G1338" s="1245" t="s">
        <v>5757</v>
      </c>
      <c r="H1338" s="1245" t="s">
        <v>5077</v>
      </c>
      <c r="I1338" s="1147"/>
      <c r="J1338" s="943"/>
      <c r="K1338" s="944">
        <v>1</v>
      </c>
      <c r="L1338" s="898">
        <v>7</v>
      </c>
      <c r="M1338" s="899">
        <f t="shared" si="52"/>
        <v>49000</v>
      </c>
      <c r="N1338" s="898">
        <v>1</v>
      </c>
      <c r="O1338" s="898">
        <v>12</v>
      </c>
      <c r="P1338" s="899">
        <f t="shared" si="53"/>
        <v>84000</v>
      </c>
    </row>
    <row r="1339" spans="1:16" ht="24" x14ac:dyDescent="0.2">
      <c r="A1339" s="916" t="s">
        <v>5035</v>
      </c>
      <c r="B1339" s="943" t="s">
        <v>3092</v>
      </c>
      <c r="C1339" s="916" t="s">
        <v>5598</v>
      </c>
      <c r="D1339" s="943" t="s">
        <v>5040</v>
      </c>
      <c r="E1339" s="1144">
        <v>1932</v>
      </c>
      <c r="F1339" s="943" t="s">
        <v>5758</v>
      </c>
      <c r="G1339" s="1245" t="s">
        <v>5759</v>
      </c>
      <c r="H1339" s="1245" t="s">
        <v>5043</v>
      </c>
      <c r="I1339" s="1147"/>
      <c r="J1339" s="943"/>
      <c r="K1339" s="944">
        <v>1</v>
      </c>
      <c r="L1339" s="898">
        <v>7</v>
      </c>
      <c r="M1339" s="899">
        <f t="shared" si="52"/>
        <v>13524</v>
      </c>
      <c r="N1339" s="898">
        <v>1</v>
      </c>
      <c r="O1339" s="898">
        <v>12</v>
      </c>
      <c r="P1339" s="899">
        <f t="shared" si="53"/>
        <v>23184</v>
      </c>
    </row>
    <row r="1340" spans="1:16" x14ac:dyDescent="0.2">
      <c r="A1340" s="916" t="s">
        <v>5035</v>
      </c>
      <c r="B1340" s="943" t="s">
        <v>3092</v>
      </c>
      <c r="C1340" s="916" t="s">
        <v>5598</v>
      </c>
      <c r="D1340" s="943" t="s">
        <v>5040</v>
      </c>
      <c r="E1340" s="1144">
        <v>2931</v>
      </c>
      <c r="F1340" s="943" t="s">
        <v>5760</v>
      </c>
      <c r="G1340" s="1245" t="s">
        <v>5761</v>
      </c>
      <c r="H1340" s="1245" t="s">
        <v>517</v>
      </c>
      <c r="I1340" s="1147"/>
      <c r="J1340" s="943"/>
      <c r="K1340" s="944">
        <v>1</v>
      </c>
      <c r="L1340" s="898">
        <v>7</v>
      </c>
      <c r="M1340" s="899">
        <f t="shared" si="52"/>
        <v>20517</v>
      </c>
      <c r="N1340" s="898">
        <v>1</v>
      </c>
      <c r="O1340" s="898">
        <v>12</v>
      </c>
      <c r="P1340" s="899">
        <f t="shared" si="53"/>
        <v>35172</v>
      </c>
    </row>
    <row r="1341" spans="1:16" ht="24" x14ac:dyDescent="0.2">
      <c r="A1341" s="916" t="s">
        <v>5035</v>
      </c>
      <c r="B1341" s="943" t="s">
        <v>3092</v>
      </c>
      <c r="C1341" s="916" t="s">
        <v>5598</v>
      </c>
      <c r="D1341" s="943" t="s">
        <v>491</v>
      </c>
      <c r="E1341" s="1144">
        <v>1400</v>
      </c>
      <c r="F1341" s="943" t="s">
        <v>5762</v>
      </c>
      <c r="G1341" s="1245" t="s">
        <v>5763</v>
      </c>
      <c r="H1341" s="1245" t="s">
        <v>3100</v>
      </c>
      <c r="I1341" s="1147"/>
      <c r="J1341" s="943"/>
      <c r="K1341" s="944">
        <v>1</v>
      </c>
      <c r="L1341" s="898">
        <v>7</v>
      </c>
      <c r="M1341" s="899">
        <f t="shared" si="52"/>
        <v>9800</v>
      </c>
      <c r="N1341" s="898">
        <v>1</v>
      </c>
      <c r="O1341" s="898">
        <v>12</v>
      </c>
      <c r="P1341" s="899">
        <f t="shared" si="53"/>
        <v>16800</v>
      </c>
    </row>
    <row r="1342" spans="1:16" x14ac:dyDescent="0.2">
      <c r="A1342" s="916" t="s">
        <v>5035</v>
      </c>
      <c r="B1342" s="943" t="s">
        <v>3092</v>
      </c>
      <c r="C1342" s="916" t="s">
        <v>5598</v>
      </c>
      <c r="D1342" s="943" t="s">
        <v>5040</v>
      </c>
      <c r="E1342" s="1144">
        <v>5500</v>
      </c>
      <c r="F1342" s="943" t="s">
        <v>5764</v>
      </c>
      <c r="G1342" s="1245" t="s">
        <v>5765</v>
      </c>
      <c r="H1342" s="1245" t="s">
        <v>517</v>
      </c>
      <c r="I1342" s="1147"/>
      <c r="J1342" s="943"/>
      <c r="K1342" s="944">
        <v>1</v>
      </c>
      <c r="L1342" s="898">
        <v>7</v>
      </c>
      <c r="M1342" s="899">
        <f t="shared" si="52"/>
        <v>38500</v>
      </c>
      <c r="N1342" s="898">
        <v>1</v>
      </c>
      <c r="O1342" s="898">
        <v>12</v>
      </c>
      <c r="P1342" s="899">
        <f t="shared" si="53"/>
        <v>66000</v>
      </c>
    </row>
    <row r="1343" spans="1:16" x14ac:dyDescent="0.2">
      <c r="A1343" s="916" t="s">
        <v>5035</v>
      </c>
      <c r="B1343" s="943" t="s">
        <v>3092</v>
      </c>
      <c r="C1343" s="916" t="s">
        <v>5598</v>
      </c>
      <c r="D1343" s="943" t="s">
        <v>5040</v>
      </c>
      <c r="E1343" s="1144">
        <v>2000</v>
      </c>
      <c r="F1343" s="943" t="s">
        <v>5766</v>
      </c>
      <c r="G1343" s="1245" t="s">
        <v>5767</v>
      </c>
      <c r="H1343" s="1245" t="s">
        <v>3164</v>
      </c>
      <c r="I1343" s="1147"/>
      <c r="J1343" s="943"/>
      <c r="K1343" s="944">
        <v>1</v>
      </c>
      <c r="L1343" s="898">
        <v>7</v>
      </c>
      <c r="M1343" s="899">
        <f t="shared" si="52"/>
        <v>14000</v>
      </c>
      <c r="N1343" s="898">
        <v>1</v>
      </c>
      <c r="O1343" s="898">
        <v>12</v>
      </c>
      <c r="P1343" s="899">
        <f t="shared" si="53"/>
        <v>24000</v>
      </c>
    </row>
    <row r="1344" spans="1:16" x14ac:dyDescent="0.2">
      <c r="A1344" s="916" t="s">
        <v>5035</v>
      </c>
      <c r="B1344" s="943" t="s">
        <v>3092</v>
      </c>
      <c r="C1344" s="916" t="s">
        <v>5598</v>
      </c>
      <c r="D1344" s="943" t="s">
        <v>5040</v>
      </c>
      <c r="E1344" s="1144">
        <v>7000</v>
      </c>
      <c r="F1344" s="943" t="s">
        <v>5768</v>
      </c>
      <c r="G1344" s="1245" t="s">
        <v>5769</v>
      </c>
      <c r="H1344" s="1245" t="s">
        <v>5077</v>
      </c>
      <c r="I1344" s="1147"/>
      <c r="J1344" s="943"/>
      <c r="K1344" s="944">
        <v>1</v>
      </c>
      <c r="L1344" s="898">
        <v>7</v>
      </c>
      <c r="M1344" s="899">
        <f t="shared" si="52"/>
        <v>49000</v>
      </c>
      <c r="N1344" s="898">
        <v>1</v>
      </c>
      <c r="O1344" s="898">
        <v>12</v>
      </c>
      <c r="P1344" s="899">
        <f t="shared" si="53"/>
        <v>84000</v>
      </c>
    </row>
    <row r="1345" spans="1:16" x14ac:dyDescent="0.2">
      <c r="A1345" s="916" t="s">
        <v>5035</v>
      </c>
      <c r="B1345" s="943" t="s">
        <v>3092</v>
      </c>
      <c r="C1345" s="916" t="s">
        <v>5598</v>
      </c>
      <c r="D1345" s="943" t="s">
        <v>5040</v>
      </c>
      <c r="E1345" s="1144">
        <v>1200</v>
      </c>
      <c r="F1345" s="943" t="s">
        <v>5770</v>
      </c>
      <c r="G1345" s="1245" t="s">
        <v>5771</v>
      </c>
      <c r="H1345" s="1245" t="s">
        <v>3187</v>
      </c>
      <c r="I1345" s="1147"/>
      <c r="J1345" s="943"/>
      <c r="K1345" s="944">
        <v>1</v>
      </c>
      <c r="L1345" s="898">
        <v>7</v>
      </c>
      <c r="M1345" s="899">
        <f t="shared" si="52"/>
        <v>8400</v>
      </c>
      <c r="N1345" s="898">
        <v>1</v>
      </c>
      <c r="O1345" s="898">
        <v>12</v>
      </c>
      <c r="P1345" s="899">
        <f t="shared" si="53"/>
        <v>14400</v>
      </c>
    </row>
    <row r="1346" spans="1:16" ht="24" x14ac:dyDescent="0.2">
      <c r="A1346" s="916" t="s">
        <v>5035</v>
      </c>
      <c r="B1346" s="943" t="s">
        <v>3092</v>
      </c>
      <c r="C1346" s="916" t="s">
        <v>5598</v>
      </c>
      <c r="D1346" s="943" t="s">
        <v>5040</v>
      </c>
      <c r="E1346" s="1144">
        <v>3000</v>
      </c>
      <c r="F1346" s="943" t="s">
        <v>5772</v>
      </c>
      <c r="G1346" s="1245" t="s">
        <v>5773</v>
      </c>
      <c r="H1346" s="1245" t="s">
        <v>5043</v>
      </c>
      <c r="I1346" s="1147"/>
      <c r="J1346" s="943"/>
      <c r="K1346" s="944">
        <v>1</v>
      </c>
      <c r="L1346" s="898">
        <v>7</v>
      </c>
      <c r="M1346" s="899">
        <f t="shared" si="52"/>
        <v>21000</v>
      </c>
      <c r="N1346" s="898">
        <v>1</v>
      </c>
      <c r="O1346" s="898">
        <v>12</v>
      </c>
      <c r="P1346" s="899">
        <f t="shared" si="53"/>
        <v>36000</v>
      </c>
    </row>
    <row r="1347" spans="1:16" x14ac:dyDescent="0.2">
      <c r="A1347" s="916" t="s">
        <v>5035</v>
      </c>
      <c r="B1347" s="943" t="s">
        <v>3092</v>
      </c>
      <c r="C1347" s="916" t="s">
        <v>5598</v>
      </c>
      <c r="D1347" s="943" t="s">
        <v>5040</v>
      </c>
      <c r="E1347" s="1144">
        <v>2931</v>
      </c>
      <c r="F1347" s="943" t="s">
        <v>5774</v>
      </c>
      <c r="G1347" s="1245" t="s">
        <v>5775</v>
      </c>
      <c r="H1347" s="1245" t="s">
        <v>5106</v>
      </c>
      <c r="I1347" s="1147"/>
      <c r="J1347" s="943"/>
      <c r="K1347" s="944">
        <v>1</v>
      </c>
      <c r="L1347" s="898">
        <v>7</v>
      </c>
      <c r="M1347" s="899">
        <f t="shared" si="52"/>
        <v>20517</v>
      </c>
      <c r="N1347" s="898">
        <v>1</v>
      </c>
      <c r="O1347" s="898">
        <v>12</v>
      </c>
      <c r="P1347" s="899">
        <f t="shared" si="53"/>
        <v>35172</v>
      </c>
    </row>
    <row r="1348" spans="1:16" ht="24" x14ac:dyDescent="0.2">
      <c r="A1348" s="916" t="s">
        <v>5035</v>
      </c>
      <c r="B1348" s="943" t="s">
        <v>3092</v>
      </c>
      <c r="C1348" s="916" t="s">
        <v>5598</v>
      </c>
      <c r="D1348" s="943" t="s">
        <v>491</v>
      </c>
      <c r="E1348" s="1144">
        <v>3000</v>
      </c>
      <c r="F1348" s="943" t="s">
        <v>5776</v>
      </c>
      <c r="G1348" s="1245" t="s">
        <v>5777</v>
      </c>
      <c r="H1348" s="1245" t="s">
        <v>3212</v>
      </c>
      <c r="I1348" s="1147"/>
      <c r="J1348" s="943"/>
      <c r="K1348" s="944">
        <v>1</v>
      </c>
      <c r="L1348" s="898">
        <v>7</v>
      </c>
      <c r="M1348" s="899">
        <f t="shared" si="52"/>
        <v>21000</v>
      </c>
      <c r="N1348" s="898">
        <v>1</v>
      </c>
      <c r="O1348" s="898">
        <v>12</v>
      </c>
      <c r="P1348" s="899">
        <f t="shared" si="53"/>
        <v>36000</v>
      </c>
    </row>
    <row r="1349" spans="1:16" ht="24" x14ac:dyDescent="0.2">
      <c r="A1349" s="916" t="s">
        <v>5035</v>
      </c>
      <c r="B1349" s="943" t="s">
        <v>3092</v>
      </c>
      <c r="C1349" s="916" t="s">
        <v>5598</v>
      </c>
      <c r="D1349" s="943" t="s">
        <v>5040</v>
      </c>
      <c r="E1349" s="1144">
        <v>3000</v>
      </c>
      <c r="F1349" s="943" t="s">
        <v>5778</v>
      </c>
      <c r="G1349" s="1245" t="s">
        <v>5779</v>
      </c>
      <c r="H1349" s="1245" t="s">
        <v>5043</v>
      </c>
      <c r="I1349" s="1147"/>
      <c r="J1349" s="943"/>
      <c r="K1349" s="944">
        <v>1</v>
      </c>
      <c r="L1349" s="898">
        <v>7</v>
      </c>
      <c r="M1349" s="899">
        <f t="shared" si="52"/>
        <v>21000</v>
      </c>
      <c r="N1349" s="898">
        <v>1</v>
      </c>
      <c r="O1349" s="898">
        <v>12</v>
      </c>
      <c r="P1349" s="899">
        <f t="shared" si="53"/>
        <v>36000</v>
      </c>
    </row>
    <row r="1350" spans="1:16" x14ac:dyDescent="0.2">
      <c r="A1350" s="916" t="s">
        <v>5035</v>
      </c>
      <c r="B1350" s="943" t="s">
        <v>3092</v>
      </c>
      <c r="C1350" s="916" t="s">
        <v>5598</v>
      </c>
      <c r="D1350" s="943" t="s">
        <v>5040</v>
      </c>
      <c r="E1350" s="1144">
        <v>7000</v>
      </c>
      <c r="F1350" s="943" t="s">
        <v>5780</v>
      </c>
      <c r="G1350" s="1245" t="s">
        <v>5781</v>
      </c>
      <c r="H1350" s="1245" t="s">
        <v>5077</v>
      </c>
      <c r="I1350" s="1147"/>
      <c r="J1350" s="943"/>
      <c r="K1350" s="944">
        <v>1</v>
      </c>
      <c r="L1350" s="898">
        <v>7</v>
      </c>
      <c r="M1350" s="899">
        <f t="shared" si="52"/>
        <v>49000</v>
      </c>
      <c r="N1350" s="898">
        <v>1</v>
      </c>
      <c r="O1350" s="898">
        <v>12</v>
      </c>
      <c r="P1350" s="899">
        <f t="shared" si="53"/>
        <v>84000</v>
      </c>
    </row>
    <row r="1351" spans="1:16" ht="24" x14ac:dyDescent="0.2">
      <c r="A1351" s="916" t="s">
        <v>5035</v>
      </c>
      <c r="B1351" s="943" t="s">
        <v>3092</v>
      </c>
      <c r="C1351" s="916" t="s">
        <v>5598</v>
      </c>
      <c r="D1351" s="943" t="s">
        <v>5040</v>
      </c>
      <c r="E1351" s="1144">
        <v>1923</v>
      </c>
      <c r="F1351" s="943" t="s">
        <v>5782</v>
      </c>
      <c r="G1351" s="1245" t="s">
        <v>5783</v>
      </c>
      <c r="H1351" s="1245" t="s">
        <v>5043</v>
      </c>
      <c r="I1351" s="1147"/>
      <c r="J1351" s="943"/>
      <c r="K1351" s="944">
        <v>1</v>
      </c>
      <c r="L1351" s="898">
        <v>7</v>
      </c>
      <c r="M1351" s="899">
        <f t="shared" si="52"/>
        <v>13461</v>
      </c>
      <c r="N1351" s="898">
        <v>1</v>
      </c>
      <c r="O1351" s="898">
        <v>12</v>
      </c>
      <c r="P1351" s="899">
        <f t="shared" si="53"/>
        <v>23076</v>
      </c>
    </row>
    <row r="1352" spans="1:16" ht="24" x14ac:dyDescent="0.2">
      <c r="A1352" s="916" t="s">
        <v>5035</v>
      </c>
      <c r="B1352" s="943" t="s">
        <v>3092</v>
      </c>
      <c r="C1352" s="916" t="s">
        <v>5598</v>
      </c>
      <c r="D1352" s="943" t="s">
        <v>5040</v>
      </c>
      <c r="E1352" s="1144">
        <v>1932</v>
      </c>
      <c r="F1352" s="943" t="s">
        <v>5784</v>
      </c>
      <c r="G1352" s="1245" t="s">
        <v>5785</v>
      </c>
      <c r="H1352" s="1245" t="s">
        <v>5043</v>
      </c>
      <c r="I1352" s="1147"/>
      <c r="J1352" s="943"/>
      <c r="K1352" s="944">
        <v>1</v>
      </c>
      <c r="L1352" s="898">
        <v>7</v>
      </c>
      <c r="M1352" s="899">
        <f t="shared" si="52"/>
        <v>13524</v>
      </c>
      <c r="N1352" s="898">
        <v>1</v>
      </c>
      <c r="O1352" s="898">
        <v>12</v>
      </c>
      <c r="P1352" s="899">
        <f t="shared" si="53"/>
        <v>23184</v>
      </c>
    </row>
    <row r="1353" spans="1:16" x14ac:dyDescent="0.2">
      <c r="A1353" s="916" t="s">
        <v>5035</v>
      </c>
      <c r="B1353" s="943" t="s">
        <v>3092</v>
      </c>
      <c r="C1353" s="916" t="s">
        <v>5598</v>
      </c>
      <c r="D1353" s="943" t="s">
        <v>5040</v>
      </c>
      <c r="E1353" s="1144">
        <v>1200</v>
      </c>
      <c r="F1353" s="943" t="s">
        <v>5786</v>
      </c>
      <c r="G1353" s="1245" t="s">
        <v>5787</v>
      </c>
      <c r="H1353" s="1245" t="s">
        <v>3187</v>
      </c>
      <c r="I1353" s="1147"/>
      <c r="J1353" s="943"/>
      <c r="K1353" s="944">
        <v>1</v>
      </c>
      <c r="L1353" s="898">
        <v>7</v>
      </c>
      <c r="M1353" s="899">
        <f t="shared" si="52"/>
        <v>8400</v>
      </c>
      <c r="N1353" s="898">
        <v>1</v>
      </c>
      <c r="O1353" s="898">
        <v>12</v>
      </c>
      <c r="P1353" s="899">
        <f t="shared" si="53"/>
        <v>14400</v>
      </c>
    </row>
    <row r="1354" spans="1:16" x14ac:dyDescent="0.2">
      <c r="A1354" s="916" t="s">
        <v>5035</v>
      </c>
      <c r="B1354" s="943" t="s">
        <v>3092</v>
      </c>
      <c r="C1354" s="916" t="s">
        <v>5598</v>
      </c>
      <c r="D1354" s="943" t="s">
        <v>5040</v>
      </c>
      <c r="E1354" s="1144">
        <v>1200</v>
      </c>
      <c r="F1354" s="943" t="s">
        <v>5788</v>
      </c>
      <c r="G1354" s="1245" t="s">
        <v>5789</v>
      </c>
      <c r="H1354" s="1245" t="s">
        <v>3187</v>
      </c>
      <c r="I1354" s="1147"/>
      <c r="J1354" s="943"/>
      <c r="K1354" s="944">
        <v>1</v>
      </c>
      <c r="L1354" s="898">
        <v>7</v>
      </c>
      <c r="M1354" s="899">
        <f t="shared" si="52"/>
        <v>8400</v>
      </c>
      <c r="N1354" s="898">
        <v>1</v>
      </c>
      <c r="O1354" s="898">
        <v>12</v>
      </c>
      <c r="P1354" s="899">
        <f t="shared" si="53"/>
        <v>14400</v>
      </c>
    </row>
    <row r="1355" spans="1:16" x14ac:dyDescent="0.2">
      <c r="A1355" s="916" t="s">
        <v>5035</v>
      </c>
      <c r="B1355" s="943" t="s">
        <v>3092</v>
      </c>
      <c r="C1355" s="916" t="s">
        <v>5598</v>
      </c>
      <c r="D1355" s="943" t="s">
        <v>5040</v>
      </c>
      <c r="E1355" s="1144">
        <v>1200</v>
      </c>
      <c r="F1355" s="943" t="s">
        <v>5790</v>
      </c>
      <c r="G1355" s="1245" t="s">
        <v>5791</v>
      </c>
      <c r="H1355" s="1245" t="s">
        <v>5630</v>
      </c>
      <c r="I1355" s="1147"/>
      <c r="J1355" s="943"/>
      <c r="K1355" s="944">
        <v>1</v>
      </c>
      <c r="L1355" s="898">
        <v>7</v>
      </c>
      <c r="M1355" s="899">
        <f t="shared" si="52"/>
        <v>8400</v>
      </c>
      <c r="N1355" s="898">
        <v>1</v>
      </c>
      <c r="O1355" s="898">
        <v>12</v>
      </c>
      <c r="P1355" s="899">
        <f t="shared" si="53"/>
        <v>14400</v>
      </c>
    </row>
    <row r="1356" spans="1:16" ht="24" x14ac:dyDescent="0.2">
      <c r="A1356" s="916" t="s">
        <v>5035</v>
      </c>
      <c r="B1356" s="943" t="s">
        <v>3092</v>
      </c>
      <c r="C1356" s="916" t="s">
        <v>5598</v>
      </c>
      <c r="D1356" s="943" t="s">
        <v>491</v>
      </c>
      <c r="E1356" s="1144">
        <v>1500</v>
      </c>
      <c r="F1356" s="943" t="s">
        <v>5792</v>
      </c>
      <c r="G1356" s="1245" t="s">
        <v>5793</v>
      </c>
      <c r="H1356" s="1245" t="s">
        <v>3112</v>
      </c>
      <c r="I1356" s="1147"/>
      <c r="J1356" s="943"/>
      <c r="K1356" s="944">
        <v>1</v>
      </c>
      <c r="L1356" s="898">
        <v>7</v>
      </c>
      <c r="M1356" s="899">
        <f t="shared" si="52"/>
        <v>10500</v>
      </c>
      <c r="N1356" s="898">
        <v>1</v>
      </c>
      <c r="O1356" s="898">
        <v>12</v>
      </c>
      <c r="P1356" s="899">
        <f t="shared" si="53"/>
        <v>18000</v>
      </c>
    </row>
    <row r="1357" spans="1:16" x14ac:dyDescent="0.2">
      <c r="A1357" s="916" t="s">
        <v>5035</v>
      </c>
      <c r="B1357" s="943" t="s">
        <v>3092</v>
      </c>
      <c r="C1357" s="916" t="s">
        <v>5598</v>
      </c>
      <c r="D1357" s="943" t="s">
        <v>5040</v>
      </c>
      <c r="E1357" s="1144">
        <v>1900</v>
      </c>
      <c r="F1357" s="943" t="s">
        <v>5794</v>
      </c>
      <c r="G1357" s="1245" t="s">
        <v>5795</v>
      </c>
      <c r="H1357" s="1245" t="s">
        <v>5796</v>
      </c>
      <c r="I1357" s="1147"/>
      <c r="J1357" s="943"/>
      <c r="K1357" s="944">
        <v>1</v>
      </c>
      <c r="L1357" s="898">
        <v>7</v>
      </c>
      <c r="M1357" s="899">
        <f t="shared" si="52"/>
        <v>13300</v>
      </c>
      <c r="N1357" s="898">
        <v>1</v>
      </c>
      <c r="O1357" s="898">
        <v>12</v>
      </c>
      <c r="P1357" s="899">
        <f t="shared" si="53"/>
        <v>22800</v>
      </c>
    </row>
    <row r="1358" spans="1:16" ht="24" x14ac:dyDescent="0.2">
      <c r="A1358" s="916" t="s">
        <v>5035</v>
      </c>
      <c r="B1358" s="943" t="s">
        <v>3092</v>
      </c>
      <c r="C1358" s="916" t="s">
        <v>5598</v>
      </c>
      <c r="D1358" s="943" t="s">
        <v>491</v>
      </c>
      <c r="E1358" s="1144">
        <v>1900</v>
      </c>
      <c r="F1358" s="943" t="s">
        <v>5797</v>
      </c>
      <c r="G1358" s="1245" t="s">
        <v>5798</v>
      </c>
      <c r="H1358" s="1245" t="s">
        <v>3112</v>
      </c>
      <c r="I1358" s="1147"/>
      <c r="J1358" s="943"/>
      <c r="K1358" s="944">
        <v>1</v>
      </c>
      <c r="L1358" s="898">
        <v>7</v>
      </c>
      <c r="M1358" s="899">
        <f t="shared" si="52"/>
        <v>13300</v>
      </c>
      <c r="N1358" s="898">
        <v>1</v>
      </c>
      <c r="O1358" s="898">
        <v>12</v>
      </c>
      <c r="P1358" s="899">
        <f t="shared" si="53"/>
        <v>22800</v>
      </c>
    </row>
    <row r="1359" spans="1:16" x14ac:dyDescent="0.2">
      <c r="A1359" s="916" t="s">
        <v>5035</v>
      </c>
      <c r="B1359" s="943" t="s">
        <v>3092</v>
      </c>
      <c r="C1359" s="916" t="s">
        <v>5598</v>
      </c>
      <c r="D1359" s="943" t="s">
        <v>5040</v>
      </c>
      <c r="E1359" s="1144">
        <v>2931</v>
      </c>
      <c r="F1359" s="943" t="s">
        <v>5799</v>
      </c>
      <c r="G1359" s="1245" t="s">
        <v>5800</v>
      </c>
      <c r="H1359" s="1245" t="s">
        <v>5106</v>
      </c>
      <c r="I1359" s="1147"/>
      <c r="J1359" s="943"/>
      <c r="K1359" s="944">
        <v>1</v>
      </c>
      <c r="L1359" s="898">
        <v>7</v>
      </c>
      <c r="M1359" s="899">
        <f t="shared" si="52"/>
        <v>20517</v>
      </c>
      <c r="N1359" s="898">
        <v>1</v>
      </c>
      <c r="O1359" s="898">
        <v>12</v>
      </c>
      <c r="P1359" s="899">
        <f t="shared" si="53"/>
        <v>35172</v>
      </c>
    </row>
    <row r="1360" spans="1:16" ht="24" x14ac:dyDescent="0.2">
      <c r="A1360" s="916" t="s">
        <v>5035</v>
      </c>
      <c r="B1360" s="943" t="s">
        <v>3092</v>
      </c>
      <c r="C1360" s="916" t="s">
        <v>5598</v>
      </c>
      <c r="D1360" s="943" t="s">
        <v>5040</v>
      </c>
      <c r="E1360" s="1144">
        <v>1923</v>
      </c>
      <c r="F1360" s="943" t="s">
        <v>5801</v>
      </c>
      <c r="G1360" s="1245" t="s">
        <v>5802</v>
      </c>
      <c r="H1360" s="1245" t="s">
        <v>5043</v>
      </c>
      <c r="I1360" s="1147"/>
      <c r="J1360" s="943"/>
      <c r="K1360" s="944">
        <v>1</v>
      </c>
      <c r="L1360" s="898">
        <v>7</v>
      </c>
      <c r="M1360" s="899">
        <f t="shared" si="52"/>
        <v>13461</v>
      </c>
      <c r="N1360" s="898">
        <v>1</v>
      </c>
      <c r="O1360" s="898">
        <v>12</v>
      </c>
      <c r="P1360" s="899">
        <f t="shared" si="53"/>
        <v>23076</v>
      </c>
    </row>
    <row r="1361" spans="1:16" ht="24" x14ac:dyDescent="0.2">
      <c r="A1361" s="916" t="s">
        <v>5035</v>
      </c>
      <c r="B1361" s="943" t="s">
        <v>3092</v>
      </c>
      <c r="C1361" s="916" t="s">
        <v>5598</v>
      </c>
      <c r="D1361" s="943" t="s">
        <v>491</v>
      </c>
      <c r="E1361" s="1144">
        <v>1400</v>
      </c>
      <c r="F1361" s="943" t="s">
        <v>5803</v>
      </c>
      <c r="G1361" s="1245" t="s">
        <v>5804</v>
      </c>
      <c r="H1361" s="1245" t="s">
        <v>3112</v>
      </c>
      <c r="I1361" s="1147"/>
      <c r="J1361" s="943"/>
      <c r="K1361" s="944">
        <v>1</v>
      </c>
      <c r="L1361" s="898">
        <v>7</v>
      </c>
      <c r="M1361" s="899">
        <f t="shared" si="52"/>
        <v>9800</v>
      </c>
      <c r="N1361" s="898">
        <v>1</v>
      </c>
      <c r="O1361" s="898">
        <v>12</v>
      </c>
      <c r="P1361" s="899">
        <f t="shared" si="53"/>
        <v>16800</v>
      </c>
    </row>
    <row r="1362" spans="1:16" x14ac:dyDescent="0.2">
      <c r="A1362" s="916" t="s">
        <v>5035</v>
      </c>
      <c r="B1362" s="943" t="s">
        <v>3092</v>
      </c>
      <c r="C1362" s="916" t="s">
        <v>5598</v>
      </c>
      <c r="D1362" s="943" t="s">
        <v>5040</v>
      </c>
      <c r="E1362" s="1144">
        <v>1200</v>
      </c>
      <c r="F1362" s="943" t="s">
        <v>5805</v>
      </c>
      <c r="G1362" s="1245" t="s">
        <v>5806</v>
      </c>
      <c r="H1362" s="1245" t="s">
        <v>3187</v>
      </c>
      <c r="I1362" s="1147"/>
      <c r="J1362" s="943"/>
      <c r="K1362" s="944">
        <v>1</v>
      </c>
      <c r="L1362" s="898">
        <v>7</v>
      </c>
      <c r="M1362" s="899">
        <f t="shared" si="52"/>
        <v>8400</v>
      </c>
      <c r="N1362" s="898">
        <v>1</v>
      </c>
      <c r="O1362" s="898">
        <v>12</v>
      </c>
      <c r="P1362" s="899">
        <f t="shared" si="53"/>
        <v>14400</v>
      </c>
    </row>
    <row r="1363" spans="1:16" ht="24" x14ac:dyDescent="0.2">
      <c r="A1363" s="916" t="s">
        <v>5035</v>
      </c>
      <c r="B1363" s="943" t="s">
        <v>3092</v>
      </c>
      <c r="C1363" s="916" t="s">
        <v>5598</v>
      </c>
      <c r="D1363" s="943" t="s">
        <v>491</v>
      </c>
      <c r="E1363" s="1144">
        <v>1500</v>
      </c>
      <c r="F1363" s="943" t="s">
        <v>5807</v>
      </c>
      <c r="G1363" s="1245" t="s">
        <v>5808</v>
      </c>
      <c r="H1363" s="1245" t="s">
        <v>3284</v>
      </c>
      <c r="I1363" s="1147"/>
      <c r="J1363" s="943"/>
      <c r="K1363" s="944">
        <v>1</v>
      </c>
      <c r="L1363" s="898">
        <v>7</v>
      </c>
      <c r="M1363" s="899">
        <f t="shared" si="52"/>
        <v>10500</v>
      </c>
      <c r="N1363" s="898">
        <v>1</v>
      </c>
      <c r="O1363" s="898">
        <v>12</v>
      </c>
      <c r="P1363" s="899">
        <f t="shared" si="53"/>
        <v>18000</v>
      </c>
    </row>
    <row r="1364" spans="1:16" x14ac:dyDescent="0.2">
      <c r="A1364" s="916" t="s">
        <v>5035</v>
      </c>
      <c r="B1364" s="943" t="s">
        <v>3092</v>
      </c>
      <c r="C1364" s="916" t="s">
        <v>5598</v>
      </c>
      <c r="D1364" s="943" t="s">
        <v>5040</v>
      </c>
      <c r="E1364" s="1144">
        <v>1923</v>
      </c>
      <c r="F1364" s="943" t="s">
        <v>5809</v>
      </c>
      <c r="G1364" s="1245" t="s">
        <v>5810</v>
      </c>
      <c r="H1364" s="1245" t="s">
        <v>581</v>
      </c>
      <c r="I1364" s="1147"/>
      <c r="J1364" s="943"/>
      <c r="K1364" s="944">
        <v>1</v>
      </c>
      <c r="L1364" s="898">
        <v>7</v>
      </c>
      <c r="M1364" s="899">
        <f t="shared" si="52"/>
        <v>13461</v>
      </c>
      <c r="N1364" s="898">
        <v>1</v>
      </c>
      <c r="O1364" s="898">
        <v>12</v>
      </c>
      <c r="P1364" s="899">
        <f t="shared" si="53"/>
        <v>23076</v>
      </c>
    </row>
    <row r="1365" spans="1:16" x14ac:dyDescent="0.2">
      <c r="A1365" s="916" t="s">
        <v>5035</v>
      </c>
      <c r="B1365" s="943" t="s">
        <v>3092</v>
      </c>
      <c r="C1365" s="916" t="s">
        <v>5598</v>
      </c>
      <c r="D1365" s="943" t="s">
        <v>491</v>
      </c>
      <c r="E1365" s="1144">
        <v>2200</v>
      </c>
      <c r="F1365" s="943" t="s">
        <v>5811</v>
      </c>
      <c r="G1365" s="1245" t="s">
        <v>5812</v>
      </c>
      <c r="H1365" s="1245" t="s">
        <v>3129</v>
      </c>
      <c r="I1365" s="1147"/>
      <c r="J1365" s="943"/>
      <c r="K1365" s="944">
        <v>1</v>
      </c>
      <c r="L1365" s="898">
        <v>7</v>
      </c>
      <c r="M1365" s="899">
        <f t="shared" si="52"/>
        <v>15400</v>
      </c>
      <c r="N1365" s="898">
        <v>1</v>
      </c>
      <c r="O1365" s="898">
        <v>12</v>
      </c>
      <c r="P1365" s="899">
        <f t="shared" si="53"/>
        <v>26400</v>
      </c>
    </row>
    <row r="1366" spans="1:16" x14ac:dyDescent="0.2">
      <c r="A1366" s="916" t="s">
        <v>5035</v>
      </c>
      <c r="B1366" s="943" t="s">
        <v>3092</v>
      </c>
      <c r="C1366" s="916" t="s">
        <v>5598</v>
      </c>
      <c r="D1366" s="943" t="s">
        <v>5040</v>
      </c>
      <c r="E1366" s="1144">
        <v>1200</v>
      </c>
      <c r="F1366" s="943" t="s">
        <v>5813</v>
      </c>
      <c r="G1366" s="1245" t="s">
        <v>5814</v>
      </c>
      <c r="H1366" s="1245" t="s">
        <v>3187</v>
      </c>
      <c r="I1366" s="1147"/>
      <c r="J1366" s="943"/>
      <c r="K1366" s="944">
        <v>1</v>
      </c>
      <c r="L1366" s="898">
        <v>7</v>
      </c>
      <c r="M1366" s="899">
        <f t="shared" si="52"/>
        <v>8400</v>
      </c>
      <c r="N1366" s="898">
        <v>1</v>
      </c>
      <c r="O1366" s="898">
        <v>12</v>
      </c>
      <c r="P1366" s="899">
        <f t="shared" si="53"/>
        <v>14400</v>
      </c>
    </row>
    <row r="1367" spans="1:16" x14ac:dyDescent="0.2">
      <c r="A1367" s="916" t="s">
        <v>5035</v>
      </c>
      <c r="B1367" s="943" t="s">
        <v>3092</v>
      </c>
      <c r="C1367" s="916" t="s">
        <v>5598</v>
      </c>
      <c r="D1367" s="943" t="s">
        <v>5040</v>
      </c>
      <c r="E1367" s="1144">
        <v>2931</v>
      </c>
      <c r="F1367" s="943" t="s">
        <v>5815</v>
      </c>
      <c r="G1367" s="1245" t="s">
        <v>5816</v>
      </c>
      <c r="H1367" s="1245" t="s">
        <v>5106</v>
      </c>
      <c r="I1367" s="1147"/>
      <c r="J1367" s="943"/>
      <c r="K1367" s="944">
        <v>1</v>
      </c>
      <c r="L1367" s="898">
        <v>7</v>
      </c>
      <c r="M1367" s="899">
        <f t="shared" si="52"/>
        <v>20517</v>
      </c>
      <c r="N1367" s="898">
        <v>1</v>
      </c>
      <c r="O1367" s="898">
        <v>12</v>
      </c>
      <c r="P1367" s="899">
        <f t="shared" si="53"/>
        <v>35172</v>
      </c>
    </row>
    <row r="1368" spans="1:16" ht="24" x14ac:dyDescent="0.2">
      <c r="A1368" s="916" t="s">
        <v>5035</v>
      </c>
      <c r="B1368" s="943" t="s">
        <v>3092</v>
      </c>
      <c r="C1368" s="916" t="s">
        <v>5598</v>
      </c>
      <c r="D1368" s="943" t="s">
        <v>5040</v>
      </c>
      <c r="E1368" s="1144">
        <v>1923</v>
      </c>
      <c r="F1368" s="943" t="s">
        <v>5817</v>
      </c>
      <c r="G1368" s="1245" t="s">
        <v>5818</v>
      </c>
      <c r="H1368" s="1245" t="s">
        <v>580</v>
      </c>
      <c r="I1368" s="1147"/>
      <c r="J1368" s="943"/>
      <c r="K1368" s="944">
        <v>1</v>
      </c>
      <c r="L1368" s="898">
        <v>7</v>
      </c>
      <c r="M1368" s="899">
        <f t="shared" si="52"/>
        <v>13461</v>
      </c>
      <c r="N1368" s="898">
        <v>1</v>
      </c>
      <c r="O1368" s="898">
        <v>12</v>
      </c>
      <c r="P1368" s="899">
        <f t="shared" si="53"/>
        <v>23076</v>
      </c>
    </row>
    <row r="1369" spans="1:16" ht="24" x14ac:dyDescent="0.2">
      <c r="A1369" s="916" t="s">
        <v>5035</v>
      </c>
      <c r="B1369" s="943" t="s">
        <v>3092</v>
      </c>
      <c r="C1369" s="916" t="s">
        <v>5598</v>
      </c>
      <c r="D1369" s="943" t="s">
        <v>5040</v>
      </c>
      <c r="E1369" s="1144">
        <v>3000</v>
      </c>
      <c r="F1369" s="943" t="s">
        <v>5819</v>
      </c>
      <c r="G1369" s="1245" t="s">
        <v>5820</v>
      </c>
      <c r="H1369" s="1245" t="s">
        <v>5043</v>
      </c>
      <c r="I1369" s="1147"/>
      <c r="J1369" s="943"/>
      <c r="K1369" s="944">
        <v>1</v>
      </c>
      <c r="L1369" s="898">
        <v>7</v>
      </c>
      <c r="M1369" s="899">
        <f t="shared" si="52"/>
        <v>21000</v>
      </c>
      <c r="N1369" s="898">
        <v>1</v>
      </c>
      <c r="O1369" s="898">
        <v>12</v>
      </c>
      <c r="P1369" s="899">
        <f t="shared" si="53"/>
        <v>36000</v>
      </c>
    </row>
    <row r="1370" spans="1:16" x14ac:dyDescent="0.2">
      <c r="A1370" s="916" t="s">
        <v>5035</v>
      </c>
      <c r="B1370" s="943" t="s">
        <v>3092</v>
      </c>
      <c r="C1370" s="916" t="s">
        <v>5598</v>
      </c>
      <c r="D1370" s="943" t="s">
        <v>5040</v>
      </c>
      <c r="E1370" s="1144">
        <v>5206.6000000000004</v>
      </c>
      <c r="F1370" s="943" t="s">
        <v>5821</v>
      </c>
      <c r="G1370" s="1245" t="s">
        <v>5822</v>
      </c>
      <c r="H1370" s="1245" t="s">
        <v>5077</v>
      </c>
      <c r="I1370" s="1147"/>
      <c r="J1370" s="943"/>
      <c r="K1370" s="944">
        <v>1</v>
      </c>
      <c r="L1370" s="898">
        <v>7</v>
      </c>
      <c r="M1370" s="899">
        <f t="shared" si="52"/>
        <v>36446.200000000004</v>
      </c>
      <c r="N1370" s="898">
        <v>1</v>
      </c>
      <c r="O1370" s="898">
        <v>12</v>
      </c>
      <c r="P1370" s="899">
        <f t="shared" si="53"/>
        <v>62479.200000000004</v>
      </c>
    </row>
    <row r="1371" spans="1:16" x14ac:dyDescent="0.2">
      <c r="A1371" s="916" t="s">
        <v>5035</v>
      </c>
      <c r="B1371" s="943" t="s">
        <v>3092</v>
      </c>
      <c r="C1371" s="916" t="s">
        <v>5598</v>
      </c>
      <c r="D1371" s="943" t="s">
        <v>5040</v>
      </c>
      <c r="E1371" s="1144">
        <v>5206</v>
      </c>
      <c r="F1371" s="943" t="s">
        <v>5823</v>
      </c>
      <c r="G1371" s="1245" t="s">
        <v>5824</v>
      </c>
      <c r="H1371" s="1245" t="s">
        <v>5077</v>
      </c>
      <c r="I1371" s="1147"/>
      <c r="J1371" s="943"/>
      <c r="K1371" s="944">
        <v>1</v>
      </c>
      <c r="L1371" s="898">
        <v>7</v>
      </c>
      <c r="M1371" s="899">
        <f t="shared" si="52"/>
        <v>36442</v>
      </c>
      <c r="N1371" s="898">
        <v>1</v>
      </c>
      <c r="O1371" s="898">
        <v>12</v>
      </c>
      <c r="P1371" s="899">
        <f t="shared" si="53"/>
        <v>62472</v>
      </c>
    </row>
    <row r="1372" spans="1:16" x14ac:dyDescent="0.2">
      <c r="A1372" s="916" t="s">
        <v>5035</v>
      </c>
      <c r="B1372" s="943" t="s">
        <v>3092</v>
      </c>
      <c r="C1372" s="916" t="s">
        <v>5598</v>
      </c>
      <c r="D1372" s="943" t="s">
        <v>5040</v>
      </c>
      <c r="E1372" s="1144">
        <v>839.77</v>
      </c>
      <c r="F1372" s="943" t="s">
        <v>5825</v>
      </c>
      <c r="G1372" s="1245" t="s">
        <v>5826</v>
      </c>
      <c r="H1372" s="1245" t="s">
        <v>5077</v>
      </c>
      <c r="I1372" s="1147"/>
      <c r="J1372" s="943"/>
      <c r="K1372" s="944">
        <v>1</v>
      </c>
      <c r="L1372" s="898">
        <v>7</v>
      </c>
      <c r="M1372" s="899">
        <f t="shared" si="52"/>
        <v>5878.3899999999994</v>
      </c>
      <c r="N1372" s="898">
        <v>1</v>
      </c>
      <c r="O1372" s="898">
        <v>12</v>
      </c>
      <c r="P1372" s="899">
        <f t="shared" si="53"/>
        <v>10077.24</v>
      </c>
    </row>
    <row r="1373" spans="1:16" x14ac:dyDescent="0.2">
      <c r="A1373" s="916" t="s">
        <v>5035</v>
      </c>
      <c r="B1373" s="943" t="s">
        <v>3092</v>
      </c>
      <c r="C1373" s="916" t="s">
        <v>5598</v>
      </c>
      <c r="D1373" s="943" t="s">
        <v>5040</v>
      </c>
      <c r="E1373" s="1144">
        <v>1200</v>
      </c>
      <c r="F1373" s="943" t="s">
        <v>5827</v>
      </c>
      <c r="G1373" s="1245" t="s">
        <v>5828</v>
      </c>
      <c r="H1373" s="1245" t="s">
        <v>5630</v>
      </c>
      <c r="I1373" s="1147"/>
      <c r="J1373" s="943"/>
      <c r="K1373" s="944">
        <v>1</v>
      </c>
      <c r="L1373" s="898">
        <v>7</v>
      </c>
      <c r="M1373" s="899">
        <f t="shared" si="52"/>
        <v>8400</v>
      </c>
      <c r="N1373" s="898">
        <v>1</v>
      </c>
      <c r="O1373" s="898">
        <v>12</v>
      </c>
      <c r="P1373" s="899">
        <f t="shared" si="53"/>
        <v>14400</v>
      </c>
    </row>
    <row r="1374" spans="1:16" x14ac:dyDescent="0.2">
      <c r="A1374" s="916" t="s">
        <v>5035</v>
      </c>
      <c r="B1374" s="943" t="s">
        <v>3092</v>
      </c>
      <c r="C1374" s="916" t="s">
        <v>5598</v>
      </c>
      <c r="D1374" s="943" t="s">
        <v>5040</v>
      </c>
      <c r="E1374" s="1144">
        <v>3000</v>
      </c>
      <c r="F1374" s="943" t="s">
        <v>5829</v>
      </c>
      <c r="G1374" s="1245" t="s">
        <v>5830</v>
      </c>
      <c r="H1374" s="1245" t="s">
        <v>5106</v>
      </c>
      <c r="I1374" s="1147"/>
      <c r="J1374" s="943"/>
      <c r="K1374" s="944">
        <v>1</v>
      </c>
      <c r="L1374" s="898">
        <v>7</v>
      </c>
      <c r="M1374" s="899">
        <f t="shared" si="52"/>
        <v>21000</v>
      </c>
      <c r="N1374" s="898">
        <v>1</v>
      </c>
      <c r="O1374" s="898">
        <v>12</v>
      </c>
      <c r="P1374" s="899">
        <f t="shared" si="53"/>
        <v>36000</v>
      </c>
    </row>
    <row r="1375" spans="1:16" x14ac:dyDescent="0.2">
      <c r="A1375" s="916" t="s">
        <v>5035</v>
      </c>
      <c r="B1375" s="943" t="s">
        <v>3092</v>
      </c>
      <c r="C1375" s="916" t="s">
        <v>5598</v>
      </c>
      <c r="D1375" s="943" t="s">
        <v>5040</v>
      </c>
      <c r="E1375" s="1144">
        <v>1200</v>
      </c>
      <c r="F1375" s="943" t="s">
        <v>5831</v>
      </c>
      <c r="G1375" s="1245" t="s">
        <v>5832</v>
      </c>
      <c r="H1375" s="1245" t="s">
        <v>3187</v>
      </c>
      <c r="I1375" s="1147"/>
      <c r="J1375" s="943"/>
      <c r="K1375" s="944">
        <v>1</v>
      </c>
      <c r="L1375" s="898">
        <v>7</v>
      </c>
      <c r="M1375" s="899">
        <f t="shared" si="52"/>
        <v>8400</v>
      </c>
      <c r="N1375" s="898">
        <v>1</v>
      </c>
      <c r="O1375" s="898">
        <v>12</v>
      </c>
      <c r="P1375" s="899">
        <f t="shared" si="53"/>
        <v>14400</v>
      </c>
    </row>
    <row r="1376" spans="1:16" x14ac:dyDescent="0.2">
      <c r="A1376" s="916" t="s">
        <v>5035</v>
      </c>
      <c r="B1376" s="943" t="s">
        <v>3092</v>
      </c>
      <c r="C1376" s="916" t="s">
        <v>5598</v>
      </c>
      <c r="D1376" s="943" t="s">
        <v>5040</v>
      </c>
      <c r="E1376" s="1144">
        <v>2931</v>
      </c>
      <c r="F1376" s="943" t="s">
        <v>5833</v>
      </c>
      <c r="G1376" s="1245" t="s">
        <v>5834</v>
      </c>
      <c r="H1376" s="1245" t="s">
        <v>5106</v>
      </c>
      <c r="I1376" s="1147"/>
      <c r="J1376" s="943"/>
      <c r="K1376" s="944">
        <v>1</v>
      </c>
      <c r="L1376" s="898">
        <v>7</v>
      </c>
      <c r="M1376" s="899">
        <f t="shared" si="52"/>
        <v>20517</v>
      </c>
      <c r="N1376" s="898">
        <v>1</v>
      </c>
      <c r="O1376" s="898">
        <v>12</v>
      </c>
      <c r="P1376" s="899">
        <f t="shared" si="53"/>
        <v>35172</v>
      </c>
    </row>
    <row r="1377" spans="1:16" ht="24" x14ac:dyDescent="0.2">
      <c r="A1377" s="916" t="s">
        <v>5035</v>
      </c>
      <c r="B1377" s="943" t="s">
        <v>3092</v>
      </c>
      <c r="C1377" s="916" t="s">
        <v>5598</v>
      </c>
      <c r="D1377" s="943" t="s">
        <v>491</v>
      </c>
      <c r="E1377" s="1144">
        <v>1470</v>
      </c>
      <c r="F1377" s="943" t="s">
        <v>5835</v>
      </c>
      <c r="G1377" s="1245" t="s">
        <v>5836</v>
      </c>
      <c r="H1377" s="1245" t="s">
        <v>3112</v>
      </c>
      <c r="I1377" s="1147"/>
      <c r="J1377" s="943"/>
      <c r="K1377" s="944">
        <v>1</v>
      </c>
      <c r="L1377" s="898">
        <v>7</v>
      </c>
      <c r="M1377" s="899">
        <f t="shared" si="52"/>
        <v>10290</v>
      </c>
      <c r="N1377" s="898">
        <v>1</v>
      </c>
      <c r="O1377" s="898">
        <v>12</v>
      </c>
      <c r="P1377" s="899">
        <f t="shared" si="53"/>
        <v>17640</v>
      </c>
    </row>
    <row r="1378" spans="1:16" ht="24" x14ac:dyDescent="0.2">
      <c r="A1378" s="916" t="s">
        <v>5035</v>
      </c>
      <c r="B1378" s="943" t="s">
        <v>3092</v>
      </c>
      <c r="C1378" s="916" t="s">
        <v>5598</v>
      </c>
      <c r="D1378" s="943" t="s">
        <v>491</v>
      </c>
      <c r="E1378" s="1144">
        <v>1200</v>
      </c>
      <c r="F1378" s="943" t="s">
        <v>5837</v>
      </c>
      <c r="G1378" s="1245" t="s">
        <v>5838</v>
      </c>
      <c r="H1378" s="1245" t="s">
        <v>3112</v>
      </c>
      <c r="I1378" s="1147"/>
      <c r="J1378" s="943"/>
      <c r="K1378" s="944">
        <v>1</v>
      </c>
      <c r="L1378" s="898">
        <v>7</v>
      </c>
      <c r="M1378" s="899">
        <f t="shared" si="52"/>
        <v>8400</v>
      </c>
      <c r="N1378" s="898">
        <v>1</v>
      </c>
      <c r="O1378" s="898">
        <v>12</v>
      </c>
      <c r="P1378" s="899">
        <f t="shared" si="53"/>
        <v>14400</v>
      </c>
    </row>
    <row r="1379" spans="1:16" ht="24" x14ac:dyDescent="0.2">
      <c r="A1379" s="916" t="s">
        <v>5035</v>
      </c>
      <c r="B1379" s="943" t="s">
        <v>3092</v>
      </c>
      <c r="C1379" s="916" t="s">
        <v>5598</v>
      </c>
      <c r="D1379" s="943" t="s">
        <v>5040</v>
      </c>
      <c r="E1379" s="1144">
        <v>1923</v>
      </c>
      <c r="F1379" s="943" t="s">
        <v>5839</v>
      </c>
      <c r="G1379" s="1245" t="s">
        <v>5840</v>
      </c>
      <c r="H1379" s="1245" t="s">
        <v>580</v>
      </c>
      <c r="I1379" s="1147"/>
      <c r="J1379" s="943"/>
      <c r="K1379" s="944">
        <v>1</v>
      </c>
      <c r="L1379" s="898">
        <v>7</v>
      </c>
      <c r="M1379" s="899">
        <f t="shared" si="52"/>
        <v>13461</v>
      </c>
      <c r="N1379" s="898">
        <v>1</v>
      </c>
      <c r="O1379" s="898">
        <v>12</v>
      </c>
      <c r="P1379" s="899">
        <f t="shared" si="53"/>
        <v>23076</v>
      </c>
    </row>
    <row r="1380" spans="1:16" x14ac:dyDescent="0.2">
      <c r="A1380" s="916" t="s">
        <v>5035</v>
      </c>
      <c r="B1380" s="943" t="s">
        <v>3092</v>
      </c>
      <c r="C1380" s="916" t="s">
        <v>5598</v>
      </c>
      <c r="D1380" s="943" t="s">
        <v>5040</v>
      </c>
      <c r="E1380" s="1144">
        <v>1500</v>
      </c>
      <c r="F1380" s="943" t="s">
        <v>5841</v>
      </c>
      <c r="G1380" s="1245" t="s">
        <v>5842</v>
      </c>
      <c r="H1380" s="1245" t="s">
        <v>5084</v>
      </c>
      <c r="I1380" s="1147"/>
      <c r="J1380" s="943"/>
      <c r="K1380" s="944">
        <v>1</v>
      </c>
      <c r="L1380" s="898">
        <v>7</v>
      </c>
      <c r="M1380" s="899">
        <f t="shared" ref="M1380:M1443" si="54">+L1380*E1380</f>
        <v>10500</v>
      </c>
      <c r="N1380" s="898">
        <v>1</v>
      </c>
      <c r="O1380" s="898">
        <v>12</v>
      </c>
      <c r="P1380" s="899">
        <f t="shared" ref="P1380:P1443" si="55">+O1380*E1380</f>
        <v>18000</v>
      </c>
    </row>
    <row r="1381" spans="1:16" x14ac:dyDescent="0.2">
      <c r="A1381" s="916" t="s">
        <v>5035</v>
      </c>
      <c r="B1381" s="943" t="s">
        <v>3092</v>
      </c>
      <c r="C1381" s="916" t="s">
        <v>5598</v>
      </c>
      <c r="D1381" s="943" t="s">
        <v>5040</v>
      </c>
      <c r="E1381" s="1144">
        <v>3000</v>
      </c>
      <c r="F1381" s="943" t="s">
        <v>5843</v>
      </c>
      <c r="G1381" s="1245" t="s">
        <v>5844</v>
      </c>
      <c r="H1381" s="1245" t="s">
        <v>5106</v>
      </c>
      <c r="I1381" s="1147"/>
      <c r="J1381" s="943"/>
      <c r="K1381" s="944">
        <v>1</v>
      </c>
      <c r="L1381" s="898">
        <v>7</v>
      </c>
      <c r="M1381" s="899">
        <f t="shared" si="54"/>
        <v>21000</v>
      </c>
      <c r="N1381" s="898">
        <v>1</v>
      </c>
      <c r="O1381" s="898">
        <v>12</v>
      </c>
      <c r="P1381" s="899">
        <f t="shared" si="55"/>
        <v>36000</v>
      </c>
    </row>
    <row r="1382" spans="1:16" ht="24" x14ac:dyDescent="0.2">
      <c r="A1382" s="916" t="s">
        <v>5035</v>
      </c>
      <c r="B1382" s="943" t="s">
        <v>3092</v>
      </c>
      <c r="C1382" s="916" t="s">
        <v>5598</v>
      </c>
      <c r="D1382" s="943" t="s">
        <v>5040</v>
      </c>
      <c r="E1382" s="1144">
        <v>1200</v>
      </c>
      <c r="F1382" s="943" t="s">
        <v>5845</v>
      </c>
      <c r="G1382" s="1245" t="s">
        <v>5846</v>
      </c>
      <c r="H1382" s="1245" t="s">
        <v>5095</v>
      </c>
      <c r="I1382" s="1147"/>
      <c r="J1382" s="943"/>
      <c r="K1382" s="944">
        <v>1</v>
      </c>
      <c r="L1382" s="898">
        <v>7</v>
      </c>
      <c r="M1382" s="899">
        <f t="shared" si="54"/>
        <v>8400</v>
      </c>
      <c r="N1382" s="898">
        <v>1</v>
      </c>
      <c r="O1382" s="898">
        <v>12</v>
      </c>
      <c r="P1382" s="899">
        <f t="shared" si="55"/>
        <v>14400</v>
      </c>
    </row>
    <row r="1383" spans="1:16" ht="24" x14ac:dyDescent="0.2">
      <c r="A1383" s="916" t="s">
        <v>5035</v>
      </c>
      <c r="B1383" s="943" t="s">
        <v>3092</v>
      </c>
      <c r="C1383" s="916" t="s">
        <v>5598</v>
      </c>
      <c r="D1383" s="943" t="s">
        <v>5040</v>
      </c>
      <c r="E1383" s="1144">
        <v>1923</v>
      </c>
      <c r="F1383" s="943" t="s">
        <v>5847</v>
      </c>
      <c r="G1383" s="1245" t="s">
        <v>5848</v>
      </c>
      <c r="H1383" s="1245" t="s">
        <v>580</v>
      </c>
      <c r="I1383" s="1147"/>
      <c r="J1383" s="943"/>
      <c r="K1383" s="944">
        <v>1</v>
      </c>
      <c r="L1383" s="898">
        <v>7</v>
      </c>
      <c r="M1383" s="899">
        <f t="shared" si="54"/>
        <v>13461</v>
      </c>
      <c r="N1383" s="898">
        <v>1</v>
      </c>
      <c r="O1383" s="898">
        <v>12</v>
      </c>
      <c r="P1383" s="899">
        <f t="shared" si="55"/>
        <v>23076</v>
      </c>
    </row>
    <row r="1384" spans="1:16" x14ac:dyDescent="0.2">
      <c r="A1384" s="916" t="s">
        <v>5035</v>
      </c>
      <c r="B1384" s="943" t="s">
        <v>3092</v>
      </c>
      <c r="C1384" s="916" t="s">
        <v>5598</v>
      </c>
      <c r="D1384" s="943" t="s">
        <v>5040</v>
      </c>
      <c r="E1384" s="1144">
        <v>1923</v>
      </c>
      <c r="F1384" s="943" t="s">
        <v>5849</v>
      </c>
      <c r="G1384" s="1245" t="s">
        <v>5850</v>
      </c>
      <c r="H1384" s="1245" t="s">
        <v>581</v>
      </c>
      <c r="I1384" s="1147"/>
      <c r="J1384" s="943"/>
      <c r="K1384" s="944">
        <v>1</v>
      </c>
      <c r="L1384" s="898">
        <v>7</v>
      </c>
      <c r="M1384" s="899">
        <f t="shared" si="54"/>
        <v>13461</v>
      </c>
      <c r="N1384" s="898">
        <v>1</v>
      </c>
      <c r="O1384" s="898">
        <v>12</v>
      </c>
      <c r="P1384" s="899">
        <f t="shared" si="55"/>
        <v>23076</v>
      </c>
    </row>
    <row r="1385" spans="1:16" ht="24" x14ac:dyDescent="0.2">
      <c r="A1385" s="916" t="s">
        <v>5035</v>
      </c>
      <c r="B1385" s="943" t="s">
        <v>3092</v>
      </c>
      <c r="C1385" s="916" t="s">
        <v>5598</v>
      </c>
      <c r="D1385" s="943" t="s">
        <v>5040</v>
      </c>
      <c r="E1385" s="1144">
        <v>1200</v>
      </c>
      <c r="F1385" s="943" t="s">
        <v>5851</v>
      </c>
      <c r="G1385" s="1245" t="s">
        <v>5852</v>
      </c>
      <c r="H1385" s="1245" t="s">
        <v>5058</v>
      </c>
      <c r="I1385" s="1147"/>
      <c r="J1385" s="943"/>
      <c r="K1385" s="944">
        <v>1</v>
      </c>
      <c r="L1385" s="898">
        <v>7</v>
      </c>
      <c r="M1385" s="899">
        <f t="shared" si="54"/>
        <v>8400</v>
      </c>
      <c r="N1385" s="898">
        <v>1</v>
      </c>
      <c r="O1385" s="898">
        <v>12</v>
      </c>
      <c r="P1385" s="899">
        <f t="shared" si="55"/>
        <v>14400</v>
      </c>
    </row>
    <row r="1386" spans="1:16" x14ac:dyDescent="0.2">
      <c r="A1386" s="916" t="s">
        <v>5035</v>
      </c>
      <c r="B1386" s="943" t="s">
        <v>3092</v>
      </c>
      <c r="C1386" s="916" t="s">
        <v>5598</v>
      </c>
      <c r="D1386" s="943" t="s">
        <v>5040</v>
      </c>
      <c r="E1386" s="1144">
        <v>1500</v>
      </c>
      <c r="F1386" s="943" t="s">
        <v>5853</v>
      </c>
      <c r="G1386" s="1245" t="s">
        <v>5854</v>
      </c>
      <c r="H1386" s="1245" t="s">
        <v>5084</v>
      </c>
      <c r="I1386" s="1147"/>
      <c r="J1386" s="943"/>
      <c r="K1386" s="944">
        <v>1</v>
      </c>
      <c r="L1386" s="898">
        <v>7</v>
      </c>
      <c r="M1386" s="899">
        <f t="shared" si="54"/>
        <v>10500</v>
      </c>
      <c r="N1386" s="898">
        <v>1</v>
      </c>
      <c r="O1386" s="898">
        <v>12</v>
      </c>
      <c r="P1386" s="899">
        <f t="shared" si="55"/>
        <v>18000</v>
      </c>
    </row>
    <row r="1387" spans="1:16" ht="24" x14ac:dyDescent="0.2">
      <c r="A1387" s="916" t="s">
        <v>5035</v>
      </c>
      <c r="B1387" s="943" t="s">
        <v>3092</v>
      </c>
      <c r="C1387" s="916" t="s">
        <v>5598</v>
      </c>
      <c r="D1387" s="943" t="s">
        <v>5040</v>
      </c>
      <c r="E1387" s="1144">
        <v>1923</v>
      </c>
      <c r="F1387" s="943" t="s">
        <v>5855</v>
      </c>
      <c r="G1387" s="1245" t="s">
        <v>5856</v>
      </c>
      <c r="H1387" s="1245" t="s">
        <v>5043</v>
      </c>
      <c r="I1387" s="1147"/>
      <c r="J1387" s="943"/>
      <c r="K1387" s="944">
        <v>1</v>
      </c>
      <c r="L1387" s="898">
        <v>7</v>
      </c>
      <c r="M1387" s="899">
        <f t="shared" si="54"/>
        <v>13461</v>
      </c>
      <c r="N1387" s="898">
        <v>1</v>
      </c>
      <c r="O1387" s="898">
        <v>12</v>
      </c>
      <c r="P1387" s="899">
        <f t="shared" si="55"/>
        <v>23076</v>
      </c>
    </row>
    <row r="1388" spans="1:16" x14ac:dyDescent="0.2">
      <c r="A1388" s="916" t="s">
        <v>5035</v>
      </c>
      <c r="B1388" s="943" t="s">
        <v>3092</v>
      </c>
      <c r="C1388" s="916" t="s">
        <v>5598</v>
      </c>
      <c r="D1388" s="943" t="s">
        <v>5040</v>
      </c>
      <c r="E1388" s="1144">
        <v>1200</v>
      </c>
      <c r="F1388" s="943" t="s">
        <v>5857</v>
      </c>
      <c r="G1388" s="1245" t="s">
        <v>5858</v>
      </c>
      <c r="H1388" s="1245" t="s">
        <v>3187</v>
      </c>
      <c r="I1388" s="1147"/>
      <c r="J1388" s="943"/>
      <c r="K1388" s="944">
        <v>1</v>
      </c>
      <c r="L1388" s="898">
        <v>7</v>
      </c>
      <c r="M1388" s="899">
        <f t="shared" si="54"/>
        <v>8400</v>
      </c>
      <c r="N1388" s="898">
        <v>1</v>
      </c>
      <c r="O1388" s="898">
        <v>12</v>
      </c>
      <c r="P1388" s="899">
        <f t="shared" si="55"/>
        <v>14400</v>
      </c>
    </row>
    <row r="1389" spans="1:16" ht="24" x14ac:dyDescent="0.2">
      <c r="A1389" s="916" t="s">
        <v>5035</v>
      </c>
      <c r="B1389" s="943" t="s">
        <v>3092</v>
      </c>
      <c r="C1389" s="916" t="s">
        <v>5598</v>
      </c>
      <c r="D1389" s="943" t="s">
        <v>5040</v>
      </c>
      <c r="E1389" s="1144">
        <v>1923</v>
      </c>
      <c r="F1389" s="943" t="s">
        <v>5859</v>
      </c>
      <c r="G1389" s="1245" t="s">
        <v>5860</v>
      </c>
      <c r="H1389" s="1245" t="s">
        <v>5043</v>
      </c>
      <c r="I1389" s="1147"/>
      <c r="J1389" s="943"/>
      <c r="K1389" s="944">
        <v>1</v>
      </c>
      <c r="L1389" s="898">
        <v>7</v>
      </c>
      <c r="M1389" s="899">
        <f t="shared" si="54"/>
        <v>13461</v>
      </c>
      <c r="N1389" s="898">
        <v>1</v>
      </c>
      <c r="O1389" s="898">
        <v>12</v>
      </c>
      <c r="P1389" s="899">
        <f t="shared" si="55"/>
        <v>23076</v>
      </c>
    </row>
    <row r="1390" spans="1:16" ht="24" x14ac:dyDescent="0.2">
      <c r="A1390" s="916" t="s">
        <v>5035</v>
      </c>
      <c r="B1390" s="943" t="s">
        <v>3092</v>
      </c>
      <c r="C1390" s="916" t="s">
        <v>5598</v>
      </c>
      <c r="D1390" s="943" t="s">
        <v>5040</v>
      </c>
      <c r="E1390" s="1144">
        <v>3000</v>
      </c>
      <c r="F1390" s="943" t="s">
        <v>5861</v>
      </c>
      <c r="G1390" s="1245" t="s">
        <v>5862</v>
      </c>
      <c r="H1390" s="1245" t="s">
        <v>580</v>
      </c>
      <c r="I1390" s="1147"/>
      <c r="J1390" s="943"/>
      <c r="K1390" s="944">
        <v>1</v>
      </c>
      <c r="L1390" s="898">
        <v>7</v>
      </c>
      <c r="M1390" s="899">
        <f t="shared" si="54"/>
        <v>21000</v>
      </c>
      <c r="N1390" s="898">
        <v>1</v>
      </c>
      <c r="O1390" s="898">
        <v>12</v>
      </c>
      <c r="P1390" s="899">
        <f t="shared" si="55"/>
        <v>36000</v>
      </c>
    </row>
    <row r="1391" spans="1:16" x14ac:dyDescent="0.2">
      <c r="A1391" s="916" t="s">
        <v>5035</v>
      </c>
      <c r="B1391" s="943" t="s">
        <v>3092</v>
      </c>
      <c r="C1391" s="916" t="s">
        <v>5598</v>
      </c>
      <c r="D1391" s="943" t="s">
        <v>5040</v>
      </c>
      <c r="E1391" s="1144">
        <v>1200</v>
      </c>
      <c r="F1391" s="943" t="s">
        <v>5863</v>
      </c>
      <c r="G1391" s="1245" t="s">
        <v>5864</v>
      </c>
      <c r="H1391" s="1245" t="s">
        <v>5796</v>
      </c>
      <c r="I1391" s="1147"/>
      <c r="J1391" s="943"/>
      <c r="K1391" s="944">
        <v>1</v>
      </c>
      <c r="L1391" s="898">
        <v>7</v>
      </c>
      <c r="M1391" s="899">
        <f t="shared" si="54"/>
        <v>8400</v>
      </c>
      <c r="N1391" s="898">
        <v>1</v>
      </c>
      <c r="O1391" s="898">
        <v>12</v>
      </c>
      <c r="P1391" s="899">
        <f t="shared" si="55"/>
        <v>14400</v>
      </c>
    </row>
    <row r="1392" spans="1:16" ht="24" x14ac:dyDescent="0.2">
      <c r="A1392" s="916" t="s">
        <v>5035</v>
      </c>
      <c r="B1392" s="943" t="s">
        <v>3092</v>
      </c>
      <c r="C1392" s="916" t="s">
        <v>5598</v>
      </c>
      <c r="D1392" s="943" t="s">
        <v>491</v>
      </c>
      <c r="E1392" s="1144">
        <v>1200</v>
      </c>
      <c r="F1392" s="943" t="s">
        <v>5865</v>
      </c>
      <c r="G1392" s="1245" t="s">
        <v>5866</v>
      </c>
      <c r="H1392" s="1245" t="s">
        <v>3112</v>
      </c>
      <c r="I1392" s="1147"/>
      <c r="J1392" s="943"/>
      <c r="K1392" s="944">
        <v>1</v>
      </c>
      <c r="L1392" s="898">
        <v>7</v>
      </c>
      <c r="M1392" s="899">
        <f t="shared" si="54"/>
        <v>8400</v>
      </c>
      <c r="N1392" s="898">
        <v>1</v>
      </c>
      <c r="O1392" s="898">
        <v>12</v>
      </c>
      <c r="P1392" s="899">
        <f t="shared" si="55"/>
        <v>14400</v>
      </c>
    </row>
    <row r="1393" spans="1:16" x14ac:dyDescent="0.2">
      <c r="A1393" s="916" t="s">
        <v>5035</v>
      </c>
      <c r="B1393" s="943" t="s">
        <v>3092</v>
      </c>
      <c r="C1393" s="916" t="s">
        <v>5598</v>
      </c>
      <c r="D1393" s="943" t="s">
        <v>5040</v>
      </c>
      <c r="E1393" s="1144">
        <v>1923</v>
      </c>
      <c r="F1393" s="943" t="s">
        <v>5867</v>
      </c>
      <c r="G1393" s="1245" t="s">
        <v>5868</v>
      </c>
      <c r="H1393" s="1245" t="s">
        <v>581</v>
      </c>
      <c r="I1393" s="1147"/>
      <c r="J1393" s="943"/>
      <c r="K1393" s="944">
        <v>1</v>
      </c>
      <c r="L1393" s="898">
        <v>7</v>
      </c>
      <c r="M1393" s="899">
        <f t="shared" si="54"/>
        <v>13461</v>
      </c>
      <c r="N1393" s="898">
        <v>1</v>
      </c>
      <c r="O1393" s="898">
        <v>12</v>
      </c>
      <c r="P1393" s="899">
        <f t="shared" si="55"/>
        <v>23076</v>
      </c>
    </row>
    <row r="1394" spans="1:16" x14ac:dyDescent="0.2">
      <c r="A1394" s="916" t="s">
        <v>5035</v>
      </c>
      <c r="B1394" s="943" t="s">
        <v>3092</v>
      </c>
      <c r="C1394" s="916" t="s">
        <v>5598</v>
      </c>
      <c r="D1394" s="943" t="s">
        <v>5040</v>
      </c>
      <c r="E1394" s="1144">
        <v>5300</v>
      </c>
      <c r="F1394" s="943" t="s">
        <v>5869</v>
      </c>
      <c r="G1394" s="1245" t="s">
        <v>5870</v>
      </c>
      <c r="H1394" s="1245" t="s">
        <v>5077</v>
      </c>
      <c r="I1394" s="1147"/>
      <c r="J1394" s="943"/>
      <c r="K1394" s="944">
        <v>1</v>
      </c>
      <c r="L1394" s="898">
        <v>7</v>
      </c>
      <c r="M1394" s="899">
        <f t="shared" si="54"/>
        <v>37100</v>
      </c>
      <c r="N1394" s="898">
        <v>1</v>
      </c>
      <c r="O1394" s="898">
        <v>12</v>
      </c>
      <c r="P1394" s="899">
        <f t="shared" si="55"/>
        <v>63600</v>
      </c>
    </row>
    <row r="1395" spans="1:16" ht="24" x14ac:dyDescent="0.2">
      <c r="A1395" s="916" t="s">
        <v>5035</v>
      </c>
      <c r="B1395" s="943" t="s">
        <v>3092</v>
      </c>
      <c r="C1395" s="916" t="s">
        <v>5598</v>
      </c>
      <c r="D1395" s="943" t="s">
        <v>491</v>
      </c>
      <c r="E1395" s="1144">
        <v>1200</v>
      </c>
      <c r="F1395" s="943" t="s">
        <v>5871</v>
      </c>
      <c r="G1395" s="1245" t="s">
        <v>5872</v>
      </c>
      <c r="H1395" s="1245" t="s">
        <v>3112</v>
      </c>
      <c r="I1395" s="1147"/>
      <c r="J1395" s="943"/>
      <c r="K1395" s="944">
        <v>1</v>
      </c>
      <c r="L1395" s="898">
        <v>7</v>
      </c>
      <c r="M1395" s="899">
        <f t="shared" si="54"/>
        <v>8400</v>
      </c>
      <c r="N1395" s="898">
        <v>1</v>
      </c>
      <c r="O1395" s="898">
        <v>12</v>
      </c>
      <c r="P1395" s="899">
        <f t="shared" si="55"/>
        <v>14400</v>
      </c>
    </row>
    <row r="1396" spans="1:16" x14ac:dyDescent="0.2">
      <c r="A1396" s="916" t="s">
        <v>5035</v>
      </c>
      <c r="B1396" s="943" t="s">
        <v>3092</v>
      </c>
      <c r="C1396" s="916" t="s">
        <v>5598</v>
      </c>
      <c r="D1396" s="943" t="s">
        <v>5040</v>
      </c>
      <c r="E1396" s="1144">
        <v>1700</v>
      </c>
      <c r="F1396" s="943" t="s">
        <v>5873</v>
      </c>
      <c r="G1396" s="1245" t="s">
        <v>5874</v>
      </c>
      <c r="H1396" s="1245" t="s">
        <v>3164</v>
      </c>
      <c r="I1396" s="1147"/>
      <c r="J1396" s="943"/>
      <c r="K1396" s="944">
        <v>1</v>
      </c>
      <c r="L1396" s="898">
        <v>7</v>
      </c>
      <c r="M1396" s="899">
        <f t="shared" si="54"/>
        <v>11900</v>
      </c>
      <c r="N1396" s="898">
        <v>1</v>
      </c>
      <c r="O1396" s="898">
        <v>12</v>
      </c>
      <c r="P1396" s="899">
        <f t="shared" si="55"/>
        <v>20400</v>
      </c>
    </row>
    <row r="1397" spans="1:16" ht="24" x14ac:dyDescent="0.2">
      <c r="A1397" s="916" t="s">
        <v>5035</v>
      </c>
      <c r="B1397" s="943" t="s">
        <v>3092</v>
      </c>
      <c r="C1397" s="916" t="s">
        <v>5598</v>
      </c>
      <c r="D1397" s="943" t="s">
        <v>5040</v>
      </c>
      <c r="E1397" s="1144">
        <v>1923</v>
      </c>
      <c r="F1397" s="943" t="s">
        <v>5875</v>
      </c>
      <c r="G1397" s="1245" t="s">
        <v>5876</v>
      </c>
      <c r="H1397" s="1245" t="s">
        <v>5043</v>
      </c>
      <c r="I1397" s="1147"/>
      <c r="J1397" s="943"/>
      <c r="K1397" s="944">
        <v>1</v>
      </c>
      <c r="L1397" s="898">
        <v>7</v>
      </c>
      <c r="M1397" s="899">
        <f t="shared" si="54"/>
        <v>13461</v>
      </c>
      <c r="N1397" s="898">
        <v>1</v>
      </c>
      <c r="O1397" s="898">
        <v>12</v>
      </c>
      <c r="P1397" s="899">
        <f t="shared" si="55"/>
        <v>23076</v>
      </c>
    </row>
    <row r="1398" spans="1:16" ht="24" x14ac:dyDescent="0.2">
      <c r="A1398" s="916" t="s">
        <v>5035</v>
      </c>
      <c r="B1398" s="943" t="s">
        <v>3092</v>
      </c>
      <c r="C1398" s="916" t="s">
        <v>5598</v>
      </c>
      <c r="D1398" s="943" t="s">
        <v>491</v>
      </c>
      <c r="E1398" s="1144">
        <v>1362</v>
      </c>
      <c r="F1398" s="943" t="s">
        <v>5877</v>
      </c>
      <c r="G1398" s="1245" t="s">
        <v>5878</v>
      </c>
      <c r="H1398" s="1245" t="s">
        <v>3112</v>
      </c>
      <c r="I1398" s="1147"/>
      <c r="J1398" s="943"/>
      <c r="K1398" s="944">
        <v>1</v>
      </c>
      <c r="L1398" s="898">
        <v>7</v>
      </c>
      <c r="M1398" s="899">
        <f t="shared" si="54"/>
        <v>9534</v>
      </c>
      <c r="N1398" s="898">
        <v>1</v>
      </c>
      <c r="O1398" s="898">
        <v>12</v>
      </c>
      <c r="P1398" s="899">
        <f t="shared" si="55"/>
        <v>16344</v>
      </c>
    </row>
    <row r="1399" spans="1:16" ht="24" x14ac:dyDescent="0.2">
      <c r="A1399" s="916" t="s">
        <v>5035</v>
      </c>
      <c r="B1399" s="943" t="s">
        <v>3092</v>
      </c>
      <c r="C1399" s="916" t="s">
        <v>5598</v>
      </c>
      <c r="D1399" s="943" t="s">
        <v>491</v>
      </c>
      <c r="E1399" s="1144">
        <v>1400</v>
      </c>
      <c r="F1399" s="943" t="s">
        <v>5879</v>
      </c>
      <c r="G1399" s="1245" t="s">
        <v>5880</v>
      </c>
      <c r="H1399" s="1245" t="s">
        <v>3112</v>
      </c>
      <c r="I1399" s="1147"/>
      <c r="J1399" s="943"/>
      <c r="K1399" s="944">
        <v>1</v>
      </c>
      <c r="L1399" s="898">
        <v>7</v>
      </c>
      <c r="M1399" s="899">
        <f t="shared" si="54"/>
        <v>9800</v>
      </c>
      <c r="N1399" s="898">
        <v>1</v>
      </c>
      <c r="O1399" s="898">
        <v>12</v>
      </c>
      <c r="P1399" s="899">
        <f t="shared" si="55"/>
        <v>16800</v>
      </c>
    </row>
    <row r="1400" spans="1:16" x14ac:dyDescent="0.2">
      <c r="A1400" s="916" t="s">
        <v>5035</v>
      </c>
      <c r="B1400" s="943" t="s">
        <v>3092</v>
      </c>
      <c r="C1400" s="916" t="s">
        <v>5598</v>
      </c>
      <c r="D1400" s="943" t="s">
        <v>491</v>
      </c>
      <c r="E1400" s="1144">
        <v>2200</v>
      </c>
      <c r="F1400" s="943" t="s">
        <v>5881</v>
      </c>
      <c r="G1400" s="1245" t="s">
        <v>5882</v>
      </c>
      <c r="H1400" s="1245" t="s">
        <v>3129</v>
      </c>
      <c r="I1400" s="1147"/>
      <c r="J1400" s="943"/>
      <c r="K1400" s="944">
        <v>1</v>
      </c>
      <c r="L1400" s="898">
        <v>7</v>
      </c>
      <c r="M1400" s="899">
        <f t="shared" si="54"/>
        <v>15400</v>
      </c>
      <c r="N1400" s="898">
        <v>1</v>
      </c>
      <c r="O1400" s="898">
        <v>12</v>
      </c>
      <c r="P1400" s="899">
        <f t="shared" si="55"/>
        <v>26400</v>
      </c>
    </row>
    <row r="1401" spans="1:16" ht="24" x14ac:dyDescent="0.2">
      <c r="A1401" s="916" t="s">
        <v>5035</v>
      </c>
      <c r="B1401" s="943" t="s">
        <v>3092</v>
      </c>
      <c r="C1401" s="916" t="s">
        <v>5598</v>
      </c>
      <c r="D1401" s="943" t="s">
        <v>5040</v>
      </c>
      <c r="E1401" s="1144">
        <v>1923</v>
      </c>
      <c r="F1401" s="943" t="s">
        <v>5883</v>
      </c>
      <c r="G1401" s="1245" t="s">
        <v>5884</v>
      </c>
      <c r="H1401" s="1245" t="s">
        <v>580</v>
      </c>
      <c r="I1401" s="1147"/>
      <c r="J1401" s="943"/>
      <c r="K1401" s="944">
        <v>1</v>
      </c>
      <c r="L1401" s="898">
        <v>7</v>
      </c>
      <c r="M1401" s="899">
        <f t="shared" si="54"/>
        <v>13461</v>
      </c>
      <c r="N1401" s="898">
        <v>1</v>
      </c>
      <c r="O1401" s="898">
        <v>12</v>
      </c>
      <c r="P1401" s="899">
        <f t="shared" si="55"/>
        <v>23076</v>
      </c>
    </row>
    <row r="1402" spans="1:16" ht="24" x14ac:dyDescent="0.2">
      <c r="A1402" s="916" t="s">
        <v>5035</v>
      </c>
      <c r="B1402" s="943" t="s">
        <v>3092</v>
      </c>
      <c r="C1402" s="916" t="s">
        <v>5598</v>
      </c>
      <c r="D1402" s="943" t="s">
        <v>491</v>
      </c>
      <c r="E1402" s="1144">
        <v>1500</v>
      </c>
      <c r="F1402" s="943" t="s">
        <v>5885</v>
      </c>
      <c r="G1402" s="1245" t="s">
        <v>5886</v>
      </c>
      <c r="H1402" s="1245" t="s">
        <v>5887</v>
      </c>
      <c r="I1402" s="1147"/>
      <c r="J1402" s="943"/>
      <c r="K1402" s="944">
        <v>1</v>
      </c>
      <c r="L1402" s="898">
        <v>7</v>
      </c>
      <c r="M1402" s="899">
        <f t="shared" si="54"/>
        <v>10500</v>
      </c>
      <c r="N1402" s="898">
        <v>1</v>
      </c>
      <c r="O1402" s="898">
        <v>12</v>
      </c>
      <c r="P1402" s="899">
        <f t="shared" si="55"/>
        <v>18000</v>
      </c>
    </row>
    <row r="1403" spans="1:16" x14ac:dyDescent="0.2">
      <c r="A1403" s="916" t="s">
        <v>5035</v>
      </c>
      <c r="B1403" s="943" t="s">
        <v>3092</v>
      </c>
      <c r="C1403" s="916" t="s">
        <v>5598</v>
      </c>
      <c r="D1403" s="943" t="s">
        <v>5040</v>
      </c>
      <c r="E1403" s="1144">
        <v>2931</v>
      </c>
      <c r="F1403" s="943" t="s">
        <v>5888</v>
      </c>
      <c r="G1403" s="1245" t="s">
        <v>5889</v>
      </c>
      <c r="H1403" s="1245" t="s">
        <v>3482</v>
      </c>
      <c r="I1403" s="1147"/>
      <c r="J1403" s="943"/>
      <c r="K1403" s="944">
        <v>1</v>
      </c>
      <c r="L1403" s="898">
        <v>7</v>
      </c>
      <c r="M1403" s="899">
        <f t="shared" si="54"/>
        <v>20517</v>
      </c>
      <c r="N1403" s="898">
        <v>1</v>
      </c>
      <c r="O1403" s="898">
        <v>12</v>
      </c>
      <c r="P1403" s="899">
        <f t="shared" si="55"/>
        <v>35172</v>
      </c>
    </row>
    <row r="1404" spans="1:16" x14ac:dyDescent="0.2">
      <c r="A1404" s="916" t="s">
        <v>5035</v>
      </c>
      <c r="B1404" s="943" t="s">
        <v>3092</v>
      </c>
      <c r="C1404" s="916" t="s">
        <v>5598</v>
      </c>
      <c r="D1404" s="943" t="s">
        <v>5040</v>
      </c>
      <c r="E1404" s="1144">
        <v>3526.65</v>
      </c>
      <c r="F1404" s="943" t="s">
        <v>5890</v>
      </c>
      <c r="G1404" s="1245" t="s">
        <v>5891</v>
      </c>
      <c r="H1404" s="1245" t="s">
        <v>5077</v>
      </c>
      <c r="I1404" s="1147"/>
      <c r="J1404" s="943"/>
      <c r="K1404" s="944">
        <v>1</v>
      </c>
      <c r="L1404" s="898">
        <v>7</v>
      </c>
      <c r="M1404" s="899">
        <f t="shared" si="54"/>
        <v>24686.55</v>
      </c>
      <c r="N1404" s="898">
        <v>1</v>
      </c>
      <c r="O1404" s="898">
        <v>12</v>
      </c>
      <c r="P1404" s="899">
        <f t="shared" si="55"/>
        <v>42319.8</v>
      </c>
    </row>
    <row r="1405" spans="1:16" ht="24" x14ac:dyDescent="0.2">
      <c r="A1405" s="916" t="s">
        <v>5035</v>
      </c>
      <c r="B1405" s="943" t="s">
        <v>3092</v>
      </c>
      <c r="C1405" s="916" t="s">
        <v>5598</v>
      </c>
      <c r="D1405" s="943" t="s">
        <v>491</v>
      </c>
      <c r="E1405" s="1144">
        <v>1200</v>
      </c>
      <c r="F1405" s="943" t="s">
        <v>5892</v>
      </c>
      <c r="G1405" s="1245" t="s">
        <v>5893</v>
      </c>
      <c r="H1405" s="1245" t="s">
        <v>3112</v>
      </c>
      <c r="I1405" s="1147"/>
      <c r="J1405" s="943"/>
      <c r="K1405" s="944">
        <v>1</v>
      </c>
      <c r="L1405" s="898">
        <v>7</v>
      </c>
      <c r="M1405" s="899">
        <f t="shared" si="54"/>
        <v>8400</v>
      </c>
      <c r="N1405" s="898">
        <v>1</v>
      </c>
      <c r="O1405" s="898">
        <v>12</v>
      </c>
      <c r="P1405" s="899">
        <f t="shared" si="55"/>
        <v>14400</v>
      </c>
    </row>
    <row r="1406" spans="1:16" ht="24" x14ac:dyDescent="0.2">
      <c r="A1406" s="916" t="s">
        <v>5035</v>
      </c>
      <c r="B1406" s="943" t="s">
        <v>3092</v>
      </c>
      <c r="C1406" s="916" t="s">
        <v>5598</v>
      </c>
      <c r="D1406" s="943" t="s">
        <v>491</v>
      </c>
      <c r="E1406" s="1144">
        <v>1200</v>
      </c>
      <c r="F1406" s="943" t="s">
        <v>5894</v>
      </c>
      <c r="G1406" s="1245" t="s">
        <v>5895</v>
      </c>
      <c r="H1406" s="1245" t="s">
        <v>3112</v>
      </c>
      <c r="I1406" s="1147"/>
      <c r="J1406" s="943"/>
      <c r="K1406" s="944">
        <v>1</v>
      </c>
      <c r="L1406" s="898">
        <v>7</v>
      </c>
      <c r="M1406" s="899">
        <f t="shared" si="54"/>
        <v>8400</v>
      </c>
      <c r="N1406" s="898">
        <v>1</v>
      </c>
      <c r="O1406" s="898">
        <v>12</v>
      </c>
      <c r="P1406" s="899">
        <f t="shared" si="55"/>
        <v>14400</v>
      </c>
    </row>
    <row r="1407" spans="1:16" ht="24" x14ac:dyDescent="0.2">
      <c r="A1407" s="916" t="s">
        <v>5035</v>
      </c>
      <c r="B1407" s="943" t="s">
        <v>3092</v>
      </c>
      <c r="C1407" s="916" t="s">
        <v>5598</v>
      </c>
      <c r="D1407" s="943" t="s">
        <v>5040</v>
      </c>
      <c r="E1407" s="1144">
        <v>1923</v>
      </c>
      <c r="F1407" s="943" t="s">
        <v>5896</v>
      </c>
      <c r="G1407" s="1245" t="s">
        <v>5897</v>
      </c>
      <c r="H1407" s="1245" t="s">
        <v>580</v>
      </c>
      <c r="I1407" s="1147"/>
      <c r="J1407" s="943"/>
      <c r="K1407" s="944">
        <v>1</v>
      </c>
      <c r="L1407" s="898">
        <v>7</v>
      </c>
      <c r="M1407" s="899">
        <f t="shared" si="54"/>
        <v>13461</v>
      </c>
      <c r="N1407" s="898">
        <v>1</v>
      </c>
      <c r="O1407" s="898">
        <v>12</v>
      </c>
      <c r="P1407" s="899">
        <f t="shared" si="55"/>
        <v>23076</v>
      </c>
    </row>
    <row r="1408" spans="1:16" x14ac:dyDescent="0.2">
      <c r="A1408" s="916" t="s">
        <v>5035</v>
      </c>
      <c r="B1408" s="943" t="s">
        <v>3092</v>
      </c>
      <c r="C1408" s="916" t="s">
        <v>5598</v>
      </c>
      <c r="D1408" s="943" t="s">
        <v>5040</v>
      </c>
      <c r="E1408" s="1144">
        <v>1200</v>
      </c>
      <c r="F1408" s="943" t="s">
        <v>5898</v>
      </c>
      <c r="G1408" s="1245" t="s">
        <v>5899</v>
      </c>
      <c r="H1408" s="1245" t="s">
        <v>5796</v>
      </c>
      <c r="I1408" s="1147"/>
      <c r="J1408" s="943"/>
      <c r="K1408" s="944">
        <v>1</v>
      </c>
      <c r="L1408" s="898">
        <v>7</v>
      </c>
      <c r="M1408" s="899">
        <f t="shared" si="54"/>
        <v>8400</v>
      </c>
      <c r="N1408" s="898">
        <v>1</v>
      </c>
      <c r="O1408" s="898">
        <v>12</v>
      </c>
      <c r="P1408" s="899">
        <f t="shared" si="55"/>
        <v>14400</v>
      </c>
    </row>
    <row r="1409" spans="1:16" x14ac:dyDescent="0.2">
      <c r="A1409" s="916" t="s">
        <v>5035</v>
      </c>
      <c r="B1409" s="943" t="s">
        <v>3092</v>
      </c>
      <c r="C1409" s="916" t="s">
        <v>5598</v>
      </c>
      <c r="D1409" s="943" t="s">
        <v>5040</v>
      </c>
      <c r="E1409" s="1144">
        <v>2931</v>
      </c>
      <c r="F1409" s="943" t="s">
        <v>5900</v>
      </c>
      <c r="G1409" s="1245" t="s">
        <v>5901</v>
      </c>
      <c r="H1409" s="1245" t="s">
        <v>517</v>
      </c>
      <c r="I1409" s="1147"/>
      <c r="J1409" s="943"/>
      <c r="K1409" s="944">
        <v>1</v>
      </c>
      <c r="L1409" s="898">
        <v>7</v>
      </c>
      <c r="M1409" s="899">
        <f t="shared" si="54"/>
        <v>20517</v>
      </c>
      <c r="N1409" s="898">
        <v>1</v>
      </c>
      <c r="O1409" s="898">
        <v>12</v>
      </c>
      <c r="P1409" s="899">
        <f t="shared" si="55"/>
        <v>35172</v>
      </c>
    </row>
    <row r="1410" spans="1:16" ht="24" x14ac:dyDescent="0.2">
      <c r="A1410" s="916" t="s">
        <v>5035</v>
      </c>
      <c r="B1410" s="943" t="s">
        <v>3092</v>
      </c>
      <c r="C1410" s="916" t="s">
        <v>5598</v>
      </c>
      <c r="D1410" s="943" t="s">
        <v>5040</v>
      </c>
      <c r="E1410" s="1144">
        <v>1200</v>
      </c>
      <c r="F1410" s="943" t="s">
        <v>5902</v>
      </c>
      <c r="G1410" s="1245" t="s">
        <v>5903</v>
      </c>
      <c r="H1410" s="1245" t="s">
        <v>5607</v>
      </c>
      <c r="I1410" s="1147"/>
      <c r="J1410" s="943"/>
      <c r="K1410" s="944">
        <v>1</v>
      </c>
      <c r="L1410" s="898">
        <v>7</v>
      </c>
      <c r="M1410" s="899">
        <f t="shared" si="54"/>
        <v>8400</v>
      </c>
      <c r="N1410" s="898">
        <v>1</v>
      </c>
      <c r="O1410" s="898">
        <v>12</v>
      </c>
      <c r="P1410" s="899">
        <f t="shared" si="55"/>
        <v>14400</v>
      </c>
    </row>
    <row r="1411" spans="1:16" x14ac:dyDescent="0.2">
      <c r="A1411" s="916" t="s">
        <v>5035</v>
      </c>
      <c r="B1411" s="943" t="s">
        <v>3092</v>
      </c>
      <c r="C1411" s="916" t="s">
        <v>5598</v>
      </c>
      <c r="D1411" s="943" t="s">
        <v>5040</v>
      </c>
      <c r="E1411" s="1144">
        <v>3948</v>
      </c>
      <c r="F1411" s="943" t="s">
        <v>5904</v>
      </c>
      <c r="G1411" s="1245" t="s">
        <v>5905</v>
      </c>
      <c r="H1411" s="1245" t="s">
        <v>5106</v>
      </c>
      <c r="I1411" s="1147"/>
      <c r="J1411" s="943"/>
      <c r="K1411" s="944">
        <v>1</v>
      </c>
      <c r="L1411" s="898">
        <v>7</v>
      </c>
      <c r="M1411" s="899">
        <f t="shared" si="54"/>
        <v>27636</v>
      </c>
      <c r="N1411" s="898">
        <v>1</v>
      </c>
      <c r="O1411" s="898">
        <v>12</v>
      </c>
      <c r="P1411" s="899">
        <f t="shared" si="55"/>
        <v>47376</v>
      </c>
    </row>
    <row r="1412" spans="1:16" ht="24" x14ac:dyDescent="0.2">
      <c r="A1412" s="916" t="s">
        <v>5035</v>
      </c>
      <c r="B1412" s="943" t="s">
        <v>3092</v>
      </c>
      <c r="C1412" s="916" t="s">
        <v>5598</v>
      </c>
      <c r="D1412" s="943" t="s">
        <v>491</v>
      </c>
      <c r="E1412" s="1144">
        <v>1200</v>
      </c>
      <c r="F1412" s="943" t="s">
        <v>5906</v>
      </c>
      <c r="G1412" s="1245" t="s">
        <v>5907</v>
      </c>
      <c r="H1412" s="1245" t="s">
        <v>3112</v>
      </c>
      <c r="I1412" s="1147"/>
      <c r="J1412" s="943"/>
      <c r="K1412" s="944">
        <v>1</v>
      </c>
      <c r="L1412" s="898">
        <v>7</v>
      </c>
      <c r="M1412" s="899">
        <f t="shared" si="54"/>
        <v>8400</v>
      </c>
      <c r="N1412" s="898">
        <v>1</v>
      </c>
      <c r="O1412" s="898">
        <v>12</v>
      </c>
      <c r="P1412" s="899">
        <f t="shared" si="55"/>
        <v>14400</v>
      </c>
    </row>
    <row r="1413" spans="1:16" ht="24" x14ac:dyDescent="0.2">
      <c r="A1413" s="916" t="s">
        <v>5035</v>
      </c>
      <c r="B1413" s="943" t="s">
        <v>3092</v>
      </c>
      <c r="C1413" s="916" t="s">
        <v>5598</v>
      </c>
      <c r="D1413" s="943" t="s">
        <v>491</v>
      </c>
      <c r="E1413" s="1144">
        <v>1200</v>
      </c>
      <c r="F1413" s="943" t="s">
        <v>5908</v>
      </c>
      <c r="G1413" s="1245" t="s">
        <v>5909</v>
      </c>
      <c r="H1413" s="1245" t="s">
        <v>3112</v>
      </c>
      <c r="I1413" s="1147"/>
      <c r="J1413" s="943"/>
      <c r="K1413" s="944">
        <v>1</v>
      </c>
      <c r="L1413" s="898">
        <v>7</v>
      </c>
      <c r="M1413" s="899">
        <f t="shared" si="54"/>
        <v>8400</v>
      </c>
      <c r="N1413" s="898">
        <v>1</v>
      </c>
      <c r="O1413" s="898">
        <v>12</v>
      </c>
      <c r="P1413" s="899">
        <f t="shared" si="55"/>
        <v>14400</v>
      </c>
    </row>
    <row r="1414" spans="1:16" ht="24" x14ac:dyDescent="0.2">
      <c r="A1414" s="916" t="s">
        <v>5035</v>
      </c>
      <c r="B1414" s="943" t="s">
        <v>3092</v>
      </c>
      <c r="C1414" s="916" t="s">
        <v>5598</v>
      </c>
      <c r="D1414" s="943" t="s">
        <v>491</v>
      </c>
      <c r="E1414" s="1144">
        <v>1200</v>
      </c>
      <c r="F1414" s="943" t="s">
        <v>5910</v>
      </c>
      <c r="G1414" s="1245" t="s">
        <v>5911</v>
      </c>
      <c r="H1414" s="1245" t="s">
        <v>3112</v>
      </c>
      <c r="I1414" s="1147"/>
      <c r="J1414" s="943"/>
      <c r="K1414" s="944">
        <v>1</v>
      </c>
      <c r="L1414" s="898">
        <v>7</v>
      </c>
      <c r="M1414" s="899">
        <f t="shared" si="54"/>
        <v>8400</v>
      </c>
      <c r="N1414" s="898">
        <v>1</v>
      </c>
      <c r="O1414" s="898">
        <v>12</v>
      </c>
      <c r="P1414" s="899">
        <f t="shared" si="55"/>
        <v>14400</v>
      </c>
    </row>
    <row r="1415" spans="1:16" x14ac:dyDescent="0.2">
      <c r="A1415" s="916" t="s">
        <v>5035</v>
      </c>
      <c r="B1415" s="943" t="s">
        <v>3092</v>
      </c>
      <c r="C1415" s="916" t="s">
        <v>5598</v>
      </c>
      <c r="D1415" s="943" t="s">
        <v>5040</v>
      </c>
      <c r="E1415" s="1144">
        <v>2000</v>
      </c>
      <c r="F1415" s="943" t="s">
        <v>5912</v>
      </c>
      <c r="G1415" s="1245" t="s">
        <v>5913</v>
      </c>
      <c r="H1415" s="1245" t="s">
        <v>3164</v>
      </c>
      <c r="I1415" s="1147"/>
      <c r="J1415" s="943"/>
      <c r="K1415" s="944">
        <v>1</v>
      </c>
      <c r="L1415" s="898">
        <v>7</v>
      </c>
      <c r="M1415" s="899">
        <f t="shared" si="54"/>
        <v>14000</v>
      </c>
      <c r="N1415" s="898">
        <v>1</v>
      </c>
      <c r="O1415" s="898">
        <v>12</v>
      </c>
      <c r="P1415" s="899">
        <f t="shared" si="55"/>
        <v>24000</v>
      </c>
    </row>
    <row r="1416" spans="1:16" ht="24" x14ac:dyDescent="0.2">
      <c r="A1416" s="916" t="s">
        <v>5035</v>
      </c>
      <c r="B1416" s="943" t="s">
        <v>3092</v>
      </c>
      <c r="C1416" s="916" t="s">
        <v>5598</v>
      </c>
      <c r="D1416" s="943" t="s">
        <v>491</v>
      </c>
      <c r="E1416" s="1144">
        <v>1500</v>
      </c>
      <c r="F1416" s="943" t="s">
        <v>5914</v>
      </c>
      <c r="G1416" s="1245" t="s">
        <v>5915</v>
      </c>
      <c r="H1416" s="1245" t="s">
        <v>3112</v>
      </c>
      <c r="I1416" s="1147"/>
      <c r="J1416" s="943"/>
      <c r="K1416" s="944">
        <v>1</v>
      </c>
      <c r="L1416" s="898">
        <v>7</v>
      </c>
      <c r="M1416" s="899">
        <f t="shared" si="54"/>
        <v>10500</v>
      </c>
      <c r="N1416" s="898">
        <v>1</v>
      </c>
      <c r="O1416" s="898">
        <v>12</v>
      </c>
      <c r="P1416" s="899">
        <f t="shared" si="55"/>
        <v>18000</v>
      </c>
    </row>
    <row r="1417" spans="1:16" ht="24" x14ac:dyDescent="0.2">
      <c r="A1417" s="916" t="s">
        <v>5035</v>
      </c>
      <c r="B1417" s="943" t="s">
        <v>3092</v>
      </c>
      <c r="C1417" s="916" t="s">
        <v>5598</v>
      </c>
      <c r="D1417" s="943" t="s">
        <v>491</v>
      </c>
      <c r="E1417" s="1144">
        <v>1900</v>
      </c>
      <c r="F1417" s="943" t="s">
        <v>5916</v>
      </c>
      <c r="G1417" s="1245" t="s">
        <v>5917</v>
      </c>
      <c r="H1417" s="1245" t="s">
        <v>3112</v>
      </c>
      <c r="I1417" s="1147"/>
      <c r="J1417" s="943"/>
      <c r="K1417" s="944">
        <v>1</v>
      </c>
      <c r="L1417" s="898">
        <v>7</v>
      </c>
      <c r="M1417" s="899">
        <f t="shared" si="54"/>
        <v>13300</v>
      </c>
      <c r="N1417" s="898">
        <v>1</v>
      </c>
      <c r="O1417" s="898">
        <v>12</v>
      </c>
      <c r="P1417" s="899">
        <f t="shared" si="55"/>
        <v>22800</v>
      </c>
    </row>
    <row r="1418" spans="1:16" ht="24" x14ac:dyDescent="0.2">
      <c r="A1418" s="916" t="s">
        <v>5035</v>
      </c>
      <c r="B1418" s="943" t="s">
        <v>3092</v>
      </c>
      <c r="C1418" s="916" t="s">
        <v>5598</v>
      </c>
      <c r="D1418" s="943" t="s">
        <v>5040</v>
      </c>
      <c r="E1418" s="1144">
        <v>1923</v>
      </c>
      <c r="F1418" s="943" t="s">
        <v>5918</v>
      </c>
      <c r="G1418" s="1245" t="s">
        <v>5919</v>
      </c>
      <c r="H1418" s="1245" t="s">
        <v>5043</v>
      </c>
      <c r="I1418" s="1147"/>
      <c r="J1418" s="943"/>
      <c r="K1418" s="944">
        <v>1</v>
      </c>
      <c r="L1418" s="898">
        <v>7</v>
      </c>
      <c r="M1418" s="899">
        <f t="shared" si="54"/>
        <v>13461</v>
      </c>
      <c r="N1418" s="898">
        <v>1</v>
      </c>
      <c r="O1418" s="898">
        <v>12</v>
      </c>
      <c r="P1418" s="899">
        <f t="shared" si="55"/>
        <v>23076</v>
      </c>
    </row>
    <row r="1419" spans="1:16" ht="24" x14ac:dyDescent="0.2">
      <c r="A1419" s="916" t="s">
        <v>5035</v>
      </c>
      <c r="B1419" s="943" t="s">
        <v>3092</v>
      </c>
      <c r="C1419" s="916" t="s">
        <v>5598</v>
      </c>
      <c r="D1419" s="943" t="s">
        <v>5040</v>
      </c>
      <c r="E1419" s="1144">
        <v>1923</v>
      </c>
      <c r="F1419" s="943" t="s">
        <v>5920</v>
      </c>
      <c r="G1419" s="1245" t="s">
        <v>5921</v>
      </c>
      <c r="H1419" s="1245" t="s">
        <v>5043</v>
      </c>
      <c r="I1419" s="1147"/>
      <c r="J1419" s="943"/>
      <c r="K1419" s="944">
        <v>1</v>
      </c>
      <c r="L1419" s="898">
        <v>7</v>
      </c>
      <c r="M1419" s="899">
        <f t="shared" si="54"/>
        <v>13461</v>
      </c>
      <c r="N1419" s="898">
        <v>1</v>
      </c>
      <c r="O1419" s="898">
        <v>12</v>
      </c>
      <c r="P1419" s="899">
        <f t="shared" si="55"/>
        <v>23076</v>
      </c>
    </row>
    <row r="1420" spans="1:16" x14ac:dyDescent="0.2">
      <c r="A1420" s="916" t="s">
        <v>5035</v>
      </c>
      <c r="B1420" s="943" t="s">
        <v>3092</v>
      </c>
      <c r="C1420" s="916" t="s">
        <v>5598</v>
      </c>
      <c r="D1420" s="943" t="s">
        <v>5040</v>
      </c>
      <c r="E1420" s="1144">
        <v>1200</v>
      </c>
      <c r="F1420" s="943" t="s">
        <v>5922</v>
      </c>
      <c r="G1420" s="1245" t="s">
        <v>5923</v>
      </c>
      <c r="H1420" s="1245" t="s">
        <v>3187</v>
      </c>
      <c r="I1420" s="1147"/>
      <c r="J1420" s="943"/>
      <c r="K1420" s="944">
        <v>1</v>
      </c>
      <c r="L1420" s="898">
        <v>7</v>
      </c>
      <c r="M1420" s="899">
        <f t="shared" si="54"/>
        <v>8400</v>
      </c>
      <c r="N1420" s="898">
        <v>1</v>
      </c>
      <c r="O1420" s="898">
        <v>12</v>
      </c>
      <c r="P1420" s="899">
        <f t="shared" si="55"/>
        <v>14400</v>
      </c>
    </row>
    <row r="1421" spans="1:16" x14ac:dyDescent="0.2">
      <c r="A1421" s="916" t="s">
        <v>5035</v>
      </c>
      <c r="B1421" s="943" t="s">
        <v>3092</v>
      </c>
      <c r="C1421" s="916" t="s">
        <v>5598</v>
      </c>
      <c r="D1421" s="943" t="s">
        <v>5040</v>
      </c>
      <c r="E1421" s="1144">
        <v>5500</v>
      </c>
      <c r="F1421" s="943" t="s">
        <v>5924</v>
      </c>
      <c r="G1421" s="1245" t="s">
        <v>5925</v>
      </c>
      <c r="H1421" s="1245" t="s">
        <v>5106</v>
      </c>
      <c r="I1421" s="1147"/>
      <c r="J1421" s="943"/>
      <c r="K1421" s="944">
        <v>1</v>
      </c>
      <c r="L1421" s="898">
        <v>7</v>
      </c>
      <c r="M1421" s="899">
        <f t="shared" si="54"/>
        <v>38500</v>
      </c>
      <c r="N1421" s="898">
        <v>1</v>
      </c>
      <c r="O1421" s="898">
        <v>12</v>
      </c>
      <c r="P1421" s="899">
        <f t="shared" si="55"/>
        <v>66000</v>
      </c>
    </row>
    <row r="1422" spans="1:16" x14ac:dyDescent="0.2">
      <c r="A1422" s="916" t="s">
        <v>5035</v>
      </c>
      <c r="B1422" s="943" t="s">
        <v>3092</v>
      </c>
      <c r="C1422" s="916" t="s">
        <v>5598</v>
      </c>
      <c r="D1422" s="943" t="s">
        <v>5040</v>
      </c>
      <c r="E1422" s="1144">
        <v>7000</v>
      </c>
      <c r="F1422" s="943" t="s">
        <v>5926</v>
      </c>
      <c r="G1422" s="1245" t="s">
        <v>5927</v>
      </c>
      <c r="H1422" s="1245" t="s">
        <v>5077</v>
      </c>
      <c r="I1422" s="1147"/>
      <c r="J1422" s="943"/>
      <c r="K1422" s="944">
        <v>1</v>
      </c>
      <c r="L1422" s="898">
        <v>7</v>
      </c>
      <c r="M1422" s="899">
        <f t="shared" si="54"/>
        <v>49000</v>
      </c>
      <c r="N1422" s="898">
        <v>1</v>
      </c>
      <c r="O1422" s="898">
        <v>12</v>
      </c>
      <c r="P1422" s="899">
        <f t="shared" si="55"/>
        <v>84000</v>
      </c>
    </row>
    <row r="1423" spans="1:16" ht="24" x14ac:dyDescent="0.2">
      <c r="A1423" s="916" t="s">
        <v>5035</v>
      </c>
      <c r="B1423" s="943" t="s">
        <v>3092</v>
      </c>
      <c r="C1423" s="916" t="s">
        <v>5598</v>
      </c>
      <c r="D1423" s="943" t="s">
        <v>5040</v>
      </c>
      <c r="E1423" s="1144">
        <v>1923</v>
      </c>
      <c r="F1423" s="943" t="s">
        <v>5928</v>
      </c>
      <c r="G1423" s="1245" t="s">
        <v>5929</v>
      </c>
      <c r="H1423" s="1245" t="s">
        <v>5043</v>
      </c>
      <c r="I1423" s="1147"/>
      <c r="J1423" s="943"/>
      <c r="K1423" s="944">
        <v>1</v>
      </c>
      <c r="L1423" s="898">
        <v>7</v>
      </c>
      <c r="M1423" s="899">
        <f t="shared" si="54"/>
        <v>13461</v>
      </c>
      <c r="N1423" s="898">
        <v>1</v>
      </c>
      <c r="O1423" s="898">
        <v>12</v>
      </c>
      <c r="P1423" s="899">
        <f t="shared" si="55"/>
        <v>23076</v>
      </c>
    </row>
    <row r="1424" spans="1:16" x14ac:dyDescent="0.2">
      <c r="A1424" s="916" t="s">
        <v>5035</v>
      </c>
      <c r="B1424" s="943" t="s">
        <v>3092</v>
      </c>
      <c r="C1424" s="916" t="s">
        <v>5598</v>
      </c>
      <c r="D1424" s="943" t="s">
        <v>5040</v>
      </c>
      <c r="E1424" s="1144">
        <v>1200</v>
      </c>
      <c r="F1424" s="943" t="s">
        <v>5930</v>
      </c>
      <c r="G1424" s="1245" t="s">
        <v>5931</v>
      </c>
      <c r="H1424" s="1245" t="s">
        <v>5657</v>
      </c>
      <c r="I1424" s="1147"/>
      <c r="J1424" s="943"/>
      <c r="K1424" s="944">
        <v>1</v>
      </c>
      <c r="L1424" s="898">
        <v>7</v>
      </c>
      <c r="M1424" s="899">
        <f t="shared" si="54"/>
        <v>8400</v>
      </c>
      <c r="N1424" s="898">
        <v>1</v>
      </c>
      <c r="O1424" s="898">
        <v>12</v>
      </c>
      <c r="P1424" s="899">
        <f t="shared" si="55"/>
        <v>14400</v>
      </c>
    </row>
    <row r="1425" spans="1:16" x14ac:dyDescent="0.2">
      <c r="A1425" s="916" t="s">
        <v>5035</v>
      </c>
      <c r="B1425" s="943" t="s">
        <v>3092</v>
      </c>
      <c r="C1425" s="916" t="s">
        <v>5598</v>
      </c>
      <c r="D1425" s="943" t="s">
        <v>5040</v>
      </c>
      <c r="E1425" s="1144">
        <v>2931</v>
      </c>
      <c r="F1425" s="943" t="s">
        <v>5932</v>
      </c>
      <c r="G1425" s="1245" t="s">
        <v>5933</v>
      </c>
      <c r="H1425" s="1245" t="s">
        <v>5112</v>
      </c>
      <c r="I1425" s="1147"/>
      <c r="J1425" s="943"/>
      <c r="K1425" s="944">
        <v>1</v>
      </c>
      <c r="L1425" s="898">
        <v>7</v>
      </c>
      <c r="M1425" s="899">
        <f t="shared" si="54"/>
        <v>20517</v>
      </c>
      <c r="N1425" s="898">
        <v>1</v>
      </c>
      <c r="O1425" s="898">
        <v>12</v>
      </c>
      <c r="P1425" s="899">
        <f t="shared" si="55"/>
        <v>35172</v>
      </c>
    </row>
    <row r="1426" spans="1:16" x14ac:dyDescent="0.2">
      <c r="A1426" s="916" t="s">
        <v>5035</v>
      </c>
      <c r="B1426" s="943" t="s">
        <v>3092</v>
      </c>
      <c r="C1426" s="916" t="s">
        <v>5598</v>
      </c>
      <c r="D1426" s="943" t="s">
        <v>5040</v>
      </c>
      <c r="E1426" s="1144">
        <v>1200</v>
      </c>
      <c r="F1426" s="943" t="s">
        <v>5934</v>
      </c>
      <c r="G1426" s="1245" t="s">
        <v>5935</v>
      </c>
      <c r="H1426" s="1245" t="s">
        <v>3187</v>
      </c>
      <c r="I1426" s="1147"/>
      <c r="J1426" s="943"/>
      <c r="K1426" s="944">
        <v>1</v>
      </c>
      <c r="L1426" s="898">
        <v>7</v>
      </c>
      <c r="M1426" s="899">
        <f t="shared" si="54"/>
        <v>8400</v>
      </c>
      <c r="N1426" s="898">
        <v>1</v>
      </c>
      <c r="O1426" s="898">
        <v>12</v>
      </c>
      <c r="P1426" s="899">
        <f t="shared" si="55"/>
        <v>14400</v>
      </c>
    </row>
    <row r="1427" spans="1:16" ht="24" x14ac:dyDescent="0.2">
      <c r="A1427" s="916" t="s">
        <v>5035</v>
      </c>
      <c r="B1427" s="943" t="s">
        <v>3092</v>
      </c>
      <c r="C1427" s="916" t="s">
        <v>5598</v>
      </c>
      <c r="D1427" s="943" t="s">
        <v>5040</v>
      </c>
      <c r="E1427" s="1144">
        <v>1923</v>
      </c>
      <c r="F1427" s="943" t="s">
        <v>5936</v>
      </c>
      <c r="G1427" s="1245" t="s">
        <v>5937</v>
      </c>
      <c r="H1427" s="1245" t="s">
        <v>5043</v>
      </c>
      <c r="I1427" s="1147"/>
      <c r="J1427" s="943"/>
      <c r="K1427" s="944">
        <v>1</v>
      </c>
      <c r="L1427" s="898">
        <v>7</v>
      </c>
      <c r="M1427" s="899">
        <f t="shared" si="54"/>
        <v>13461</v>
      </c>
      <c r="N1427" s="898">
        <v>1</v>
      </c>
      <c r="O1427" s="898">
        <v>12</v>
      </c>
      <c r="P1427" s="899">
        <f t="shared" si="55"/>
        <v>23076</v>
      </c>
    </row>
    <row r="1428" spans="1:16" x14ac:dyDescent="0.2">
      <c r="A1428" s="916" t="s">
        <v>5035</v>
      </c>
      <c r="B1428" s="943" t="s">
        <v>3092</v>
      </c>
      <c r="C1428" s="916" t="s">
        <v>5598</v>
      </c>
      <c r="D1428" s="943" t="s">
        <v>5040</v>
      </c>
      <c r="E1428" s="1144">
        <v>1200</v>
      </c>
      <c r="F1428" s="943" t="s">
        <v>5938</v>
      </c>
      <c r="G1428" s="1245" t="s">
        <v>5939</v>
      </c>
      <c r="H1428" s="1245" t="s">
        <v>3187</v>
      </c>
      <c r="I1428" s="1147"/>
      <c r="J1428" s="943"/>
      <c r="K1428" s="944">
        <v>1</v>
      </c>
      <c r="L1428" s="898">
        <v>7</v>
      </c>
      <c r="M1428" s="899">
        <f t="shared" si="54"/>
        <v>8400</v>
      </c>
      <c r="N1428" s="898">
        <v>1</v>
      </c>
      <c r="O1428" s="898">
        <v>12</v>
      </c>
      <c r="P1428" s="899">
        <f t="shared" si="55"/>
        <v>14400</v>
      </c>
    </row>
    <row r="1429" spans="1:16" x14ac:dyDescent="0.2">
      <c r="A1429" s="916" t="s">
        <v>5035</v>
      </c>
      <c r="B1429" s="943" t="s">
        <v>3092</v>
      </c>
      <c r="C1429" s="916" t="s">
        <v>5598</v>
      </c>
      <c r="D1429" s="943" t="s">
        <v>5040</v>
      </c>
      <c r="E1429" s="1144">
        <v>1200</v>
      </c>
      <c r="F1429" s="943" t="s">
        <v>5940</v>
      </c>
      <c r="G1429" s="1245" t="s">
        <v>5941</v>
      </c>
      <c r="H1429" s="1245" t="s">
        <v>5657</v>
      </c>
      <c r="I1429" s="1147"/>
      <c r="J1429" s="943"/>
      <c r="K1429" s="944">
        <v>1</v>
      </c>
      <c r="L1429" s="898">
        <v>7</v>
      </c>
      <c r="M1429" s="899">
        <f t="shared" si="54"/>
        <v>8400</v>
      </c>
      <c r="N1429" s="898">
        <v>1</v>
      </c>
      <c r="O1429" s="898">
        <v>12</v>
      </c>
      <c r="P1429" s="899">
        <f t="shared" si="55"/>
        <v>14400</v>
      </c>
    </row>
    <row r="1430" spans="1:16" ht="24" x14ac:dyDescent="0.2">
      <c r="A1430" s="916" t="s">
        <v>5035</v>
      </c>
      <c r="B1430" s="943" t="s">
        <v>3092</v>
      </c>
      <c r="C1430" s="916" t="s">
        <v>5598</v>
      </c>
      <c r="D1430" s="943" t="s">
        <v>491</v>
      </c>
      <c r="E1430" s="1144">
        <v>1900</v>
      </c>
      <c r="F1430" s="943" t="s">
        <v>5942</v>
      </c>
      <c r="G1430" s="1245" t="s">
        <v>5943</v>
      </c>
      <c r="H1430" s="1245" t="s">
        <v>3100</v>
      </c>
      <c r="I1430" s="1147"/>
      <c r="J1430" s="943"/>
      <c r="K1430" s="944">
        <v>1</v>
      </c>
      <c r="L1430" s="898">
        <v>7</v>
      </c>
      <c r="M1430" s="899">
        <f t="shared" si="54"/>
        <v>13300</v>
      </c>
      <c r="N1430" s="898">
        <v>1</v>
      </c>
      <c r="O1430" s="898">
        <v>12</v>
      </c>
      <c r="P1430" s="899">
        <f t="shared" si="55"/>
        <v>22800</v>
      </c>
    </row>
    <row r="1431" spans="1:16" x14ac:dyDescent="0.2">
      <c r="A1431" s="916" t="s">
        <v>5035</v>
      </c>
      <c r="B1431" s="943" t="s">
        <v>3092</v>
      </c>
      <c r="C1431" s="916" t="s">
        <v>5598</v>
      </c>
      <c r="D1431" s="943" t="s">
        <v>5040</v>
      </c>
      <c r="E1431" s="1144">
        <v>1923</v>
      </c>
      <c r="F1431" s="943" t="s">
        <v>5944</v>
      </c>
      <c r="G1431" s="1245" t="s">
        <v>5945</v>
      </c>
      <c r="H1431" s="1245" t="s">
        <v>581</v>
      </c>
      <c r="I1431" s="1147"/>
      <c r="J1431" s="943"/>
      <c r="K1431" s="944">
        <v>1</v>
      </c>
      <c r="L1431" s="898">
        <v>7</v>
      </c>
      <c r="M1431" s="899">
        <f t="shared" si="54"/>
        <v>13461</v>
      </c>
      <c r="N1431" s="898">
        <v>1</v>
      </c>
      <c r="O1431" s="898">
        <v>12</v>
      </c>
      <c r="P1431" s="899">
        <f t="shared" si="55"/>
        <v>23076</v>
      </c>
    </row>
    <row r="1432" spans="1:16" ht="24" x14ac:dyDescent="0.2">
      <c r="A1432" s="916" t="s">
        <v>5035</v>
      </c>
      <c r="B1432" s="943" t="s">
        <v>3092</v>
      </c>
      <c r="C1432" s="916" t="s">
        <v>5598</v>
      </c>
      <c r="D1432" s="943" t="s">
        <v>5040</v>
      </c>
      <c r="E1432" s="1144">
        <v>1923</v>
      </c>
      <c r="F1432" s="943" t="s">
        <v>5946</v>
      </c>
      <c r="G1432" s="1245" t="s">
        <v>5947</v>
      </c>
      <c r="H1432" s="1245" t="s">
        <v>580</v>
      </c>
      <c r="I1432" s="1147"/>
      <c r="J1432" s="943"/>
      <c r="K1432" s="944">
        <v>1</v>
      </c>
      <c r="L1432" s="898">
        <v>7</v>
      </c>
      <c r="M1432" s="899">
        <f t="shared" si="54"/>
        <v>13461</v>
      </c>
      <c r="N1432" s="898">
        <v>1</v>
      </c>
      <c r="O1432" s="898">
        <v>12</v>
      </c>
      <c r="P1432" s="899">
        <f t="shared" si="55"/>
        <v>23076</v>
      </c>
    </row>
    <row r="1433" spans="1:16" ht="24" x14ac:dyDescent="0.2">
      <c r="A1433" s="916" t="s">
        <v>5035</v>
      </c>
      <c r="B1433" s="943" t="s">
        <v>3092</v>
      </c>
      <c r="C1433" s="916" t="s">
        <v>5598</v>
      </c>
      <c r="D1433" s="943" t="s">
        <v>5040</v>
      </c>
      <c r="E1433" s="1144">
        <v>3000</v>
      </c>
      <c r="F1433" s="943" t="s">
        <v>5948</v>
      </c>
      <c r="G1433" s="1245" t="s">
        <v>5949</v>
      </c>
      <c r="H1433" s="1245" t="s">
        <v>5043</v>
      </c>
      <c r="I1433" s="1147"/>
      <c r="J1433" s="943"/>
      <c r="K1433" s="944">
        <v>1</v>
      </c>
      <c r="L1433" s="898">
        <v>7</v>
      </c>
      <c r="M1433" s="899">
        <f t="shared" si="54"/>
        <v>21000</v>
      </c>
      <c r="N1433" s="898">
        <v>1</v>
      </c>
      <c r="O1433" s="898">
        <v>12</v>
      </c>
      <c r="P1433" s="899">
        <f t="shared" si="55"/>
        <v>36000</v>
      </c>
    </row>
    <row r="1434" spans="1:16" ht="24" x14ac:dyDescent="0.2">
      <c r="A1434" s="916" t="s">
        <v>5035</v>
      </c>
      <c r="B1434" s="943" t="s">
        <v>3092</v>
      </c>
      <c r="C1434" s="916" t="s">
        <v>5598</v>
      </c>
      <c r="D1434" s="943" t="s">
        <v>5040</v>
      </c>
      <c r="E1434" s="1144">
        <v>1923</v>
      </c>
      <c r="F1434" s="943" t="s">
        <v>5950</v>
      </c>
      <c r="G1434" s="1245" t="s">
        <v>5951</v>
      </c>
      <c r="H1434" s="1245" t="s">
        <v>580</v>
      </c>
      <c r="I1434" s="1147"/>
      <c r="J1434" s="943"/>
      <c r="K1434" s="944">
        <v>1</v>
      </c>
      <c r="L1434" s="898">
        <v>7</v>
      </c>
      <c r="M1434" s="899">
        <f t="shared" si="54"/>
        <v>13461</v>
      </c>
      <c r="N1434" s="898">
        <v>1</v>
      </c>
      <c r="O1434" s="898">
        <v>12</v>
      </c>
      <c r="P1434" s="899">
        <f t="shared" si="55"/>
        <v>23076</v>
      </c>
    </row>
    <row r="1435" spans="1:16" ht="24" x14ac:dyDescent="0.2">
      <c r="A1435" s="916" t="s">
        <v>5035</v>
      </c>
      <c r="B1435" s="943" t="s">
        <v>3092</v>
      </c>
      <c r="C1435" s="916" t="s">
        <v>5598</v>
      </c>
      <c r="D1435" s="943" t="s">
        <v>491</v>
      </c>
      <c r="E1435" s="1144">
        <v>1200</v>
      </c>
      <c r="F1435" s="943" t="s">
        <v>5952</v>
      </c>
      <c r="G1435" s="1245" t="s">
        <v>5953</v>
      </c>
      <c r="H1435" s="1245" t="s">
        <v>3112</v>
      </c>
      <c r="I1435" s="1147"/>
      <c r="J1435" s="943"/>
      <c r="K1435" s="944">
        <v>1</v>
      </c>
      <c r="L1435" s="898">
        <v>7</v>
      </c>
      <c r="M1435" s="899">
        <f t="shared" si="54"/>
        <v>8400</v>
      </c>
      <c r="N1435" s="898">
        <v>1</v>
      </c>
      <c r="O1435" s="898">
        <v>12</v>
      </c>
      <c r="P1435" s="899">
        <f t="shared" si="55"/>
        <v>14400</v>
      </c>
    </row>
    <row r="1436" spans="1:16" x14ac:dyDescent="0.2">
      <c r="A1436" s="916" t="s">
        <v>5035</v>
      </c>
      <c r="B1436" s="943" t="s">
        <v>3092</v>
      </c>
      <c r="C1436" s="916" t="s">
        <v>5598</v>
      </c>
      <c r="D1436" s="943" t="s">
        <v>5040</v>
      </c>
      <c r="E1436" s="1144">
        <v>2931</v>
      </c>
      <c r="F1436" s="943" t="s">
        <v>5954</v>
      </c>
      <c r="G1436" s="1245" t="s">
        <v>5955</v>
      </c>
      <c r="H1436" s="1245" t="s">
        <v>517</v>
      </c>
      <c r="I1436" s="1147"/>
      <c r="J1436" s="943"/>
      <c r="K1436" s="944">
        <v>1</v>
      </c>
      <c r="L1436" s="898">
        <v>7</v>
      </c>
      <c r="M1436" s="899">
        <f t="shared" si="54"/>
        <v>20517</v>
      </c>
      <c r="N1436" s="898">
        <v>1</v>
      </c>
      <c r="O1436" s="898">
        <v>12</v>
      </c>
      <c r="P1436" s="899">
        <f t="shared" si="55"/>
        <v>35172</v>
      </c>
    </row>
    <row r="1437" spans="1:16" ht="24" x14ac:dyDescent="0.2">
      <c r="A1437" s="916" t="s">
        <v>5035</v>
      </c>
      <c r="B1437" s="943" t="s">
        <v>3092</v>
      </c>
      <c r="C1437" s="916" t="s">
        <v>5598</v>
      </c>
      <c r="D1437" s="943" t="s">
        <v>5040</v>
      </c>
      <c r="E1437" s="1144">
        <v>1932</v>
      </c>
      <c r="F1437" s="943" t="s">
        <v>5956</v>
      </c>
      <c r="G1437" s="1245" t="s">
        <v>5957</v>
      </c>
      <c r="H1437" s="1245" t="s">
        <v>5043</v>
      </c>
      <c r="I1437" s="1147"/>
      <c r="J1437" s="943"/>
      <c r="K1437" s="944">
        <v>1</v>
      </c>
      <c r="L1437" s="898">
        <v>7</v>
      </c>
      <c r="M1437" s="899">
        <f t="shared" si="54"/>
        <v>13524</v>
      </c>
      <c r="N1437" s="898">
        <v>1</v>
      </c>
      <c r="O1437" s="898">
        <v>12</v>
      </c>
      <c r="P1437" s="899">
        <f t="shared" si="55"/>
        <v>23184</v>
      </c>
    </row>
    <row r="1438" spans="1:16" ht="24" x14ac:dyDescent="0.2">
      <c r="A1438" s="916" t="s">
        <v>5035</v>
      </c>
      <c r="B1438" s="943" t="s">
        <v>3092</v>
      </c>
      <c r="C1438" s="916" t="s">
        <v>5598</v>
      </c>
      <c r="D1438" s="943" t="s">
        <v>5040</v>
      </c>
      <c r="E1438" s="1144">
        <v>3000</v>
      </c>
      <c r="F1438" s="943" t="s">
        <v>5958</v>
      </c>
      <c r="G1438" s="1245" t="s">
        <v>5959</v>
      </c>
      <c r="H1438" s="1245" t="s">
        <v>5043</v>
      </c>
      <c r="I1438" s="1147"/>
      <c r="J1438" s="943"/>
      <c r="K1438" s="944">
        <v>1</v>
      </c>
      <c r="L1438" s="898">
        <v>7</v>
      </c>
      <c r="M1438" s="899">
        <f t="shared" si="54"/>
        <v>21000</v>
      </c>
      <c r="N1438" s="898">
        <v>1</v>
      </c>
      <c r="O1438" s="898">
        <v>12</v>
      </c>
      <c r="P1438" s="899">
        <f t="shared" si="55"/>
        <v>36000</v>
      </c>
    </row>
    <row r="1439" spans="1:16" ht="24" x14ac:dyDescent="0.2">
      <c r="A1439" s="916" t="s">
        <v>5035</v>
      </c>
      <c r="B1439" s="943" t="s">
        <v>3092</v>
      </c>
      <c r="C1439" s="916" t="s">
        <v>5598</v>
      </c>
      <c r="D1439" s="943" t="s">
        <v>5040</v>
      </c>
      <c r="E1439" s="1144">
        <v>1200</v>
      </c>
      <c r="F1439" s="943" t="s">
        <v>5960</v>
      </c>
      <c r="G1439" s="1245" t="s">
        <v>5961</v>
      </c>
      <c r="H1439" s="1245" t="s">
        <v>5095</v>
      </c>
      <c r="I1439" s="1147"/>
      <c r="J1439" s="943"/>
      <c r="K1439" s="944">
        <v>1</v>
      </c>
      <c r="L1439" s="898">
        <v>7</v>
      </c>
      <c r="M1439" s="899">
        <f t="shared" si="54"/>
        <v>8400</v>
      </c>
      <c r="N1439" s="898">
        <v>1</v>
      </c>
      <c r="O1439" s="898">
        <v>12</v>
      </c>
      <c r="P1439" s="899">
        <f t="shared" si="55"/>
        <v>14400</v>
      </c>
    </row>
    <row r="1440" spans="1:16" x14ac:dyDescent="0.2">
      <c r="A1440" s="916" t="s">
        <v>5035</v>
      </c>
      <c r="B1440" s="943" t="s">
        <v>3092</v>
      </c>
      <c r="C1440" s="916" t="s">
        <v>5598</v>
      </c>
      <c r="D1440" s="943" t="s">
        <v>5040</v>
      </c>
      <c r="E1440" s="1144">
        <v>1200</v>
      </c>
      <c r="F1440" s="943" t="s">
        <v>5962</v>
      </c>
      <c r="G1440" s="1245" t="s">
        <v>5963</v>
      </c>
      <c r="H1440" s="1245" t="s">
        <v>5657</v>
      </c>
      <c r="I1440" s="1147"/>
      <c r="J1440" s="943"/>
      <c r="K1440" s="944">
        <v>1</v>
      </c>
      <c r="L1440" s="898">
        <v>7</v>
      </c>
      <c r="M1440" s="899">
        <f t="shared" si="54"/>
        <v>8400</v>
      </c>
      <c r="N1440" s="898">
        <v>1</v>
      </c>
      <c r="O1440" s="898">
        <v>12</v>
      </c>
      <c r="P1440" s="899">
        <f t="shared" si="55"/>
        <v>14400</v>
      </c>
    </row>
    <row r="1441" spans="1:16" ht="24" x14ac:dyDescent="0.2">
      <c r="A1441" s="916" t="s">
        <v>5035</v>
      </c>
      <c r="B1441" s="943" t="s">
        <v>3092</v>
      </c>
      <c r="C1441" s="916" t="s">
        <v>5598</v>
      </c>
      <c r="D1441" s="943" t="s">
        <v>5040</v>
      </c>
      <c r="E1441" s="1144">
        <v>1923</v>
      </c>
      <c r="F1441" s="943" t="s">
        <v>5964</v>
      </c>
      <c r="G1441" s="1245" t="s">
        <v>5965</v>
      </c>
      <c r="H1441" s="1245" t="s">
        <v>5043</v>
      </c>
      <c r="I1441" s="1147"/>
      <c r="J1441" s="943"/>
      <c r="K1441" s="944">
        <v>1</v>
      </c>
      <c r="L1441" s="898">
        <v>7</v>
      </c>
      <c r="M1441" s="899">
        <f t="shared" si="54"/>
        <v>13461</v>
      </c>
      <c r="N1441" s="898">
        <v>1</v>
      </c>
      <c r="O1441" s="898">
        <v>12</v>
      </c>
      <c r="P1441" s="899">
        <f t="shared" si="55"/>
        <v>23076</v>
      </c>
    </row>
    <row r="1442" spans="1:16" x14ac:dyDescent="0.2">
      <c r="A1442" s="916" t="s">
        <v>5035</v>
      </c>
      <c r="B1442" s="943" t="s">
        <v>3092</v>
      </c>
      <c r="C1442" s="916" t="s">
        <v>5598</v>
      </c>
      <c r="D1442" s="943" t="s">
        <v>5040</v>
      </c>
      <c r="E1442" s="1144">
        <v>5500</v>
      </c>
      <c r="F1442" s="943" t="s">
        <v>5966</v>
      </c>
      <c r="G1442" s="1245" t="s">
        <v>5967</v>
      </c>
      <c r="H1442" s="1245" t="s">
        <v>517</v>
      </c>
      <c r="I1442" s="1147"/>
      <c r="J1442" s="943"/>
      <c r="K1442" s="944">
        <v>1</v>
      </c>
      <c r="L1442" s="898">
        <v>7</v>
      </c>
      <c r="M1442" s="899">
        <f t="shared" si="54"/>
        <v>38500</v>
      </c>
      <c r="N1442" s="898">
        <v>1</v>
      </c>
      <c r="O1442" s="898">
        <v>12</v>
      </c>
      <c r="P1442" s="899">
        <f t="shared" si="55"/>
        <v>66000</v>
      </c>
    </row>
    <row r="1443" spans="1:16" x14ac:dyDescent="0.2">
      <c r="A1443" s="916" t="s">
        <v>5035</v>
      </c>
      <c r="B1443" s="943" t="s">
        <v>3092</v>
      </c>
      <c r="C1443" s="916" t="s">
        <v>5598</v>
      </c>
      <c r="D1443" s="943" t="s">
        <v>491</v>
      </c>
      <c r="E1443" s="1144">
        <v>2054</v>
      </c>
      <c r="F1443" s="943" t="s">
        <v>5968</v>
      </c>
      <c r="G1443" s="1245" t="s">
        <v>5969</v>
      </c>
      <c r="H1443" s="1245" t="s">
        <v>3129</v>
      </c>
      <c r="I1443" s="1147"/>
      <c r="J1443" s="943"/>
      <c r="K1443" s="944">
        <v>1</v>
      </c>
      <c r="L1443" s="898">
        <v>7</v>
      </c>
      <c r="M1443" s="899">
        <f t="shared" si="54"/>
        <v>14378</v>
      </c>
      <c r="N1443" s="898">
        <v>1</v>
      </c>
      <c r="O1443" s="898">
        <v>12</v>
      </c>
      <c r="P1443" s="899">
        <f t="shared" si="55"/>
        <v>24648</v>
      </c>
    </row>
    <row r="1444" spans="1:16" ht="24" x14ac:dyDescent="0.2">
      <c r="A1444" s="916" t="s">
        <v>5035</v>
      </c>
      <c r="B1444" s="943" t="s">
        <v>3092</v>
      </c>
      <c r="C1444" s="916" t="s">
        <v>5598</v>
      </c>
      <c r="D1444" s="943" t="s">
        <v>491</v>
      </c>
      <c r="E1444" s="1144">
        <v>1900</v>
      </c>
      <c r="F1444" s="943" t="s">
        <v>5970</v>
      </c>
      <c r="G1444" s="1245" t="s">
        <v>5971</v>
      </c>
      <c r="H1444" s="1245" t="s">
        <v>5109</v>
      </c>
      <c r="I1444" s="1147"/>
      <c r="J1444" s="943"/>
      <c r="K1444" s="944">
        <v>1</v>
      </c>
      <c r="L1444" s="898">
        <v>7</v>
      </c>
      <c r="M1444" s="899">
        <f t="shared" ref="M1444:M1507" si="56">+L1444*E1444</f>
        <v>13300</v>
      </c>
      <c r="N1444" s="898">
        <v>1</v>
      </c>
      <c r="O1444" s="898">
        <v>12</v>
      </c>
      <c r="P1444" s="899">
        <f t="shared" ref="P1444:P1507" si="57">+O1444*E1444</f>
        <v>22800</v>
      </c>
    </row>
    <row r="1445" spans="1:16" x14ac:dyDescent="0.2">
      <c r="A1445" s="916" t="s">
        <v>5035</v>
      </c>
      <c r="B1445" s="943" t="s">
        <v>3092</v>
      </c>
      <c r="C1445" s="916" t="s">
        <v>5598</v>
      </c>
      <c r="D1445" s="943" t="s">
        <v>5040</v>
      </c>
      <c r="E1445" s="1144">
        <v>7000</v>
      </c>
      <c r="F1445" s="943" t="s">
        <v>5972</v>
      </c>
      <c r="G1445" s="1245" t="s">
        <v>5973</v>
      </c>
      <c r="H1445" s="1245" t="s">
        <v>5077</v>
      </c>
      <c r="I1445" s="1147"/>
      <c r="J1445" s="943"/>
      <c r="K1445" s="944">
        <v>1</v>
      </c>
      <c r="L1445" s="898">
        <v>7</v>
      </c>
      <c r="M1445" s="899">
        <f t="shared" si="56"/>
        <v>49000</v>
      </c>
      <c r="N1445" s="898">
        <v>1</v>
      </c>
      <c r="O1445" s="898">
        <v>12</v>
      </c>
      <c r="P1445" s="899">
        <f t="shared" si="57"/>
        <v>84000</v>
      </c>
    </row>
    <row r="1446" spans="1:16" x14ac:dyDescent="0.2">
      <c r="A1446" s="916" t="s">
        <v>5035</v>
      </c>
      <c r="B1446" s="943" t="s">
        <v>3092</v>
      </c>
      <c r="C1446" s="916" t="s">
        <v>5598</v>
      </c>
      <c r="D1446" s="943" t="s">
        <v>5040</v>
      </c>
      <c r="E1446" s="1144">
        <v>2931</v>
      </c>
      <c r="F1446" s="943" t="s">
        <v>5974</v>
      </c>
      <c r="G1446" s="1245" t="s">
        <v>5975</v>
      </c>
      <c r="H1446" s="1245" t="s">
        <v>5106</v>
      </c>
      <c r="I1446" s="1147"/>
      <c r="J1446" s="943"/>
      <c r="K1446" s="944">
        <v>1</v>
      </c>
      <c r="L1446" s="898">
        <v>7</v>
      </c>
      <c r="M1446" s="899">
        <f t="shared" si="56"/>
        <v>20517</v>
      </c>
      <c r="N1446" s="898">
        <v>1</v>
      </c>
      <c r="O1446" s="898">
        <v>12</v>
      </c>
      <c r="P1446" s="899">
        <f t="shared" si="57"/>
        <v>35172</v>
      </c>
    </row>
    <row r="1447" spans="1:16" x14ac:dyDescent="0.2">
      <c r="A1447" s="916" t="s">
        <v>5035</v>
      </c>
      <c r="B1447" s="943" t="s">
        <v>3092</v>
      </c>
      <c r="C1447" s="916" t="s">
        <v>5598</v>
      </c>
      <c r="D1447" s="943" t="s">
        <v>5040</v>
      </c>
      <c r="E1447" s="1144">
        <v>5500</v>
      </c>
      <c r="F1447" s="943" t="s">
        <v>5976</v>
      </c>
      <c r="G1447" s="1245" t="s">
        <v>5977</v>
      </c>
      <c r="H1447" s="1245" t="s">
        <v>5112</v>
      </c>
      <c r="I1447" s="1147"/>
      <c r="J1447" s="943"/>
      <c r="K1447" s="944">
        <v>1</v>
      </c>
      <c r="L1447" s="898">
        <v>7</v>
      </c>
      <c r="M1447" s="899">
        <f t="shared" si="56"/>
        <v>38500</v>
      </c>
      <c r="N1447" s="898">
        <v>1</v>
      </c>
      <c r="O1447" s="898">
        <v>12</v>
      </c>
      <c r="P1447" s="899">
        <f t="shared" si="57"/>
        <v>66000</v>
      </c>
    </row>
    <row r="1448" spans="1:16" x14ac:dyDescent="0.2">
      <c r="A1448" s="916" t="s">
        <v>5035</v>
      </c>
      <c r="B1448" s="943" t="s">
        <v>3092</v>
      </c>
      <c r="C1448" s="916" t="s">
        <v>5598</v>
      </c>
      <c r="D1448" s="943" t="s">
        <v>5040</v>
      </c>
      <c r="E1448" s="1144">
        <v>1500</v>
      </c>
      <c r="F1448" s="943" t="s">
        <v>5978</v>
      </c>
      <c r="G1448" s="1245" t="s">
        <v>5979</v>
      </c>
      <c r="H1448" s="1245" t="s">
        <v>3164</v>
      </c>
      <c r="I1448" s="1147"/>
      <c r="J1448" s="943"/>
      <c r="K1448" s="944">
        <v>1</v>
      </c>
      <c r="L1448" s="898">
        <v>7</v>
      </c>
      <c r="M1448" s="899">
        <f t="shared" si="56"/>
        <v>10500</v>
      </c>
      <c r="N1448" s="898">
        <v>1</v>
      </c>
      <c r="O1448" s="898">
        <v>12</v>
      </c>
      <c r="P1448" s="899">
        <f t="shared" si="57"/>
        <v>18000</v>
      </c>
    </row>
    <row r="1449" spans="1:16" x14ac:dyDescent="0.2">
      <c r="A1449" s="916" t="s">
        <v>5035</v>
      </c>
      <c r="B1449" s="943" t="s">
        <v>3092</v>
      </c>
      <c r="C1449" s="916" t="s">
        <v>5598</v>
      </c>
      <c r="D1449" s="943" t="s">
        <v>5040</v>
      </c>
      <c r="E1449" s="1144">
        <v>1200</v>
      </c>
      <c r="F1449" s="943" t="s">
        <v>5980</v>
      </c>
      <c r="G1449" s="1245" t="s">
        <v>5981</v>
      </c>
      <c r="H1449" s="1245" t="s">
        <v>5652</v>
      </c>
      <c r="I1449" s="1147"/>
      <c r="J1449" s="943"/>
      <c r="K1449" s="944">
        <v>1</v>
      </c>
      <c r="L1449" s="898">
        <v>7</v>
      </c>
      <c r="M1449" s="899">
        <f t="shared" si="56"/>
        <v>8400</v>
      </c>
      <c r="N1449" s="898">
        <v>1</v>
      </c>
      <c r="O1449" s="898">
        <v>12</v>
      </c>
      <c r="P1449" s="899">
        <f t="shared" si="57"/>
        <v>14400</v>
      </c>
    </row>
    <row r="1450" spans="1:16" x14ac:dyDescent="0.2">
      <c r="A1450" s="916" t="s">
        <v>5035</v>
      </c>
      <c r="B1450" s="943" t="s">
        <v>3092</v>
      </c>
      <c r="C1450" s="916" t="s">
        <v>5598</v>
      </c>
      <c r="D1450" s="943" t="s">
        <v>5040</v>
      </c>
      <c r="E1450" s="1144">
        <v>1200</v>
      </c>
      <c r="F1450" s="943" t="s">
        <v>5982</v>
      </c>
      <c r="G1450" s="1245" t="s">
        <v>5983</v>
      </c>
      <c r="H1450" s="1245" t="s">
        <v>3187</v>
      </c>
      <c r="I1450" s="1147"/>
      <c r="J1450" s="943"/>
      <c r="K1450" s="944">
        <v>1</v>
      </c>
      <c r="L1450" s="898">
        <v>7</v>
      </c>
      <c r="M1450" s="899">
        <f t="shared" si="56"/>
        <v>8400</v>
      </c>
      <c r="N1450" s="898">
        <v>1</v>
      </c>
      <c r="O1450" s="898">
        <v>12</v>
      </c>
      <c r="P1450" s="899">
        <f t="shared" si="57"/>
        <v>14400</v>
      </c>
    </row>
    <row r="1451" spans="1:16" ht="24" x14ac:dyDescent="0.2">
      <c r="A1451" s="916" t="s">
        <v>5035</v>
      </c>
      <c r="B1451" s="943" t="s">
        <v>3092</v>
      </c>
      <c r="C1451" s="916" t="s">
        <v>5598</v>
      </c>
      <c r="D1451" s="943" t="s">
        <v>5040</v>
      </c>
      <c r="E1451" s="1144">
        <v>1923</v>
      </c>
      <c r="F1451" s="943" t="s">
        <v>5984</v>
      </c>
      <c r="G1451" s="1245" t="s">
        <v>5985</v>
      </c>
      <c r="H1451" s="1245" t="s">
        <v>5043</v>
      </c>
      <c r="I1451" s="1147"/>
      <c r="J1451" s="943"/>
      <c r="K1451" s="944">
        <v>1</v>
      </c>
      <c r="L1451" s="898">
        <v>7</v>
      </c>
      <c r="M1451" s="899">
        <f t="shared" si="56"/>
        <v>13461</v>
      </c>
      <c r="N1451" s="898">
        <v>1</v>
      </c>
      <c r="O1451" s="898">
        <v>12</v>
      </c>
      <c r="P1451" s="899">
        <f t="shared" si="57"/>
        <v>23076</v>
      </c>
    </row>
    <row r="1452" spans="1:16" ht="24" x14ac:dyDescent="0.2">
      <c r="A1452" s="916" t="s">
        <v>5035</v>
      </c>
      <c r="B1452" s="943" t="s">
        <v>3092</v>
      </c>
      <c r="C1452" s="916" t="s">
        <v>5598</v>
      </c>
      <c r="D1452" s="943" t="s">
        <v>491</v>
      </c>
      <c r="E1452" s="1144">
        <v>1200</v>
      </c>
      <c r="F1452" s="943" t="s">
        <v>5986</v>
      </c>
      <c r="G1452" s="1245" t="s">
        <v>5987</v>
      </c>
      <c r="H1452" s="1245" t="s">
        <v>3112</v>
      </c>
      <c r="I1452" s="1147"/>
      <c r="J1452" s="943"/>
      <c r="K1452" s="944">
        <v>1</v>
      </c>
      <c r="L1452" s="898">
        <v>7</v>
      </c>
      <c r="M1452" s="899">
        <f t="shared" si="56"/>
        <v>8400</v>
      </c>
      <c r="N1452" s="898">
        <v>1</v>
      </c>
      <c r="O1452" s="898">
        <v>12</v>
      </c>
      <c r="P1452" s="899">
        <f t="shared" si="57"/>
        <v>14400</v>
      </c>
    </row>
    <row r="1453" spans="1:16" x14ac:dyDescent="0.2">
      <c r="A1453" s="916" t="s">
        <v>5035</v>
      </c>
      <c r="B1453" s="943" t="s">
        <v>3092</v>
      </c>
      <c r="C1453" s="916" t="s">
        <v>5598</v>
      </c>
      <c r="D1453" s="943" t="s">
        <v>5040</v>
      </c>
      <c r="E1453" s="1144">
        <v>1200</v>
      </c>
      <c r="F1453" s="943" t="s">
        <v>5988</v>
      </c>
      <c r="G1453" s="1245" t="s">
        <v>5989</v>
      </c>
      <c r="H1453" s="1245" t="s">
        <v>3187</v>
      </c>
      <c r="I1453" s="1147"/>
      <c r="J1453" s="943"/>
      <c r="K1453" s="944">
        <v>1</v>
      </c>
      <c r="L1453" s="898">
        <v>7</v>
      </c>
      <c r="M1453" s="899">
        <f t="shared" si="56"/>
        <v>8400</v>
      </c>
      <c r="N1453" s="898">
        <v>1</v>
      </c>
      <c r="O1453" s="898">
        <v>12</v>
      </c>
      <c r="P1453" s="899">
        <f t="shared" si="57"/>
        <v>14400</v>
      </c>
    </row>
    <row r="1454" spans="1:16" x14ac:dyDescent="0.2">
      <c r="A1454" s="916" t="s">
        <v>5035</v>
      </c>
      <c r="B1454" s="943" t="s">
        <v>3092</v>
      </c>
      <c r="C1454" s="916" t="s">
        <v>5598</v>
      </c>
      <c r="D1454" s="943" t="s">
        <v>5040</v>
      </c>
      <c r="E1454" s="1144">
        <v>1200</v>
      </c>
      <c r="F1454" s="943" t="s">
        <v>5990</v>
      </c>
      <c r="G1454" s="1245" t="s">
        <v>5991</v>
      </c>
      <c r="H1454" s="1245" t="s">
        <v>5084</v>
      </c>
      <c r="I1454" s="1147"/>
      <c r="J1454" s="943"/>
      <c r="K1454" s="944">
        <v>1</v>
      </c>
      <c r="L1454" s="898">
        <v>7</v>
      </c>
      <c r="M1454" s="899">
        <f t="shared" si="56"/>
        <v>8400</v>
      </c>
      <c r="N1454" s="898">
        <v>1</v>
      </c>
      <c r="O1454" s="898">
        <v>12</v>
      </c>
      <c r="P1454" s="899">
        <f t="shared" si="57"/>
        <v>14400</v>
      </c>
    </row>
    <row r="1455" spans="1:16" x14ac:dyDescent="0.2">
      <c r="A1455" s="916" t="s">
        <v>5035</v>
      </c>
      <c r="B1455" s="943" t="s">
        <v>3092</v>
      </c>
      <c r="C1455" s="916" t="s">
        <v>5598</v>
      </c>
      <c r="D1455" s="943" t="s">
        <v>5040</v>
      </c>
      <c r="E1455" s="1144">
        <v>1200</v>
      </c>
      <c r="F1455" s="943" t="s">
        <v>5992</v>
      </c>
      <c r="G1455" s="1245" t="s">
        <v>5993</v>
      </c>
      <c r="H1455" s="1245" t="s">
        <v>5084</v>
      </c>
      <c r="I1455" s="1147"/>
      <c r="J1455" s="943"/>
      <c r="K1455" s="944">
        <v>1</v>
      </c>
      <c r="L1455" s="898">
        <v>7</v>
      </c>
      <c r="M1455" s="899">
        <f t="shared" si="56"/>
        <v>8400</v>
      </c>
      <c r="N1455" s="898">
        <v>1</v>
      </c>
      <c r="O1455" s="898">
        <v>12</v>
      </c>
      <c r="P1455" s="899">
        <f t="shared" si="57"/>
        <v>14400</v>
      </c>
    </row>
    <row r="1456" spans="1:16" x14ac:dyDescent="0.2">
      <c r="A1456" s="916" t="s">
        <v>5035</v>
      </c>
      <c r="B1456" s="943" t="s">
        <v>3092</v>
      </c>
      <c r="C1456" s="916" t="s">
        <v>5598</v>
      </c>
      <c r="D1456" s="943" t="s">
        <v>5040</v>
      </c>
      <c r="E1456" s="1144">
        <v>1200</v>
      </c>
      <c r="F1456" s="943" t="s">
        <v>5994</v>
      </c>
      <c r="G1456" s="1245" t="s">
        <v>5995</v>
      </c>
      <c r="H1456" s="1245" t="s">
        <v>5796</v>
      </c>
      <c r="I1456" s="1147"/>
      <c r="J1456" s="943"/>
      <c r="K1456" s="944">
        <v>1</v>
      </c>
      <c r="L1456" s="898">
        <v>7</v>
      </c>
      <c r="M1456" s="899">
        <f t="shared" si="56"/>
        <v>8400</v>
      </c>
      <c r="N1456" s="898">
        <v>1</v>
      </c>
      <c r="O1456" s="898">
        <v>12</v>
      </c>
      <c r="P1456" s="899">
        <f t="shared" si="57"/>
        <v>14400</v>
      </c>
    </row>
    <row r="1457" spans="1:16" x14ac:dyDescent="0.2">
      <c r="A1457" s="916" t="s">
        <v>5035</v>
      </c>
      <c r="B1457" s="943" t="s">
        <v>3092</v>
      </c>
      <c r="C1457" s="916" t="s">
        <v>5598</v>
      </c>
      <c r="D1457" s="943" t="s">
        <v>5040</v>
      </c>
      <c r="E1457" s="1144">
        <v>1900</v>
      </c>
      <c r="F1457" s="943" t="s">
        <v>5996</v>
      </c>
      <c r="G1457" s="1245" t="s">
        <v>5997</v>
      </c>
      <c r="H1457" s="1245" t="s">
        <v>5998</v>
      </c>
      <c r="I1457" s="1147"/>
      <c r="J1457" s="943"/>
      <c r="K1457" s="944">
        <v>1</v>
      </c>
      <c r="L1457" s="898">
        <v>7</v>
      </c>
      <c r="M1457" s="899">
        <f t="shared" si="56"/>
        <v>13300</v>
      </c>
      <c r="N1457" s="898">
        <v>1</v>
      </c>
      <c r="O1457" s="898">
        <v>12</v>
      </c>
      <c r="P1457" s="899">
        <f t="shared" si="57"/>
        <v>22800</v>
      </c>
    </row>
    <row r="1458" spans="1:16" ht="24" x14ac:dyDescent="0.2">
      <c r="A1458" s="916" t="s">
        <v>5035</v>
      </c>
      <c r="B1458" s="943" t="s">
        <v>3092</v>
      </c>
      <c r="C1458" s="916" t="s">
        <v>5598</v>
      </c>
      <c r="D1458" s="943" t="s">
        <v>5040</v>
      </c>
      <c r="E1458" s="1144">
        <v>1923</v>
      </c>
      <c r="F1458" s="943" t="s">
        <v>5999</v>
      </c>
      <c r="G1458" s="1245" t="s">
        <v>6000</v>
      </c>
      <c r="H1458" s="1245" t="s">
        <v>5043</v>
      </c>
      <c r="I1458" s="1147"/>
      <c r="J1458" s="943"/>
      <c r="K1458" s="944">
        <v>1</v>
      </c>
      <c r="L1458" s="898">
        <v>7</v>
      </c>
      <c r="M1458" s="899">
        <f t="shared" si="56"/>
        <v>13461</v>
      </c>
      <c r="N1458" s="898">
        <v>1</v>
      </c>
      <c r="O1458" s="898">
        <v>12</v>
      </c>
      <c r="P1458" s="899">
        <f t="shared" si="57"/>
        <v>23076</v>
      </c>
    </row>
    <row r="1459" spans="1:16" ht="24" x14ac:dyDescent="0.2">
      <c r="A1459" s="916" t="s">
        <v>5035</v>
      </c>
      <c r="B1459" s="943" t="s">
        <v>3092</v>
      </c>
      <c r="C1459" s="916" t="s">
        <v>5598</v>
      </c>
      <c r="D1459" s="943" t="s">
        <v>5040</v>
      </c>
      <c r="E1459" s="1144">
        <v>3000</v>
      </c>
      <c r="F1459" s="943" t="s">
        <v>6001</v>
      </c>
      <c r="G1459" s="1245" t="s">
        <v>6002</v>
      </c>
      <c r="H1459" s="1245" t="s">
        <v>3841</v>
      </c>
      <c r="I1459" s="1147"/>
      <c r="J1459" s="943"/>
      <c r="K1459" s="944">
        <v>1</v>
      </c>
      <c r="L1459" s="898">
        <v>7</v>
      </c>
      <c r="M1459" s="899">
        <f t="shared" si="56"/>
        <v>21000</v>
      </c>
      <c r="N1459" s="898">
        <v>1</v>
      </c>
      <c r="O1459" s="898">
        <v>12</v>
      </c>
      <c r="P1459" s="899">
        <f t="shared" si="57"/>
        <v>36000</v>
      </c>
    </row>
    <row r="1460" spans="1:16" x14ac:dyDescent="0.2">
      <c r="A1460" s="916" t="s">
        <v>5035</v>
      </c>
      <c r="B1460" s="943" t="s">
        <v>3092</v>
      </c>
      <c r="C1460" s="916" t="s">
        <v>5598</v>
      </c>
      <c r="D1460" s="943" t="s">
        <v>5040</v>
      </c>
      <c r="E1460" s="1144">
        <v>1400</v>
      </c>
      <c r="F1460" s="943" t="s">
        <v>6003</v>
      </c>
      <c r="G1460" s="1245" t="s">
        <v>6004</v>
      </c>
      <c r="H1460" s="1245" t="s">
        <v>3164</v>
      </c>
      <c r="I1460" s="1147"/>
      <c r="J1460" s="943"/>
      <c r="K1460" s="944">
        <v>1</v>
      </c>
      <c r="L1460" s="898">
        <v>7</v>
      </c>
      <c r="M1460" s="899">
        <f t="shared" si="56"/>
        <v>9800</v>
      </c>
      <c r="N1460" s="898">
        <v>1</v>
      </c>
      <c r="O1460" s="898">
        <v>12</v>
      </c>
      <c r="P1460" s="899">
        <f t="shared" si="57"/>
        <v>16800</v>
      </c>
    </row>
    <row r="1461" spans="1:16" x14ac:dyDescent="0.2">
      <c r="A1461" s="916" t="s">
        <v>5035</v>
      </c>
      <c r="B1461" s="943" t="s">
        <v>3092</v>
      </c>
      <c r="C1461" s="916" t="s">
        <v>5598</v>
      </c>
      <c r="D1461" s="943" t="s">
        <v>5040</v>
      </c>
      <c r="E1461" s="1144">
        <v>5206</v>
      </c>
      <c r="F1461" s="943" t="s">
        <v>6005</v>
      </c>
      <c r="G1461" s="1245" t="s">
        <v>6006</v>
      </c>
      <c r="H1461" s="1245" t="s">
        <v>5077</v>
      </c>
      <c r="I1461" s="1147"/>
      <c r="J1461" s="943"/>
      <c r="K1461" s="944">
        <v>1</v>
      </c>
      <c r="L1461" s="898">
        <v>7</v>
      </c>
      <c r="M1461" s="899">
        <f t="shared" si="56"/>
        <v>36442</v>
      </c>
      <c r="N1461" s="898">
        <v>1</v>
      </c>
      <c r="O1461" s="898">
        <v>12</v>
      </c>
      <c r="P1461" s="899">
        <f t="shared" si="57"/>
        <v>62472</v>
      </c>
    </row>
    <row r="1462" spans="1:16" ht="24" x14ac:dyDescent="0.2">
      <c r="A1462" s="916" t="s">
        <v>5035</v>
      </c>
      <c r="B1462" s="943" t="s">
        <v>3092</v>
      </c>
      <c r="C1462" s="916" t="s">
        <v>5598</v>
      </c>
      <c r="D1462" s="943" t="s">
        <v>5040</v>
      </c>
      <c r="E1462" s="1144">
        <v>1923</v>
      </c>
      <c r="F1462" s="943" t="s">
        <v>6007</v>
      </c>
      <c r="G1462" s="1245" t="s">
        <v>6008</v>
      </c>
      <c r="H1462" s="1245" t="s">
        <v>5043</v>
      </c>
      <c r="I1462" s="1147"/>
      <c r="J1462" s="943"/>
      <c r="K1462" s="944">
        <v>1</v>
      </c>
      <c r="L1462" s="898">
        <v>7</v>
      </c>
      <c r="M1462" s="899">
        <f t="shared" si="56"/>
        <v>13461</v>
      </c>
      <c r="N1462" s="898">
        <v>1</v>
      </c>
      <c r="O1462" s="898">
        <v>12</v>
      </c>
      <c r="P1462" s="899">
        <f t="shared" si="57"/>
        <v>23076</v>
      </c>
    </row>
    <row r="1463" spans="1:16" ht="24" x14ac:dyDescent="0.2">
      <c r="A1463" s="916" t="s">
        <v>5035</v>
      </c>
      <c r="B1463" s="943" t="s">
        <v>3092</v>
      </c>
      <c r="C1463" s="916" t="s">
        <v>5598</v>
      </c>
      <c r="D1463" s="943" t="s">
        <v>5040</v>
      </c>
      <c r="E1463" s="1144">
        <v>5206.6000000000004</v>
      </c>
      <c r="F1463" s="943" t="s">
        <v>6009</v>
      </c>
      <c r="G1463" s="1245" t="s">
        <v>6010</v>
      </c>
      <c r="H1463" s="1245" t="s">
        <v>5077</v>
      </c>
      <c r="I1463" s="1147"/>
      <c r="J1463" s="943"/>
      <c r="K1463" s="944">
        <v>1</v>
      </c>
      <c r="L1463" s="898">
        <v>7</v>
      </c>
      <c r="M1463" s="899">
        <f t="shared" si="56"/>
        <v>36446.200000000004</v>
      </c>
      <c r="N1463" s="898">
        <v>1</v>
      </c>
      <c r="O1463" s="898">
        <v>12</v>
      </c>
      <c r="P1463" s="899">
        <f t="shared" si="57"/>
        <v>62479.200000000004</v>
      </c>
    </row>
    <row r="1464" spans="1:16" ht="24" x14ac:dyDescent="0.2">
      <c r="A1464" s="916" t="s">
        <v>5035</v>
      </c>
      <c r="B1464" s="943" t="s">
        <v>3092</v>
      </c>
      <c r="C1464" s="916" t="s">
        <v>5598</v>
      </c>
      <c r="D1464" s="943" t="s">
        <v>491</v>
      </c>
      <c r="E1464" s="1144">
        <v>1200</v>
      </c>
      <c r="F1464" s="943" t="s">
        <v>6011</v>
      </c>
      <c r="G1464" s="1245" t="s">
        <v>6012</v>
      </c>
      <c r="H1464" s="1245" t="s">
        <v>3112</v>
      </c>
      <c r="I1464" s="1147"/>
      <c r="J1464" s="943"/>
      <c r="K1464" s="944">
        <v>1</v>
      </c>
      <c r="L1464" s="898">
        <v>7</v>
      </c>
      <c r="M1464" s="899">
        <f t="shared" si="56"/>
        <v>8400</v>
      </c>
      <c r="N1464" s="898">
        <v>1</v>
      </c>
      <c r="O1464" s="898">
        <v>12</v>
      </c>
      <c r="P1464" s="899">
        <f t="shared" si="57"/>
        <v>14400</v>
      </c>
    </row>
    <row r="1465" spans="1:16" x14ac:dyDescent="0.2">
      <c r="A1465" s="916" t="s">
        <v>5035</v>
      </c>
      <c r="B1465" s="943" t="s">
        <v>3092</v>
      </c>
      <c r="C1465" s="916" t="s">
        <v>5598</v>
      </c>
      <c r="D1465" s="943" t="s">
        <v>5040</v>
      </c>
      <c r="E1465" s="1144">
        <v>7000</v>
      </c>
      <c r="F1465" s="943" t="s">
        <v>6013</v>
      </c>
      <c r="G1465" s="1245" t="s">
        <v>6014</v>
      </c>
      <c r="H1465" s="1245" t="s">
        <v>5077</v>
      </c>
      <c r="I1465" s="1147"/>
      <c r="J1465" s="943"/>
      <c r="K1465" s="944">
        <v>1</v>
      </c>
      <c r="L1465" s="898">
        <v>7</v>
      </c>
      <c r="M1465" s="899">
        <f t="shared" si="56"/>
        <v>49000</v>
      </c>
      <c r="N1465" s="898">
        <v>1</v>
      </c>
      <c r="O1465" s="898">
        <v>12</v>
      </c>
      <c r="P1465" s="899">
        <f t="shared" si="57"/>
        <v>84000</v>
      </c>
    </row>
    <row r="1466" spans="1:16" ht="24" x14ac:dyDescent="0.2">
      <c r="A1466" s="916" t="s">
        <v>5035</v>
      </c>
      <c r="B1466" s="943" t="s">
        <v>3092</v>
      </c>
      <c r="C1466" s="916" t="s">
        <v>5598</v>
      </c>
      <c r="D1466" s="943" t="s">
        <v>5040</v>
      </c>
      <c r="E1466" s="1144">
        <v>1200</v>
      </c>
      <c r="F1466" s="943" t="s">
        <v>6015</v>
      </c>
      <c r="G1466" s="1245" t="s">
        <v>6016</v>
      </c>
      <c r="H1466" s="1245" t="s">
        <v>5058</v>
      </c>
      <c r="I1466" s="1147"/>
      <c r="J1466" s="943"/>
      <c r="K1466" s="944">
        <v>1</v>
      </c>
      <c r="L1466" s="898">
        <v>7</v>
      </c>
      <c r="M1466" s="899">
        <f t="shared" si="56"/>
        <v>8400</v>
      </c>
      <c r="N1466" s="898">
        <v>1</v>
      </c>
      <c r="O1466" s="898">
        <v>12</v>
      </c>
      <c r="P1466" s="899">
        <f t="shared" si="57"/>
        <v>14400</v>
      </c>
    </row>
    <row r="1467" spans="1:16" x14ac:dyDescent="0.2">
      <c r="A1467" s="916" t="s">
        <v>5035</v>
      </c>
      <c r="B1467" s="943" t="s">
        <v>3092</v>
      </c>
      <c r="C1467" s="916" t="s">
        <v>5598</v>
      </c>
      <c r="D1467" s="943" t="s">
        <v>5040</v>
      </c>
      <c r="E1467" s="1144">
        <v>2931</v>
      </c>
      <c r="F1467" s="943" t="s">
        <v>6017</v>
      </c>
      <c r="G1467" s="1245" t="s">
        <v>6018</v>
      </c>
      <c r="H1467" s="1245" t="s">
        <v>517</v>
      </c>
      <c r="I1467" s="1147"/>
      <c r="J1467" s="943"/>
      <c r="K1467" s="944">
        <v>1</v>
      </c>
      <c r="L1467" s="898">
        <v>7</v>
      </c>
      <c r="M1467" s="899">
        <f t="shared" si="56"/>
        <v>20517</v>
      </c>
      <c r="N1467" s="898">
        <v>1</v>
      </c>
      <c r="O1467" s="898">
        <v>12</v>
      </c>
      <c r="P1467" s="899">
        <f t="shared" si="57"/>
        <v>35172</v>
      </c>
    </row>
    <row r="1468" spans="1:16" x14ac:dyDescent="0.2">
      <c r="A1468" s="916" t="s">
        <v>5035</v>
      </c>
      <c r="B1468" s="943" t="s">
        <v>3092</v>
      </c>
      <c r="C1468" s="916" t="s">
        <v>5598</v>
      </c>
      <c r="D1468" s="943" t="s">
        <v>5040</v>
      </c>
      <c r="E1468" s="1144">
        <v>2931</v>
      </c>
      <c r="F1468" s="943" t="s">
        <v>6019</v>
      </c>
      <c r="G1468" s="1245" t="s">
        <v>6020</v>
      </c>
      <c r="H1468" s="1245" t="s">
        <v>5106</v>
      </c>
      <c r="I1468" s="1147"/>
      <c r="J1468" s="943"/>
      <c r="K1468" s="944">
        <v>1</v>
      </c>
      <c r="L1468" s="898">
        <v>7</v>
      </c>
      <c r="M1468" s="899">
        <f t="shared" si="56"/>
        <v>20517</v>
      </c>
      <c r="N1468" s="898">
        <v>1</v>
      </c>
      <c r="O1468" s="898">
        <v>12</v>
      </c>
      <c r="P1468" s="899">
        <f t="shared" si="57"/>
        <v>35172</v>
      </c>
    </row>
    <row r="1469" spans="1:16" ht="24" x14ac:dyDescent="0.2">
      <c r="A1469" s="916" t="s">
        <v>5035</v>
      </c>
      <c r="B1469" s="943" t="s">
        <v>3092</v>
      </c>
      <c r="C1469" s="916" t="s">
        <v>5598</v>
      </c>
      <c r="D1469" s="943" t="s">
        <v>491</v>
      </c>
      <c r="E1469" s="1144">
        <v>1500</v>
      </c>
      <c r="F1469" s="943" t="s">
        <v>6021</v>
      </c>
      <c r="G1469" s="1245" t="s">
        <v>6022</v>
      </c>
      <c r="H1469" s="1245" t="s">
        <v>3115</v>
      </c>
      <c r="I1469" s="1147"/>
      <c r="J1469" s="943"/>
      <c r="K1469" s="944">
        <v>1</v>
      </c>
      <c r="L1469" s="898">
        <v>7</v>
      </c>
      <c r="M1469" s="899">
        <f t="shared" si="56"/>
        <v>10500</v>
      </c>
      <c r="N1469" s="898">
        <v>1</v>
      </c>
      <c r="O1469" s="898">
        <v>12</v>
      </c>
      <c r="P1469" s="899">
        <f t="shared" si="57"/>
        <v>18000</v>
      </c>
    </row>
    <row r="1470" spans="1:16" ht="24" x14ac:dyDescent="0.2">
      <c r="A1470" s="916" t="s">
        <v>5035</v>
      </c>
      <c r="B1470" s="943" t="s">
        <v>3092</v>
      </c>
      <c r="C1470" s="916" t="s">
        <v>5598</v>
      </c>
      <c r="D1470" s="943" t="s">
        <v>5040</v>
      </c>
      <c r="E1470" s="1144">
        <v>1200</v>
      </c>
      <c r="F1470" s="943" t="s">
        <v>6023</v>
      </c>
      <c r="G1470" s="1245" t="s">
        <v>6024</v>
      </c>
      <c r="H1470" s="1245" t="s">
        <v>5095</v>
      </c>
      <c r="I1470" s="1147"/>
      <c r="J1470" s="943"/>
      <c r="K1470" s="944">
        <v>1</v>
      </c>
      <c r="L1470" s="898">
        <v>7</v>
      </c>
      <c r="M1470" s="899">
        <f t="shared" si="56"/>
        <v>8400</v>
      </c>
      <c r="N1470" s="898">
        <v>1</v>
      </c>
      <c r="O1470" s="898">
        <v>12</v>
      </c>
      <c r="P1470" s="899">
        <f t="shared" si="57"/>
        <v>14400</v>
      </c>
    </row>
    <row r="1471" spans="1:16" ht="24" x14ac:dyDescent="0.2">
      <c r="A1471" s="916" t="s">
        <v>5035</v>
      </c>
      <c r="B1471" s="943" t="s">
        <v>3092</v>
      </c>
      <c r="C1471" s="916" t="s">
        <v>5598</v>
      </c>
      <c r="D1471" s="943" t="s">
        <v>491</v>
      </c>
      <c r="E1471" s="1144">
        <v>1500</v>
      </c>
      <c r="F1471" s="943" t="s">
        <v>6025</v>
      </c>
      <c r="G1471" s="1245" t="s">
        <v>6026</v>
      </c>
      <c r="H1471" s="1245" t="s">
        <v>3100</v>
      </c>
      <c r="I1471" s="1147"/>
      <c r="J1471" s="943"/>
      <c r="K1471" s="944">
        <v>1</v>
      </c>
      <c r="L1471" s="898">
        <v>7</v>
      </c>
      <c r="M1471" s="899">
        <f t="shared" si="56"/>
        <v>10500</v>
      </c>
      <c r="N1471" s="898">
        <v>1</v>
      </c>
      <c r="O1471" s="898">
        <v>12</v>
      </c>
      <c r="P1471" s="899">
        <f t="shared" si="57"/>
        <v>18000</v>
      </c>
    </row>
    <row r="1472" spans="1:16" x14ac:dyDescent="0.2">
      <c r="A1472" s="916" t="s">
        <v>5035</v>
      </c>
      <c r="B1472" s="943" t="s">
        <v>3092</v>
      </c>
      <c r="C1472" s="916" t="s">
        <v>5598</v>
      </c>
      <c r="D1472" s="943" t="s">
        <v>5040</v>
      </c>
      <c r="E1472" s="1144">
        <v>1200</v>
      </c>
      <c r="F1472" s="943" t="s">
        <v>6027</v>
      </c>
      <c r="G1472" s="1245" t="s">
        <v>6028</v>
      </c>
      <c r="H1472" s="1245" t="s">
        <v>5796</v>
      </c>
      <c r="I1472" s="1147"/>
      <c r="J1472" s="943"/>
      <c r="K1472" s="944">
        <v>1</v>
      </c>
      <c r="L1472" s="898">
        <v>7</v>
      </c>
      <c r="M1472" s="899">
        <f t="shared" si="56"/>
        <v>8400</v>
      </c>
      <c r="N1472" s="898">
        <v>1</v>
      </c>
      <c r="O1472" s="898">
        <v>12</v>
      </c>
      <c r="P1472" s="899">
        <f t="shared" si="57"/>
        <v>14400</v>
      </c>
    </row>
    <row r="1473" spans="1:16" x14ac:dyDescent="0.2">
      <c r="A1473" s="916" t="s">
        <v>5035</v>
      </c>
      <c r="B1473" s="943" t="s">
        <v>3092</v>
      </c>
      <c r="C1473" s="916" t="s">
        <v>5598</v>
      </c>
      <c r="D1473" s="943" t="s">
        <v>5040</v>
      </c>
      <c r="E1473" s="1144">
        <v>2925</v>
      </c>
      <c r="F1473" s="943" t="s">
        <v>6029</v>
      </c>
      <c r="G1473" s="1245" t="s">
        <v>6030</v>
      </c>
      <c r="H1473" s="1245" t="s">
        <v>517</v>
      </c>
      <c r="I1473" s="1147"/>
      <c r="J1473" s="943"/>
      <c r="K1473" s="944">
        <v>1</v>
      </c>
      <c r="L1473" s="898">
        <v>7</v>
      </c>
      <c r="M1473" s="899">
        <f t="shared" si="56"/>
        <v>20475</v>
      </c>
      <c r="N1473" s="898">
        <v>1</v>
      </c>
      <c r="O1473" s="898">
        <v>12</v>
      </c>
      <c r="P1473" s="899">
        <f t="shared" si="57"/>
        <v>35100</v>
      </c>
    </row>
    <row r="1474" spans="1:16" x14ac:dyDescent="0.2">
      <c r="A1474" s="916" t="s">
        <v>5035</v>
      </c>
      <c r="B1474" s="943" t="s">
        <v>3092</v>
      </c>
      <c r="C1474" s="916" t="s">
        <v>5598</v>
      </c>
      <c r="D1474" s="943" t="s">
        <v>5040</v>
      </c>
      <c r="E1474" s="1144">
        <v>1200</v>
      </c>
      <c r="F1474" s="943" t="s">
        <v>6031</v>
      </c>
      <c r="G1474" s="1245" t="s">
        <v>6032</v>
      </c>
      <c r="H1474" s="1245" t="s">
        <v>3187</v>
      </c>
      <c r="I1474" s="1147"/>
      <c r="J1474" s="943"/>
      <c r="K1474" s="944">
        <v>1</v>
      </c>
      <c r="L1474" s="898">
        <v>7</v>
      </c>
      <c r="M1474" s="899">
        <f t="shared" si="56"/>
        <v>8400</v>
      </c>
      <c r="N1474" s="898">
        <v>1</v>
      </c>
      <c r="O1474" s="898">
        <v>12</v>
      </c>
      <c r="P1474" s="899">
        <f t="shared" si="57"/>
        <v>14400</v>
      </c>
    </row>
    <row r="1475" spans="1:16" x14ac:dyDescent="0.2">
      <c r="A1475" s="916" t="s">
        <v>5035</v>
      </c>
      <c r="B1475" s="943" t="s">
        <v>3092</v>
      </c>
      <c r="C1475" s="916" t="s">
        <v>5598</v>
      </c>
      <c r="D1475" s="943" t="s">
        <v>5040</v>
      </c>
      <c r="E1475" s="1144">
        <v>1200</v>
      </c>
      <c r="F1475" s="943" t="s">
        <v>6033</v>
      </c>
      <c r="G1475" s="1245" t="s">
        <v>6034</v>
      </c>
      <c r="H1475" s="1245" t="s">
        <v>5084</v>
      </c>
      <c r="I1475" s="1147"/>
      <c r="J1475" s="943"/>
      <c r="K1475" s="944">
        <v>1</v>
      </c>
      <c r="L1475" s="898">
        <v>7</v>
      </c>
      <c r="M1475" s="899">
        <f t="shared" si="56"/>
        <v>8400</v>
      </c>
      <c r="N1475" s="898">
        <v>1</v>
      </c>
      <c r="O1475" s="898">
        <v>12</v>
      </c>
      <c r="P1475" s="899">
        <f t="shared" si="57"/>
        <v>14400</v>
      </c>
    </row>
    <row r="1476" spans="1:16" x14ac:dyDescent="0.2">
      <c r="A1476" s="916" t="s">
        <v>5035</v>
      </c>
      <c r="B1476" s="943" t="s">
        <v>3092</v>
      </c>
      <c r="C1476" s="916" t="s">
        <v>5598</v>
      </c>
      <c r="D1476" s="943" t="s">
        <v>5040</v>
      </c>
      <c r="E1476" s="1144">
        <v>1200</v>
      </c>
      <c r="F1476" s="943" t="s">
        <v>6035</v>
      </c>
      <c r="G1476" s="1245" t="s">
        <v>6036</v>
      </c>
      <c r="H1476" s="1245" t="s">
        <v>3187</v>
      </c>
      <c r="I1476" s="1147"/>
      <c r="J1476" s="943"/>
      <c r="K1476" s="944">
        <v>1</v>
      </c>
      <c r="L1476" s="898">
        <v>7</v>
      </c>
      <c r="M1476" s="899">
        <f t="shared" si="56"/>
        <v>8400</v>
      </c>
      <c r="N1476" s="898">
        <v>1</v>
      </c>
      <c r="O1476" s="898">
        <v>12</v>
      </c>
      <c r="P1476" s="899">
        <f t="shared" si="57"/>
        <v>14400</v>
      </c>
    </row>
    <row r="1477" spans="1:16" ht="24" x14ac:dyDescent="0.2">
      <c r="A1477" s="916" t="s">
        <v>5035</v>
      </c>
      <c r="B1477" s="943" t="s">
        <v>3092</v>
      </c>
      <c r="C1477" s="916" t="s">
        <v>5598</v>
      </c>
      <c r="D1477" s="943" t="s">
        <v>5040</v>
      </c>
      <c r="E1477" s="1144">
        <v>1923</v>
      </c>
      <c r="F1477" s="943" t="s">
        <v>6037</v>
      </c>
      <c r="G1477" s="1245" t="s">
        <v>6038</v>
      </c>
      <c r="H1477" s="1245" t="s">
        <v>5043</v>
      </c>
      <c r="I1477" s="1147"/>
      <c r="J1477" s="943"/>
      <c r="K1477" s="944">
        <v>1</v>
      </c>
      <c r="L1477" s="898">
        <v>7</v>
      </c>
      <c r="M1477" s="899">
        <f t="shared" si="56"/>
        <v>13461</v>
      </c>
      <c r="N1477" s="898">
        <v>1</v>
      </c>
      <c r="O1477" s="898">
        <v>12</v>
      </c>
      <c r="P1477" s="899">
        <f t="shared" si="57"/>
        <v>23076</v>
      </c>
    </row>
    <row r="1478" spans="1:16" ht="24" x14ac:dyDescent="0.2">
      <c r="A1478" s="916" t="s">
        <v>5035</v>
      </c>
      <c r="B1478" s="943" t="s">
        <v>3092</v>
      </c>
      <c r="C1478" s="916" t="s">
        <v>5598</v>
      </c>
      <c r="D1478" s="943" t="s">
        <v>5040</v>
      </c>
      <c r="E1478" s="1144">
        <v>2813</v>
      </c>
      <c r="F1478" s="943" t="s">
        <v>6039</v>
      </c>
      <c r="G1478" s="1245" t="s">
        <v>6040</v>
      </c>
      <c r="H1478" s="1245" t="s">
        <v>566</v>
      </c>
      <c r="I1478" s="1147"/>
      <c r="J1478" s="943"/>
      <c r="K1478" s="944">
        <v>1</v>
      </c>
      <c r="L1478" s="898">
        <v>7</v>
      </c>
      <c r="M1478" s="899">
        <f t="shared" si="56"/>
        <v>19691</v>
      </c>
      <c r="N1478" s="898">
        <v>1</v>
      </c>
      <c r="O1478" s="898">
        <v>12</v>
      </c>
      <c r="P1478" s="899">
        <f t="shared" si="57"/>
        <v>33756</v>
      </c>
    </row>
    <row r="1479" spans="1:16" ht="24" x14ac:dyDescent="0.2">
      <c r="A1479" s="916" t="s">
        <v>5035</v>
      </c>
      <c r="B1479" s="943" t="s">
        <v>3092</v>
      </c>
      <c r="C1479" s="916" t="s">
        <v>5598</v>
      </c>
      <c r="D1479" s="943" t="s">
        <v>5040</v>
      </c>
      <c r="E1479" s="1144">
        <v>3000</v>
      </c>
      <c r="F1479" s="943" t="s">
        <v>6041</v>
      </c>
      <c r="G1479" s="1245" t="s">
        <v>6042</v>
      </c>
      <c r="H1479" s="1245" t="s">
        <v>5043</v>
      </c>
      <c r="I1479" s="1147"/>
      <c r="J1479" s="943"/>
      <c r="K1479" s="944">
        <v>1</v>
      </c>
      <c r="L1479" s="898">
        <v>7</v>
      </c>
      <c r="M1479" s="899">
        <f t="shared" si="56"/>
        <v>21000</v>
      </c>
      <c r="N1479" s="898">
        <v>1</v>
      </c>
      <c r="O1479" s="898">
        <v>12</v>
      </c>
      <c r="P1479" s="899">
        <f t="shared" si="57"/>
        <v>36000</v>
      </c>
    </row>
    <row r="1480" spans="1:16" x14ac:dyDescent="0.2">
      <c r="A1480" s="916" t="s">
        <v>5035</v>
      </c>
      <c r="B1480" s="943" t="s">
        <v>3092</v>
      </c>
      <c r="C1480" s="916" t="s">
        <v>5598</v>
      </c>
      <c r="D1480" s="943" t="s">
        <v>5040</v>
      </c>
      <c r="E1480" s="1144">
        <v>1200</v>
      </c>
      <c r="F1480" s="943" t="s">
        <v>6043</v>
      </c>
      <c r="G1480" s="1245" t="s">
        <v>6044</v>
      </c>
      <c r="H1480" s="1245" t="s">
        <v>3187</v>
      </c>
      <c r="I1480" s="1147"/>
      <c r="J1480" s="943"/>
      <c r="K1480" s="944">
        <v>1</v>
      </c>
      <c r="L1480" s="898">
        <v>7</v>
      </c>
      <c r="M1480" s="899">
        <f t="shared" si="56"/>
        <v>8400</v>
      </c>
      <c r="N1480" s="898">
        <v>1</v>
      </c>
      <c r="O1480" s="898">
        <v>12</v>
      </c>
      <c r="P1480" s="899">
        <f t="shared" si="57"/>
        <v>14400</v>
      </c>
    </row>
    <row r="1481" spans="1:16" ht="24" x14ac:dyDescent="0.2">
      <c r="A1481" s="916" t="s">
        <v>5035</v>
      </c>
      <c r="B1481" s="943" t="s">
        <v>3092</v>
      </c>
      <c r="C1481" s="916" t="s">
        <v>5598</v>
      </c>
      <c r="D1481" s="943" t="s">
        <v>5040</v>
      </c>
      <c r="E1481" s="1144">
        <v>1923</v>
      </c>
      <c r="F1481" s="943" t="s">
        <v>6045</v>
      </c>
      <c r="G1481" s="1245" t="s">
        <v>6046</v>
      </c>
      <c r="H1481" s="1245" t="s">
        <v>5043</v>
      </c>
      <c r="I1481" s="1147"/>
      <c r="J1481" s="943"/>
      <c r="K1481" s="944">
        <v>1</v>
      </c>
      <c r="L1481" s="898">
        <v>7</v>
      </c>
      <c r="M1481" s="899">
        <f t="shared" si="56"/>
        <v>13461</v>
      </c>
      <c r="N1481" s="898">
        <v>1</v>
      </c>
      <c r="O1481" s="898">
        <v>12</v>
      </c>
      <c r="P1481" s="899">
        <f t="shared" si="57"/>
        <v>23076</v>
      </c>
    </row>
    <row r="1482" spans="1:16" x14ac:dyDescent="0.2">
      <c r="A1482" s="916" t="s">
        <v>5035</v>
      </c>
      <c r="B1482" s="943" t="s">
        <v>3092</v>
      </c>
      <c r="C1482" s="916" t="s">
        <v>5598</v>
      </c>
      <c r="D1482" s="943" t="s">
        <v>5040</v>
      </c>
      <c r="E1482" s="1144">
        <v>7000</v>
      </c>
      <c r="F1482" s="943" t="s">
        <v>6047</v>
      </c>
      <c r="G1482" s="1245" t="s">
        <v>6048</v>
      </c>
      <c r="H1482" s="1245" t="s">
        <v>5077</v>
      </c>
      <c r="I1482" s="1147"/>
      <c r="J1482" s="943"/>
      <c r="K1482" s="944">
        <v>1</v>
      </c>
      <c r="L1482" s="898">
        <v>7</v>
      </c>
      <c r="M1482" s="899">
        <f t="shared" si="56"/>
        <v>49000</v>
      </c>
      <c r="N1482" s="898">
        <v>1</v>
      </c>
      <c r="O1482" s="898">
        <v>12</v>
      </c>
      <c r="P1482" s="899">
        <f t="shared" si="57"/>
        <v>84000</v>
      </c>
    </row>
    <row r="1483" spans="1:16" x14ac:dyDescent="0.2">
      <c r="A1483" s="916" t="s">
        <v>5035</v>
      </c>
      <c r="B1483" s="943" t="s">
        <v>3092</v>
      </c>
      <c r="C1483" s="916" t="s">
        <v>5598</v>
      </c>
      <c r="D1483" s="943" t="s">
        <v>5040</v>
      </c>
      <c r="E1483" s="1144">
        <v>2931</v>
      </c>
      <c r="F1483" s="943" t="s">
        <v>6049</v>
      </c>
      <c r="G1483" s="1245" t="s">
        <v>6050</v>
      </c>
      <c r="H1483" s="1245" t="s">
        <v>517</v>
      </c>
      <c r="I1483" s="1147"/>
      <c r="J1483" s="943"/>
      <c r="K1483" s="944">
        <v>1</v>
      </c>
      <c r="L1483" s="898">
        <v>7</v>
      </c>
      <c r="M1483" s="899">
        <f t="shared" si="56"/>
        <v>20517</v>
      </c>
      <c r="N1483" s="898">
        <v>1</v>
      </c>
      <c r="O1483" s="898">
        <v>12</v>
      </c>
      <c r="P1483" s="899">
        <f t="shared" si="57"/>
        <v>35172</v>
      </c>
    </row>
    <row r="1484" spans="1:16" x14ac:dyDescent="0.2">
      <c r="A1484" s="916" t="s">
        <v>5035</v>
      </c>
      <c r="B1484" s="943" t="s">
        <v>3092</v>
      </c>
      <c r="C1484" s="916" t="s">
        <v>5598</v>
      </c>
      <c r="D1484" s="943" t="s">
        <v>5040</v>
      </c>
      <c r="E1484" s="1144">
        <v>1884</v>
      </c>
      <c r="F1484" s="943" t="s">
        <v>6051</v>
      </c>
      <c r="G1484" s="1245" t="s">
        <v>6052</v>
      </c>
      <c r="H1484" s="1245" t="s">
        <v>581</v>
      </c>
      <c r="I1484" s="1147"/>
      <c r="J1484" s="943"/>
      <c r="K1484" s="944">
        <v>1</v>
      </c>
      <c r="L1484" s="898">
        <v>7</v>
      </c>
      <c r="M1484" s="899">
        <f t="shared" si="56"/>
        <v>13188</v>
      </c>
      <c r="N1484" s="898">
        <v>1</v>
      </c>
      <c r="O1484" s="898">
        <v>12</v>
      </c>
      <c r="P1484" s="899">
        <f t="shared" si="57"/>
        <v>22608</v>
      </c>
    </row>
    <row r="1485" spans="1:16" x14ac:dyDescent="0.2">
      <c r="A1485" s="916" t="s">
        <v>5035</v>
      </c>
      <c r="B1485" s="943" t="s">
        <v>3092</v>
      </c>
      <c r="C1485" s="916" t="s">
        <v>5598</v>
      </c>
      <c r="D1485" s="943" t="s">
        <v>5040</v>
      </c>
      <c r="E1485" s="1144">
        <v>1200</v>
      </c>
      <c r="F1485" s="943" t="s">
        <v>6053</v>
      </c>
      <c r="G1485" s="1245" t="s">
        <v>6054</v>
      </c>
      <c r="H1485" s="1245" t="s">
        <v>3187</v>
      </c>
      <c r="I1485" s="1147"/>
      <c r="J1485" s="943"/>
      <c r="K1485" s="944">
        <v>1</v>
      </c>
      <c r="L1485" s="898">
        <v>7</v>
      </c>
      <c r="M1485" s="899">
        <f t="shared" si="56"/>
        <v>8400</v>
      </c>
      <c r="N1485" s="898">
        <v>1</v>
      </c>
      <c r="O1485" s="898">
        <v>12</v>
      </c>
      <c r="P1485" s="899">
        <f t="shared" si="57"/>
        <v>14400</v>
      </c>
    </row>
    <row r="1486" spans="1:16" ht="24" x14ac:dyDescent="0.2">
      <c r="A1486" s="916" t="s">
        <v>5035</v>
      </c>
      <c r="B1486" s="943" t="s">
        <v>3092</v>
      </c>
      <c r="C1486" s="916" t="s">
        <v>5598</v>
      </c>
      <c r="D1486" s="943" t="s">
        <v>5040</v>
      </c>
      <c r="E1486" s="1144">
        <v>2838</v>
      </c>
      <c r="F1486" s="943" t="s">
        <v>6055</v>
      </c>
      <c r="G1486" s="1245" t="s">
        <v>6056</v>
      </c>
      <c r="H1486" s="1245" t="s">
        <v>566</v>
      </c>
      <c r="I1486" s="1147"/>
      <c r="J1486" s="943"/>
      <c r="K1486" s="944">
        <v>1</v>
      </c>
      <c r="L1486" s="898">
        <v>7</v>
      </c>
      <c r="M1486" s="899">
        <f t="shared" si="56"/>
        <v>19866</v>
      </c>
      <c r="N1486" s="898">
        <v>1</v>
      </c>
      <c r="O1486" s="898">
        <v>12</v>
      </c>
      <c r="P1486" s="899">
        <f t="shared" si="57"/>
        <v>34056</v>
      </c>
    </row>
    <row r="1487" spans="1:16" ht="24" x14ac:dyDescent="0.2">
      <c r="A1487" s="916" t="s">
        <v>5035</v>
      </c>
      <c r="B1487" s="943" t="s">
        <v>3092</v>
      </c>
      <c r="C1487" s="916" t="s">
        <v>5598</v>
      </c>
      <c r="D1487" s="943" t="s">
        <v>5040</v>
      </c>
      <c r="E1487" s="1144">
        <v>1923</v>
      </c>
      <c r="F1487" s="943" t="s">
        <v>6057</v>
      </c>
      <c r="G1487" s="1245" t="s">
        <v>6058</v>
      </c>
      <c r="H1487" s="1245" t="s">
        <v>581</v>
      </c>
      <c r="I1487" s="1147"/>
      <c r="J1487" s="943"/>
      <c r="K1487" s="944">
        <v>1</v>
      </c>
      <c r="L1487" s="898">
        <v>7</v>
      </c>
      <c r="M1487" s="899">
        <f t="shared" si="56"/>
        <v>13461</v>
      </c>
      <c r="N1487" s="898">
        <v>1</v>
      </c>
      <c r="O1487" s="898">
        <v>12</v>
      </c>
      <c r="P1487" s="899">
        <f t="shared" si="57"/>
        <v>23076</v>
      </c>
    </row>
    <row r="1488" spans="1:16" x14ac:dyDescent="0.2">
      <c r="A1488" s="916" t="s">
        <v>5035</v>
      </c>
      <c r="B1488" s="943" t="s">
        <v>3092</v>
      </c>
      <c r="C1488" s="916" t="s">
        <v>5598</v>
      </c>
      <c r="D1488" s="943" t="s">
        <v>5040</v>
      </c>
      <c r="E1488" s="1144">
        <v>1500</v>
      </c>
      <c r="F1488" s="943" t="s">
        <v>6059</v>
      </c>
      <c r="G1488" s="1245" t="s">
        <v>6060</v>
      </c>
      <c r="H1488" s="1245" t="s">
        <v>5084</v>
      </c>
      <c r="I1488" s="1147"/>
      <c r="J1488" s="943"/>
      <c r="K1488" s="944">
        <v>1</v>
      </c>
      <c r="L1488" s="898">
        <v>7</v>
      </c>
      <c r="M1488" s="899">
        <f t="shared" si="56"/>
        <v>10500</v>
      </c>
      <c r="N1488" s="898">
        <v>1</v>
      </c>
      <c r="O1488" s="898">
        <v>12</v>
      </c>
      <c r="P1488" s="899">
        <f t="shared" si="57"/>
        <v>18000</v>
      </c>
    </row>
    <row r="1489" spans="1:16" ht="24" x14ac:dyDescent="0.2">
      <c r="A1489" s="916" t="s">
        <v>5035</v>
      </c>
      <c r="B1489" s="943" t="s">
        <v>3092</v>
      </c>
      <c r="C1489" s="916" t="s">
        <v>5598</v>
      </c>
      <c r="D1489" s="943" t="s">
        <v>5040</v>
      </c>
      <c r="E1489" s="1144">
        <v>1923</v>
      </c>
      <c r="F1489" s="943" t="s">
        <v>6061</v>
      </c>
      <c r="G1489" s="1245" t="s">
        <v>6062</v>
      </c>
      <c r="H1489" s="1245" t="s">
        <v>5043</v>
      </c>
      <c r="I1489" s="1147"/>
      <c r="J1489" s="943"/>
      <c r="K1489" s="944">
        <v>1</v>
      </c>
      <c r="L1489" s="898">
        <v>7</v>
      </c>
      <c r="M1489" s="899">
        <f t="shared" si="56"/>
        <v>13461</v>
      </c>
      <c r="N1489" s="898">
        <v>1</v>
      </c>
      <c r="O1489" s="898">
        <v>12</v>
      </c>
      <c r="P1489" s="899">
        <f t="shared" si="57"/>
        <v>23076</v>
      </c>
    </row>
    <row r="1490" spans="1:16" x14ac:dyDescent="0.2">
      <c r="A1490" s="916" t="s">
        <v>5035</v>
      </c>
      <c r="B1490" s="943" t="s">
        <v>3092</v>
      </c>
      <c r="C1490" s="916" t="s">
        <v>5598</v>
      </c>
      <c r="D1490" s="943" t="s">
        <v>5040</v>
      </c>
      <c r="E1490" s="1144">
        <v>7000</v>
      </c>
      <c r="F1490" s="943" t="s">
        <v>6063</v>
      </c>
      <c r="G1490" s="1245" t="s">
        <v>6064</v>
      </c>
      <c r="H1490" s="1245" t="s">
        <v>5077</v>
      </c>
      <c r="I1490" s="1147"/>
      <c r="J1490" s="943"/>
      <c r="K1490" s="944">
        <v>1</v>
      </c>
      <c r="L1490" s="898">
        <v>7</v>
      </c>
      <c r="M1490" s="899">
        <f t="shared" si="56"/>
        <v>49000</v>
      </c>
      <c r="N1490" s="898">
        <v>1</v>
      </c>
      <c r="O1490" s="898">
        <v>12</v>
      </c>
      <c r="P1490" s="899">
        <f t="shared" si="57"/>
        <v>84000</v>
      </c>
    </row>
    <row r="1491" spans="1:16" ht="24" x14ac:dyDescent="0.2">
      <c r="A1491" s="916" t="s">
        <v>5035</v>
      </c>
      <c r="B1491" s="943" t="s">
        <v>3092</v>
      </c>
      <c r="C1491" s="916" t="s">
        <v>5598</v>
      </c>
      <c r="D1491" s="943" t="s">
        <v>5040</v>
      </c>
      <c r="E1491" s="1144">
        <v>1923</v>
      </c>
      <c r="F1491" s="943" t="s">
        <v>6065</v>
      </c>
      <c r="G1491" s="1245" t="s">
        <v>6066</v>
      </c>
      <c r="H1491" s="1245" t="s">
        <v>580</v>
      </c>
      <c r="I1491" s="1147"/>
      <c r="J1491" s="943"/>
      <c r="K1491" s="944">
        <v>1</v>
      </c>
      <c r="L1491" s="898">
        <v>7</v>
      </c>
      <c r="M1491" s="899">
        <f t="shared" si="56"/>
        <v>13461</v>
      </c>
      <c r="N1491" s="898">
        <v>1</v>
      </c>
      <c r="O1491" s="898">
        <v>12</v>
      </c>
      <c r="P1491" s="899">
        <f t="shared" si="57"/>
        <v>23076</v>
      </c>
    </row>
    <row r="1492" spans="1:16" x14ac:dyDescent="0.2">
      <c r="A1492" s="916" t="s">
        <v>5035</v>
      </c>
      <c r="B1492" s="943" t="s">
        <v>3092</v>
      </c>
      <c r="C1492" s="916" t="s">
        <v>5598</v>
      </c>
      <c r="D1492" s="943" t="s">
        <v>5040</v>
      </c>
      <c r="E1492" s="1144">
        <v>7000</v>
      </c>
      <c r="F1492" s="943" t="s">
        <v>6067</v>
      </c>
      <c r="G1492" s="1245" t="s">
        <v>6068</v>
      </c>
      <c r="H1492" s="1245" t="s">
        <v>5077</v>
      </c>
      <c r="I1492" s="1147"/>
      <c r="J1492" s="943"/>
      <c r="K1492" s="944">
        <v>1</v>
      </c>
      <c r="L1492" s="898">
        <v>7</v>
      </c>
      <c r="M1492" s="899">
        <f t="shared" si="56"/>
        <v>49000</v>
      </c>
      <c r="N1492" s="898">
        <v>1</v>
      </c>
      <c r="O1492" s="898">
        <v>12</v>
      </c>
      <c r="P1492" s="899">
        <f t="shared" si="57"/>
        <v>84000</v>
      </c>
    </row>
    <row r="1493" spans="1:16" ht="24" x14ac:dyDescent="0.2">
      <c r="A1493" s="916" t="s">
        <v>5035</v>
      </c>
      <c r="B1493" s="943" t="s">
        <v>3092</v>
      </c>
      <c r="C1493" s="916" t="s">
        <v>5598</v>
      </c>
      <c r="D1493" s="943" t="s">
        <v>5040</v>
      </c>
      <c r="E1493" s="1144">
        <v>2050</v>
      </c>
      <c r="F1493" s="943" t="s">
        <v>6069</v>
      </c>
      <c r="G1493" s="1245" t="s">
        <v>6070</v>
      </c>
      <c r="H1493" s="1245" t="s">
        <v>5133</v>
      </c>
      <c r="I1493" s="1147"/>
      <c r="J1493" s="943"/>
      <c r="K1493" s="944">
        <v>1</v>
      </c>
      <c r="L1493" s="898">
        <v>7</v>
      </c>
      <c r="M1493" s="899">
        <f t="shared" si="56"/>
        <v>14350</v>
      </c>
      <c r="N1493" s="898">
        <v>1</v>
      </c>
      <c r="O1493" s="898">
        <v>12</v>
      </c>
      <c r="P1493" s="899">
        <f t="shared" si="57"/>
        <v>24600</v>
      </c>
    </row>
    <row r="1494" spans="1:16" x14ac:dyDescent="0.2">
      <c r="A1494" s="916" t="s">
        <v>5035</v>
      </c>
      <c r="B1494" s="943" t="s">
        <v>3092</v>
      </c>
      <c r="C1494" s="916" t="s">
        <v>5598</v>
      </c>
      <c r="D1494" s="943" t="s">
        <v>5040</v>
      </c>
      <c r="E1494" s="1144">
        <v>5500</v>
      </c>
      <c r="F1494" s="943" t="s">
        <v>6071</v>
      </c>
      <c r="G1494" s="1245" t="s">
        <v>6072</v>
      </c>
      <c r="H1494" s="1245" t="s">
        <v>5112</v>
      </c>
      <c r="I1494" s="1147"/>
      <c r="J1494" s="943"/>
      <c r="K1494" s="944">
        <v>1</v>
      </c>
      <c r="L1494" s="898">
        <v>7</v>
      </c>
      <c r="M1494" s="899">
        <f t="shared" si="56"/>
        <v>38500</v>
      </c>
      <c r="N1494" s="898">
        <v>1</v>
      </c>
      <c r="O1494" s="898">
        <v>12</v>
      </c>
      <c r="P1494" s="899">
        <f t="shared" si="57"/>
        <v>66000</v>
      </c>
    </row>
    <row r="1495" spans="1:16" ht="24" x14ac:dyDescent="0.2">
      <c r="A1495" s="916" t="s">
        <v>5035</v>
      </c>
      <c r="B1495" s="943" t="s">
        <v>3092</v>
      </c>
      <c r="C1495" s="916" t="s">
        <v>5598</v>
      </c>
      <c r="D1495" s="943" t="s">
        <v>5040</v>
      </c>
      <c r="E1495" s="1144">
        <v>1923</v>
      </c>
      <c r="F1495" s="943" t="s">
        <v>6073</v>
      </c>
      <c r="G1495" s="1245" t="s">
        <v>6074</v>
      </c>
      <c r="H1495" s="1245" t="s">
        <v>580</v>
      </c>
      <c r="I1495" s="1147"/>
      <c r="J1495" s="943"/>
      <c r="K1495" s="944">
        <v>1</v>
      </c>
      <c r="L1495" s="898">
        <v>7</v>
      </c>
      <c r="M1495" s="899">
        <f t="shared" si="56"/>
        <v>13461</v>
      </c>
      <c r="N1495" s="898">
        <v>1</v>
      </c>
      <c r="O1495" s="898">
        <v>12</v>
      </c>
      <c r="P1495" s="899">
        <f t="shared" si="57"/>
        <v>23076</v>
      </c>
    </row>
    <row r="1496" spans="1:16" x14ac:dyDescent="0.2">
      <c r="A1496" s="916" t="s">
        <v>5035</v>
      </c>
      <c r="B1496" s="943" t="s">
        <v>3092</v>
      </c>
      <c r="C1496" s="916" t="s">
        <v>5598</v>
      </c>
      <c r="D1496" s="943" t="s">
        <v>5040</v>
      </c>
      <c r="E1496" s="1144">
        <v>2129.0300000000002</v>
      </c>
      <c r="F1496" s="943" t="s">
        <v>6075</v>
      </c>
      <c r="G1496" s="1245" t="s">
        <v>6076</v>
      </c>
      <c r="H1496" s="1245" t="s">
        <v>5106</v>
      </c>
      <c r="I1496" s="1147"/>
      <c r="J1496" s="943"/>
      <c r="K1496" s="944">
        <v>1</v>
      </c>
      <c r="L1496" s="898">
        <v>7</v>
      </c>
      <c r="M1496" s="899">
        <f t="shared" si="56"/>
        <v>14903.210000000001</v>
      </c>
      <c r="N1496" s="898">
        <v>1</v>
      </c>
      <c r="O1496" s="898">
        <v>12</v>
      </c>
      <c r="P1496" s="899">
        <f t="shared" si="57"/>
        <v>25548.36</v>
      </c>
    </row>
    <row r="1497" spans="1:16" x14ac:dyDescent="0.2">
      <c r="A1497" s="916" t="s">
        <v>5035</v>
      </c>
      <c r="B1497" s="943" t="s">
        <v>3092</v>
      </c>
      <c r="C1497" s="916" t="s">
        <v>5598</v>
      </c>
      <c r="D1497" s="943" t="s">
        <v>491</v>
      </c>
      <c r="E1497" s="1144">
        <v>1500</v>
      </c>
      <c r="F1497" s="943" t="s">
        <v>6077</v>
      </c>
      <c r="G1497" s="1245" t="s">
        <v>6078</v>
      </c>
      <c r="H1497" s="1245" t="s">
        <v>3284</v>
      </c>
      <c r="I1497" s="1147"/>
      <c r="J1497" s="943"/>
      <c r="K1497" s="944">
        <v>1</v>
      </c>
      <c r="L1497" s="898">
        <v>7</v>
      </c>
      <c r="M1497" s="899">
        <f t="shared" si="56"/>
        <v>10500</v>
      </c>
      <c r="N1497" s="898">
        <v>1</v>
      </c>
      <c r="O1497" s="898">
        <v>12</v>
      </c>
      <c r="P1497" s="899">
        <f t="shared" si="57"/>
        <v>18000</v>
      </c>
    </row>
    <row r="1498" spans="1:16" ht="24" x14ac:dyDescent="0.2">
      <c r="A1498" s="916" t="s">
        <v>5035</v>
      </c>
      <c r="B1498" s="943" t="s">
        <v>3092</v>
      </c>
      <c r="C1498" s="916" t="s">
        <v>5598</v>
      </c>
      <c r="D1498" s="943" t="s">
        <v>5040</v>
      </c>
      <c r="E1498" s="1144">
        <v>3000</v>
      </c>
      <c r="F1498" s="943" t="s">
        <v>6079</v>
      </c>
      <c r="G1498" s="1245" t="s">
        <v>6080</v>
      </c>
      <c r="H1498" s="1245" t="s">
        <v>5043</v>
      </c>
      <c r="I1498" s="1147"/>
      <c r="J1498" s="943"/>
      <c r="K1498" s="944">
        <v>1</v>
      </c>
      <c r="L1498" s="898">
        <v>7</v>
      </c>
      <c r="M1498" s="899">
        <f t="shared" si="56"/>
        <v>21000</v>
      </c>
      <c r="N1498" s="898">
        <v>1</v>
      </c>
      <c r="O1498" s="898">
        <v>12</v>
      </c>
      <c r="P1498" s="899">
        <f t="shared" si="57"/>
        <v>36000</v>
      </c>
    </row>
    <row r="1499" spans="1:16" ht="24" x14ac:dyDescent="0.2">
      <c r="A1499" s="916" t="s">
        <v>5035</v>
      </c>
      <c r="B1499" s="943" t="s">
        <v>3092</v>
      </c>
      <c r="C1499" s="916" t="s">
        <v>5598</v>
      </c>
      <c r="D1499" s="943" t="s">
        <v>491</v>
      </c>
      <c r="E1499" s="1144">
        <v>1345</v>
      </c>
      <c r="F1499" s="943" t="s">
        <v>6081</v>
      </c>
      <c r="G1499" s="1245" t="s">
        <v>6082</v>
      </c>
      <c r="H1499" s="1245" t="s">
        <v>3112</v>
      </c>
      <c r="I1499" s="1147"/>
      <c r="J1499" s="943"/>
      <c r="K1499" s="944">
        <v>1</v>
      </c>
      <c r="L1499" s="898">
        <v>7</v>
      </c>
      <c r="M1499" s="899">
        <f t="shared" si="56"/>
        <v>9415</v>
      </c>
      <c r="N1499" s="898">
        <v>1</v>
      </c>
      <c r="O1499" s="898">
        <v>12</v>
      </c>
      <c r="P1499" s="899">
        <f t="shared" si="57"/>
        <v>16140</v>
      </c>
    </row>
    <row r="1500" spans="1:16" ht="24" x14ac:dyDescent="0.2">
      <c r="A1500" s="916" t="s">
        <v>5035</v>
      </c>
      <c r="B1500" s="943" t="s">
        <v>3092</v>
      </c>
      <c r="C1500" s="916" t="s">
        <v>5598</v>
      </c>
      <c r="D1500" s="943" t="s">
        <v>491</v>
      </c>
      <c r="E1500" s="1144">
        <v>1500</v>
      </c>
      <c r="F1500" s="943" t="s">
        <v>6083</v>
      </c>
      <c r="G1500" s="1245" t="s">
        <v>6084</v>
      </c>
      <c r="H1500" s="1245" t="s">
        <v>3115</v>
      </c>
      <c r="I1500" s="1147"/>
      <c r="J1500" s="943"/>
      <c r="K1500" s="944">
        <v>1</v>
      </c>
      <c r="L1500" s="898">
        <v>7</v>
      </c>
      <c r="M1500" s="899">
        <f t="shared" si="56"/>
        <v>10500</v>
      </c>
      <c r="N1500" s="898">
        <v>1</v>
      </c>
      <c r="O1500" s="898">
        <v>12</v>
      </c>
      <c r="P1500" s="899">
        <f t="shared" si="57"/>
        <v>18000</v>
      </c>
    </row>
    <row r="1501" spans="1:16" ht="24" x14ac:dyDescent="0.2">
      <c r="A1501" s="916" t="s">
        <v>5035</v>
      </c>
      <c r="B1501" s="943" t="s">
        <v>3092</v>
      </c>
      <c r="C1501" s="916" t="s">
        <v>5598</v>
      </c>
      <c r="D1501" s="943" t="s">
        <v>491</v>
      </c>
      <c r="E1501" s="1144">
        <v>1400</v>
      </c>
      <c r="F1501" s="943" t="s">
        <v>6085</v>
      </c>
      <c r="G1501" s="1245" t="s">
        <v>6086</v>
      </c>
      <c r="H1501" s="1245" t="s">
        <v>3112</v>
      </c>
      <c r="I1501" s="1147"/>
      <c r="J1501" s="943"/>
      <c r="K1501" s="944">
        <v>1</v>
      </c>
      <c r="L1501" s="898">
        <v>7</v>
      </c>
      <c r="M1501" s="899">
        <f t="shared" si="56"/>
        <v>9800</v>
      </c>
      <c r="N1501" s="898">
        <v>1</v>
      </c>
      <c r="O1501" s="898">
        <v>12</v>
      </c>
      <c r="P1501" s="899">
        <f t="shared" si="57"/>
        <v>16800</v>
      </c>
    </row>
    <row r="1502" spans="1:16" x14ac:dyDescent="0.2">
      <c r="A1502" s="916" t="s">
        <v>5035</v>
      </c>
      <c r="B1502" s="943" t="s">
        <v>3092</v>
      </c>
      <c r="C1502" s="916" t="s">
        <v>5598</v>
      </c>
      <c r="D1502" s="943" t="s">
        <v>5040</v>
      </c>
      <c r="E1502" s="1144">
        <v>5500</v>
      </c>
      <c r="F1502" s="943" t="s">
        <v>6087</v>
      </c>
      <c r="G1502" s="1245" t="s">
        <v>6088</v>
      </c>
      <c r="H1502" s="1245" t="s">
        <v>517</v>
      </c>
      <c r="I1502" s="1147"/>
      <c r="J1502" s="943"/>
      <c r="K1502" s="944">
        <v>1</v>
      </c>
      <c r="L1502" s="898">
        <v>7</v>
      </c>
      <c r="M1502" s="899">
        <f t="shared" si="56"/>
        <v>38500</v>
      </c>
      <c r="N1502" s="898">
        <v>1</v>
      </c>
      <c r="O1502" s="898">
        <v>12</v>
      </c>
      <c r="P1502" s="899">
        <f t="shared" si="57"/>
        <v>66000</v>
      </c>
    </row>
    <row r="1503" spans="1:16" ht="24" x14ac:dyDescent="0.2">
      <c r="A1503" s="916" t="s">
        <v>5035</v>
      </c>
      <c r="B1503" s="943" t="s">
        <v>3092</v>
      </c>
      <c r="C1503" s="916" t="s">
        <v>5598</v>
      </c>
      <c r="D1503" s="943" t="s">
        <v>5040</v>
      </c>
      <c r="E1503" s="1144">
        <v>1923</v>
      </c>
      <c r="F1503" s="943" t="s">
        <v>6089</v>
      </c>
      <c r="G1503" s="1245" t="s">
        <v>6090</v>
      </c>
      <c r="H1503" s="1245" t="s">
        <v>5043</v>
      </c>
      <c r="I1503" s="1147"/>
      <c r="J1503" s="943"/>
      <c r="K1503" s="944">
        <v>1</v>
      </c>
      <c r="L1503" s="898">
        <v>7</v>
      </c>
      <c r="M1503" s="899">
        <f t="shared" si="56"/>
        <v>13461</v>
      </c>
      <c r="N1503" s="898">
        <v>1</v>
      </c>
      <c r="O1503" s="898">
        <v>12</v>
      </c>
      <c r="P1503" s="899">
        <f t="shared" si="57"/>
        <v>23076</v>
      </c>
    </row>
    <row r="1504" spans="1:16" ht="24" x14ac:dyDescent="0.2">
      <c r="A1504" s="916" t="s">
        <v>5035</v>
      </c>
      <c r="B1504" s="943" t="s">
        <v>3092</v>
      </c>
      <c r="C1504" s="916" t="s">
        <v>5598</v>
      </c>
      <c r="D1504" s="943" t="s">
        <v>5040</v>
      </c>
      <c r="E1504" s="1144">
        <v>1511.59</v>
      </c>
      <c r="F1504" s="943" t="s">
        <v>6091</v>
      </c>
      <c r="G1504" s="1245" t="s">
        <v>6092</v>
      </c>
      <c r="H1504" s="1245" t="s">
        <v>5077</v>
      </c>
      <c r="I1504" s="1147"/>
      <c r="J1504" s="943"/>
      <c r="K1504" s="944">
        <v>1</v>
      </c>
      <c r="L1504" s="898">
        <v>7</v>
      </c>
      <c r="M1504" s="899">
        <f t="shared" si="56"/>
        <v>10581.13</v>
      </c>
      <c r="N1504" s="898">
        <v>1</v>
      </c>
      <c r="O1504" s="898">
        <v>12</v>
      </c>
      <c r="P1504" s="899">
        <f t="shared" si="57"/>
        <v>18139.079999999998</v>
      </c>
    </row>
    <row r="1505" spans="1:16" x14ac:dyDescent="0.2">
      <c r="A1505" s="916" t="s">
        <v>5035</v>
      </c>
      <c r="B1505" s="943" t="s">
        <v>3092</v>
      </c>
      <c r="C1505" s="916" t="s">
        <v>5598</v>
      </c>
      <c r="D1505" s="943" t="s">
        <v>5040</v>
      </c>
      <c r="E1505" s="1144">
        <v>2931</v>
      </c>
      <c r="F1505" s="943" t="s">
        <v>6093</v>
      </c>
      <c r="G1505" s="1245" t="s">
        <v>6094</v>
      </c>
      <c r="H1505" s="1245" t="s">
        <v>5106</v>
      </c>
      <c r="I1505" s="1147"/>
      <c r="J1505" s="943"/>
      <c r="K1505" s="944">
        <v>1</v>
      </c>
      <c r="L1505" s="898">
        <v>7</v>
      </c>
      <c r="M1505" s="899">
        <f t="shared" si="56"/>
        <v>20517</v>
      </c>
      <c r="N1505" s="898">
        <v>1</v>
      </c>
      <c r="O1505" s="898">
        <v>12</v>
      </c>
      <c r="P1505" s="899">
        <f t="shared" si="57"/>
        <v>35172</v>
      </c>
    </row>
    <row r="1506" spans="1:16" x14ac:dyDescent="0.2">
      <c r="A1506" s="916" t="s">
        <v>5035</v>
      </c>
      <c r="B1506" s="943" t="s">
        <v>3092</v>
      </c>
      <c r="C1506" s="916" t="s">
        <v>5598</v>
      </c>
      <c r="D1506" s="943" t="s">
        <v>5040</v>
      </c>
      <c r="E1506" s="1144">
        <v>1200</v>
      </c>
      <c r="F1506" s="943" t="s">
        <v>6095</v>
      </c>
      <c r="G1506" s="1245" t="s">
        <v>6096</v>
      </c>
      <c r="H1506" s="1245" t="s">
        <v>3187</v>
      </c>
      <c r="I1506" s="1147"/>
      <c r="J1506" s="943"/>
      <c r="K1506" s="944">
        <v>1</v>
      </c>
      <c r="L1506" s="898">
        <v>7</v>
      </c>
      <c r="M1506" s="899">
        <f t="shared" si="56"/>
        <v>8400</v>
      </c>
      <c r="N1506" s="898">
        <v>1</v>
      </c>
      <c r="O1506" s="898">
        <v>12</v>
      </c>
      <c r="P1506" s="899">
        <f t="shared" si="57"/>
        <v>14400</v>
      </c>
    </row>
    <row r="1507" spans="1:16" ht="24" x14ac:dyDescent="0.2">
      <c r="A1507" s="916" t="s">
        <v>5035</v>
      </c>
      <c r="B1507" s="943" t="s">
        <v>3092</v>
      </c>
      <c r="C1507" s="916" t="s">
        <v>5598</v>
      </c>
      <c r="D1507" s="943" t="s">
        <v>491</v>
      </c>
      <c r="E1507" s="1144">
        <v>1500</v>
      </c>
      <c r="F1507" s="943" t="s">
        <v>6097</v>
      </c>
      <c r="G1507" s="1245" t="s">
        <v>6098</v>
      </c>
      <c r="H1507" s="1245" t="s">
        <v>3112</v>
      </c>
      <c r="I1507" s="1147"/>
      <c r="J1507" s="943"/>
      <c r="K1507" s="944">
        <v>1</v>
      </c>
      <c r="L1507" s="898">
        <v>7</v>
      </c>
      <c r="M1507" s="899">
        <f t="shared" si="56"/>
        <v>10500</v>
      </c>
      <c r="N1507" s="898">
        <v>1</v>
      </c>
      <c r="O1507" s="898">
        <v>12</v>
      </c>
      <c r="P1507" s="899">
        <f t="shared" si="57"/>
        <v>18000</v>
      </c>
    </row>
    <row r="1508" spans="1:16" ht="24" x14ac:dyDescent="0.2">
      <c r="A1508" s="916" t="s">
        <v>5035</v>
      </c>
      <c r="B1508" s="943" t="s">
        <v>3092</v>
      </c>
      <c r="C1508" s="916" t="s">
        <v>5598</v>
      </c>
      <c r="D1508" s="943" t="s">
        <v>5040</v>
      </c>
      <c r="E1508" s="1144">
        <v>2931</v>
      </c>
      <c r="F1508" s="943" t="s">
        <v>6099</v>
      </c>
      <c r="G1508" s="1245" t="s">
        <v>6100</v>
      </c>
      <c r="H1508" s="1245" t="s">
        <v>5112</v>
      </c>
      <c r="I1508" s="1147"/>
      <c r="J1508" s="943"/>
      <c r="K1508" s="944">
        <v>1</v>
      </c>
      <c r="L1508" s="898">
        <v>7</v>
      </c>
      <c r="M1508" s="899">
        <f t="shared" ref="M1508:M1571" si="58">+L1508*E1508</f>
        <v>20517</v>
      </c>
      <c r="N1508" s="898">
        <v>1</v>
      </c>
      <c r="O1508" s="898">
        <v>12</v>
      </c>
      <c r="P1508" s="899">
        <f t="shared" ref="P1508:P1571" si="59">+O1508*E1508</f>
        <v>35172</v>
      </c>
    </row>
    <row r="1509" spans="1:16" ht="24" x14ac:dyDescent="0.2">
      <c r="A1509" s="916" t="s">
        <v>5035</v>
      </c>
      <c r="B1509" s="943" t="s">
        <v>3092</v>
      </c>
      <c r="C1509" s="916" t="s">
        <v>5598</v>
      </c>
      <c r="D1509" s="943" t="s">
        <v>491</v>
      </c>
      <c r="E1509" s="1144">
        <v>1200</v>
      </c>
      <c r="F1509" s="943" t="s">
        <v>6101</v>
      </c>
      <c r="G1509" s="1245" t="s">
        <v>6102</v>
      </c>
      <c r="H1509" s="1245" t="s">
        <v>3115</v>
      </c>
      <c r="I1509" s="1147"/>
      <c r="J1509" s="943"/>
      <c r="K1509" s="944">
        <v>1</v>
      </c>
      <c r="L1509" s="898">
        <v>7</v>
      </c>
      <c r="M1509" s="899">
        <f t="shared" si="58"/>
        <v>8400</v>
      </c>
      <c r="N1509" s="898">
        <v>1</v>
      </c>
      <c r="O1509" s="898">
        <v>12</v>
      </c>
      <c r="P1509" s="899">
        <f t="shared" si="59"/>
        <v>14400</v>
      </c>
    </row>
    <row r="1510" spans="1:16" ht="24" x14ac:dyDescent="0.2">
      <c r="A1510" s="916" t="s">
        <v>5035</v>
      </c>
      <c r="B1510" s="943" t="s">
        <v>3092</v>
      </c>
      <c r="C1510" s="916" t="s">
        <v>5598</v>
      </c>
      <c r="D1510" s="943" t="s">
        <v>5040</v>
      </c>
      <c r="E1510" s="1144">
        <v>2931</v>
      </c>
      <c r="F1510" s="943" t="s">
        <v>6103</v>
      </c>
      <c r="G1510" s="1245" t="s">
        <v>6104</v>
      </c>
      <c r="H1510" s="1245" t="s">
        <v>566</v>
      </c>
      <c r="I1510" s="1147"/>
      <c r="J1510" s="943"/>
      <c r="K1510" s="944">
        <v>1</v>
      </c>
      <c r="L1510" s="898">
        <v>7</v>
      </c>
      <c r="M1510" s="899">
        <f t="shared" si="58"/>
        <v>20517</v>
      </c>
      <c r="N1510" s="898">
        <v>1</v>
      </c>
      <c r="O1510" s="898">
        <v>12</v>
      </c>
      <c r="P1510" s="899">
        <f t="shared" si="59"/>
        <v>35172</v>
      </c>
    </row>
    <row r="1511" spans="1:16" ht="24" x14ac:dyDescent="0.2">
      <c r="A1511" s="916" t="s">
        <v>5035</v>
      </c>
      <c r="B1511" s="943" t="s">
        <v>3092</v>
      </c>
      <c r="C1511" s="916" t="s">
        <v>5598</v>
      </c>
      <c r="D1511" s="943" t="s">
        <v>5040</v>
      </c>
      <c r="E1511" s="1144">
        <v>1900</v>
      </c>
      <c r="F1511" s="943" t="s">
        <v>6105</v>
      </c>
      <c r="G1511" s="1245" t="s">
        <v>6106</v>
      </c>
      <c r="H1511" s="1245" t="s">
        <v>3294</v>
      </c>
      <c r="I1511" s="1147"/>
      <c r="J1511" s="943"/>
      <c r="K1511" s="944">
        <v>1</v>
      </c>
      <c r="L1511" s="898">
        <v>7</v>
      </c>
      <c r="M1511" s="899">
        <f t="shared" si="58"/>
        <v>13300</v>
      </c>
      <c r="N1511" s="898">
        <v>1</v>
      </c>
      <c r="O1511" s="898">
        <v>12</v>
      </c>
      <c r="P1511" s="899">
        <f t="shared" si="59"/>
        <v>22800</v>
      </c>
    </row>
    <row r="1512" spans="1:16" ht="24" x14ac:dyDescent="0.2">
      <c r="A1512" s="916" t="s">
        <v>5035</v>
      </c>
      <c r="B1512" s="943" t="s">
        <v>3092</v>
      </c>
      <c r="C1512" s="916" t="s">
        <v>5598</v>
      </c>
      <c r="D1512" s="943" t="s">
        <v>491</v>
      </c>
      <c r="E1512" s="1144">
        <v>1386</v>
      </c>
      <c r="F1512" s="943" t="s">
        <v>6107</v>
      </c>
      <c r="G1512" s="1245" t="s">
        <v>6108</v>
      </c>
      <c r="H1512" s="1245" t="s">
        <v>3112</v>
      </c>
      <c r="I1512" s="1147"/>
      <c r="J1512" s="943"/>
      <c r="K1512" s="944">
        <v>1</v>
      </c>
      <c r="L1512" s="898">
        <v>7</v>
      </c>
      <c r="M1512" s="899">
        <f t="shared" si="58"/>
        <v>9702</v>
      </c>
      <c r="N1512" s="898">
        <v>1</v>
      </c>
      <c r="O1512" s="898">
        <v>12</v>
      </c>
      <c r="P1512" s="899">
        <f t="shared" si="59"/>
        <v>16632</v>
      </c>
    </row>
    <row r="1513" spans="1:16" ht="24" x14ac:dyDescent="0.2">
      <c r="A1513" s="916" t="s">
        <v>5035</v>
      </c>
      <c r="B1513" s="943" t="s">
        <v>3092</v>
      </c>
      <c r="C1513" s="916" t="s">
        <v>5598</v>
      </c>
      <c r="D1513" s="943" t="s">
        <v>491</v>
      </c>
      <c r="E1513" s="1144">
        <v>1500</v>
      </c>
      <c r="F1513" s="943" t="s">
        <v>6109</v>
      </c>
      <c r="G1513" s="1245" t="s">
        <v>6110</v>
      </c>
      <c r="H1513" s="1245" t="s">
        <v>3115</v>
      </c>
      <c r="I1513" s="1147"/>
      <c r="J1513" s="943"/>
      <c r="K1513" s="944">
        <v>1</v>
      </c>
      <c r="L1513" s="898">
        <v>7</v>
      </c>
      <c r="M1513" s="899">
        <f t="shared" si="58"/>
        <v>10500</v>
      </c>
      <c r="N1513" s="898">
        <v>1</v>
      </c>
      <c r="O1513" s="898">
        <v>12</v>
      </c>
      <c r="P1513" s="899">
        <f t="shared" si="59"/>
        <v>18000</v>
      </c>
    </row>
    <row r="1514" spans="1:16" ht="24" x14ac:dyDescent="0.2">
      <c r="A1514" s="916" t="s">
        <v>5035</v>
      </c>
      <c r="B1514" s="943" t="s">
        <v>3092</v>
      </c>
      <c r="C1514" s="916" t="s">
        <v>5598</v>
      </c>
      <c r="D1514" s="943" t="s">
        <v>5040</v>
      </c>
      <c r="E1514" s="1144">
        <v>3000</v>
      </c>
      <c r="F1514" s="943" t="s">
        <v>6111</v>
      </c>
      <c r="G1514" s="1245" t="s">
        <v>6112</v>
      </c>
      <c r="H1514" s="1245" t="s">
        <v>580</v>
      </c>
      <c r="I1514" s="1147"/>
      <c r="J1514" s="943"/>
      <c r="K1514" s="944">
        <v>1</v>
      </c>
      <c r="L1514" s="898">
        <v>7</v>
      </c>
      <c r="M1514" s="899">
        <f t="shared" si="58"/>
        <v>21000</v>
      </c>
      <c r="N1514" s="898">
        <v>1</v>
      </c>
      <c r="O1514" s="898">
        <v>12</v>
      </c>
      <c r="P1514" s="899">
        <f t="shared" si="59"/>
        <v>36000</v>
      </c>
    </row>
    <row r="1515" spans="1:16" ht="24" x14ac:dyDescent="0.2">
      <c r="A1515" s="916" t="s">
        <v>5035</v>
      </c>
      <c r="B1515" s="943" t="s">
        <v>3092</v>
      </c>
      <c r="C1515" s="916" t="s">
        <v>5598</v>
      </c>
      <c r="D1515" s="943" t="s">
        <v>5040</v>
      </c>
      <c r="E1515" s="1144">
        <v>3000</v>
      </c>
      <c r="F1515" s="943" t="s">
        <v>6113</v>
      </c>
      <c r="G1515" s="1245" t="s">
        <v>6114</v>
      </c>
      <c r="H1515" s="1245" t="s">
        <v>5043</v>
      </c>
      <c r="I1515" s="1147"/>
      <c r="J1515" s="943"/>
      <c r="K1515" s="944">
        <v>1</v>
      </c>
      <c r="L1515" s="898">
        <v>7</v>
      </c>
      <c r="M1515" s="899">
        <f t="shared" si="58"/>
        <v>21000</v>
      </c>
      <c r="N1515" s="898">
        <v>1</v>
      </c>
      <c r="O1515" s="898">
        <v>12</v>
      </c>
      <c r="P1515" s="899">
        <f t="shared" si="59"/>
        <v>36000</v>
      </c>
    </row>
    <row r="1516" spans="1:16" ht="24" x14ac:dyDescent="0.2">
      <c r="A1516" s="916" t="s">
        <v>5035</v>
      </c>
      <c r="B1516" s="943" t="s">
        <v>3092</v>
      </c>
      <c r="C1516" s="916" t="s">
        <v>5598</v>
      </c>
      <c r="D1516" s="943" t="s">
        <v>5040</v>
      </c>
      <c r="E1516" s="1144">
        <v>1932</v>
      </c>
      <c r="F1516" s="943" t="s">
        <v>6115</v>
      </c>
      <c r="G1516" s="1245" t="s">
        <v>6116</v>
      </c>
      <c r="H1516" s="1245" t="s">
        <v>5043</v>
      </c>
      <c r="I1516" s="1147"/>
      <c r="J1516" s="943"/>
      <c r="K1516" s="944">
        <v>1</v>
      </c>
      <c r="L1516" s="898">
        <v>7</v>
      </c>
      <c r="M1516" s="899">
        <f t="shared" si="58"/>
        <v>13524</v>
      </c>
      <c r="N1516" s="898">
        <v>1</v>
      </c>
      <c r="O1516" s="898">
        <v>12</v>
      </c>
      <c r="P1516" s="899">
        <f t="shared" si="59"/>
        <v>23184</v>
      </c>
    </row>
    <row r="1517" spans="1:16" ht="24" x14ac:dyDescent="0.2">
      <c r="A1517" s="916" t="s">
        <v>5035</v>
      </c>
      <c r="B1517" s="943" t="s">
        <v>3092</v>
      </c>
      <c r="C1517" s="916" t="s">
        <v>5598</v>
      </c>
      <c r="D1517" s="943" t="s">
        <v>5040</v>
      </c>
      <c r="E1517" s="1144">
        <v>1932</v>
      </c>
      <c r="F1517" s="943" t="s">
        <v>6117</v>
      </c>
      <c r="G1517" s="1245" t="s">
        <v>6118</v>
      </c>
      <c r="H1517" s="1245" t="s">
        <v>5043</v>
      </c>
      <c r="I1517" s="1147"/>
      <c r="J1517" s="943"/>
      <c r="K1517" s="944">
        <v>1</v>
      </c>
      <c r="L1517" s="898">
        <v>7</v>
      </c>
      <c r="M1517" s="899">
        <f t="shared" si="58"/>
        <v>13524</v>
      </c>
      <c r="N1517" s="898">
        <v>1</v>
      </c>
      <c r="O1517" s="898">
        <v>12</v>
      </c>
      <c r="P1517" s="899">
        <f t="shared" si="59"/>
        <v>23184</v>
      </c>
    </row>
    <row r="1518" spans="1:16" x14ac:dyDescent="0.2">
      <c r="A1518" s="916" t="s">
        <v>5035</v>
      </c>
      <c r="B1518" s="943" t="s">
        <v>3092</v>
      </c>
      <c r="C1518" s="916" t="s">
        <v>5598</v>
      </c>
      <c r="D1518" s="943" t="s">
        <v>5040</v>
      </c>
      <c r="E1518" s="1144">
        <v>1200</v>
      </c>
      <c r="F1518" s="943" t="s">
        <v>6119</v>
      </c>
      <c r="G1518" s="1245" t="s">
        <v>6120</v>
      </c>
      <c r="H1518" s="1245" t="s">
        <v>3187</v>
      </c>
      <c r="I1518" s="1147"/>
      <c r="J1518" s="943"/>
      <c r="K1518" s="944">
        <v>1</v>
      </c>
      <c r="L1518" s="898">
        <v>7</v>
      </c>
      <c r="M1518" s="899">
        <f t="shared" si="58"/>
        <v>8400</v>
      </c>
      <c r="N1518" s="898">
        <v>1</v>
      </c>
      <c r="O1518" s="898">
        <v>12</v>
      </c>
      <c r="P1518" s="899">
        <f t="shared" si="59"/>
        <v>14400</v>
      </c>
    </row>
    <row r="1519" spans="1:16" ht="24" x14ac:dyDescent="0.2">
      <c r="A1519" s="916" t="s">
        <v>5035</v>
      </c>
      <c r="B1519" s="943" t="s">
        <v>3092</v>
      </c>
      <c r="C1519" s="916" t="s">
        <v>5598</v>
      </c>
      <c r="D1519" s="943" t="s">
        <v>5040</v>
      </c>
      <c r="E1519" s="1144">
        <v>5206.6000000000004</v>
      </c>
      <c r="F1519" s="943" t="s">
        <v>6121</v>
      </c>
      <c r="G1519" s="1245" t="s">
        <v>6122</v>
      </c>
      <c r="H1519" s="1245" t="s">
        <v>5077</v>
      </c>
      <c r="I1519" s="1147"/>
      <c r="J1519" s="943"/>
      <c r="K1519" s="944">
        <v>1</v>
      </c>
      <c r="L1519" s="898">
        <v>7</v>
      </c>
      <c r="M1519" s="899">
        <f t="shared" si="58"/>
        <v>36446.200000000004</v>
      </c>
      <c r="N1519" s="898">
        <v>1</v>
      </c>
      <c r="O1519" s="898">
        <v>12</v>
      </c>
      <c r="P1519" s="899">
        <f t="shared" si="59"/>
        <v>62479.200000000004</v>
      </c>
    </row>
    <row r="1520" spans="1:16" ht="24" x14ac:dyDescent="0.2">
      <c r="A1520" s="916" t="s">
        <v>5035</v>
      </c>
      <c r="B1520" s="943" t="s">
        <v>3092</v>
      </c>
      <c r="C1520" s="916" t="s">
        <v>5598</v>
      </c>
      <c r="D1520" s="943" t="s">
        <v>5040</v>
      </c>
      <c r="E1520" s="1144">
        <v>1923</v>
      </c>
      <c r="F1520" s="943" t="s">
        <v>6123</v>
      </c>
      <c r="G1520" s="1245" t="s">
        <v>6124</v>
      </c>
      <c r="H1520" s="1245" t="s">
        <v>580</v>
      </c>
      <c r="I1520" s="1147"/>
      <c r="J1520" s="943"/>
      <c r="K1520" s="944">
        <v>1</v>
      </c>
      <c r="L1520" s="898">
        <v>7</v>
      </c>
      <c r="M1520" s="899">
        <f t="shared" si="58"/>
        <v>13461</v>
      </c>
      <c r="N1520" s="898">
        <v>1</v>
      </c>
      <c r="O1520" s="898">
        <v>12</v>
      </c>
      <c r="P1520" s="899">
        <f t="shared" si="59"/>
        <v>23076</v>
      </c>
    </row>
    <row r="1521" spans="1:16" ht="24" x14ac:dyDescent="0.2">
      <c r="A1521" s="916" t="s">
        <v>5035</v>
      </c>
      <c r="B1521" s="943" t="s">
        <v>3092</v>
      </c>
      <c r="C1521" s="916" t="s">
        <v>5598</v>
      </c>
      <c r="D1521" s="943" t="s">
        <v>491</v>
      </c>
      <c r="E1521" s="1144">
        <v>2200</v>
      </c>
      <c r="F1521" s="943" t="s">
        <v>6125</v>
      </c>
      <c r="G1521" s="1245" t="s">
        <v>6126</v>
      </c>
      <c r="H1521" s="1245" t="s">
        <v>3387</v>
      </c>
      <c r="I1521" s="1147"/>
      <c r="J1521" s="943"/>
      <c r="K1521" s="944">
        <v>1</v>
      </c>
      <c r="L1521" s="898">
        <v>7</v>
      </c>
      <c r="M1521" s="899">
        <f t="shared" si="58"/>
        <v>15400</v>
      </c>
      <c r="N1521" s="898">
        <v>1</v>
      </c>
      <c r="O1521" s="898">
        <v>12</v>
      </c>
      <c r="P1521" s="899">
        <f t="shared" si="59"/>
        <v>26400</v>
      </c>
    </row>
    <row r="1522" spans="1:16" ht="24" x14ac:dyDescent="0.2">
      <c r="A1522" s="916" t="s">
        <v>5035</v>
      </c>
      <c r="B1522" s="943" t="s">
        <v>3092</v>
      </c>
      <c r="C1522" s="916" t="s">
        <v>5598</v>
      </c>
      <c r="D1522" s="943" t="s">
        <v>491</v>
      </c>
      <c r="E1522" s="1144">
        <v>2200</v>
      </c>
      <c r="F1522" s="943" t="s">
        <v>6127</v>
      </c>
      <c r="G1522" s="1245" t="s">
        <v>6128</v>
      </c>
      <c r="H1522" s="1245" t="s">
        <v>3168</v>
      </c>
      <c r="I1522" s="1147"/>
      <c r="J1522" s="943"/>
      <c r="K1522" s="944">
        <v>1</v>
      </c>
      <c r="L1522" s="898">
        <v>7</v>
      </c>
      <c r="M1522" s="899">
        <f t="shared" si="58"/>
        <v>15400</v>
      </c>
      <c r="N1522" s="898">
        <v>1</v>
      </c>
      <c r="O1522" s="898">
        <v>12</v>
      </c>
      <c r="P1522" s="899">
        <f t="shared" si="59"/>
        <v>26400</v>
      </c>
    </row>
    <row r="1523" spans="1:16" ht="24" x14ac:dyDescent="0.2">
      <c r="A1523" s="916" t="s">
        <v>5035</v>
      </c>
      <c r="B1523" s="943" t="s">
        <v>3092</v>
      </c>
      <c r="C1523" s="916" t="s">
        <v>5598</v>
      </c>
      <c r="D1523" s="943" t="s">
        <v>491</v>
      </c>
      <c r="E1523" s="1144">
        <v>2200</v>
      </c>
      <c r="F1523" s="943" t="s">
        <v>6129</v>
      </c>
      <c r="G1523" s="1245" t="s">
        <v>6130</v>
      </c>
      <c r="H1523" s="1245" t="s">
        <v>3112</v>
      </c>
      <c r="I1523" s="1147"/>
      <c r="J1523" s="943"/>
      <c r="K1523" s="944">
        <v>1</v>
      </c>
      <c r="L1523" s="898">
        <v>7</v>
      </c>
      <c r="M1523" s="899">
        <f t="shared" si="58"/>
        <v>15400</v>
      </c>
      <c r="N1523" s="898">
        <v>1</v>
      </c>
      <c r="O1523" s="898">
        <v>12</v>
      </c>
      <c r="P1523" s="899">
        <f t="shared" si="59"/>
        <v>26400</v>
      </c>
    </row>
    <row r="1524" spans="1:16" x14ac:dyDescent="0.2">
      <c r="A1524" s="916" t="s">
        <v>5035</v>
      </c>
      <c r="B1524" s="943" t="s">
        <v>3092</v>
      </c>
      <c r="C1524" s="916" t="s">
        <v>5598</v>
      </c>
      <c r="D1524" s="943" t="s">
        <v>5040</v>
      </c>
      <c r="E1524" s="1144">
        <v>1400</v>
      </c>
      <c r="F1524" s="943" t="s">
        <v>6131</v>
      </c>
      <c r="G1524" s="1245" t="s">
        <v>6132</v>
      </c>
      <c r="H1524" s="1245" t="s">
        <v>3164</v>
      </c>
      <c r="I1524" s="1147"/>
      <c r="J1524" s="943"/>
      <c r="K1524" s="944">
        <v>1</v>
      </c>
      <c r="L1524" s="898">
        <v>7</v>
      </c>
      <c r="M1524" s="899">
        <f t="shared" si="58"/>
        <v>9800</v>
      </c>
      <c r="N1524" s="898">
        <v>1</v>
      </c>
      <c r="O1524" s="898">
        <v>12</v>
      </c>
      <c r="P1524" s="899">
        <f t="shared" si="59"/>
        <v>16800</v>
      </c>
    </row>
    <row r="1525" spans="1:16" x14ac:dyDescent="0.2">
      <c r="A1525" s="916" t="s">
        <v>5035</v>
      </c>
      <c r="B1525" s="943" t="s">
        <v>3092</v>
      </c>
      <c r="C1525" s="916" t="s">
        <v>5598</v>
      </c>
      <c r="D1525" s="943" t="s">
        <v>5040</v>
      </c>
      <c r="E1525" s="1144">
        <v>1200</v>
      </c>
      <c r="F1525" s="943" t="s">
        <v>6133</v>
      </c>
      <c r="G1525" s="1245" t="s">
        <v>6134</v>
      </c>
      <c r="H1525" s="1245" t="s">
        <v>3187</v>
      </c>
      <c r="I1525" s="1147"/>
      <c r="J1525" s="943"/>
      <c r="K1525" s="944">
        <v>1</v>
      </c>
      <c r="L1525" s="898">
        <v>7</v>
      </c>
      <c r="M1525" s="899">
        <f t="shared" si="58"/>
        <v>8400</v>
      </c>
      <c r="N1525" s="898">
        <v>1</v>
      </c>
      <c r="O1525" s="898">
        <v>12</v>
      </c>
      <c r="P1525" s="899">
        <f t="shared" si="59"/>
        <v>14400</v>
      </c>
    </row>
    <row r="1526" spans="1:16" ht="24" x14ac:dyDescent="0.2">
      <c r="A1526" s="916" t="s">
        <v>5035</v>
      </c>
      <c r="B1526" s="943" t="s">
        <v>3092</v>
      </c>
      <c r="C1526" s="916" t="s">
        <v>5598</v>
      </c>
      <c r="D1526" s="943" t="s">
        <v>5040</v>
      </c>
      <c r="E1526" s="1144">
        <v>1923</v>
      </c>
      <c r="F1526" s="943" t="s">
        <v>6135</v>
      </c>
      <c r="G1526" s="1245" t="s">
        <v>6136</v>
      </c>
      <c r="H1526" s="1245" t="s">
        <v>5043</v>
      </c>
      <c r="I1526" s="1147"/>
      <c r="J1526" s="943"/>
      <c r="K1526" s="944">
        <v>1</v>
      </c>
      <c r="L1526" s="898">
        <v>7</v>
      </c>
      <c r="M1526" s="899">
        <f t="shared" si="58"/>
        <v>13461</v>
      </c>
      <c r="N1526" s="898">
        <v>1</v>
      </c>
      <c r="O1526" s="898">
        <v>12</v>
      </c>
      <c r="P1526" s="899">
        <f t="shared" si="59"/>
        <v>23076</v>
      </c>
    </row>
    <row r="1527" spans="1:16" ht="24" x14ac:dyDescent="0.2">
      <c r="A1527" s="916" t="s">
        <v>5035</v>
      </c>
      <c r="B1527" s="943" t="s">
        <v>3092</v>
      </c>
      <c r="C1527" s="916" t="s">
        <v>5598</v>
      </c>
      <c r="D1527" s="943" t="s">
        <v>491</v>
      </c>
      <c r="E1527" s="1144">
        <v>1200</v>
      </c>
      <c r="F1527" s="943" t="s">
        <v>6137</v>
      </c>
      <c r="G1527" s="1245" t="s">
        <v>6138</v>
      </c>
      <c r="H1527" s="1245" t="s">
        <v>3112</v>
      </c>
      <c r="I1527" s="1147"/>
      <c r="J1527" s="943"/>
      <c r="K1527" s="944">
        <v>1</v>
      </c>
      <c r="L1527" s="898">
        <v>7</v>
      </c>
      <c r="M1527" s="899">
        <f t="shared" si="58"/>
        <v>8400</v>
      </c>
      <c r="N1527" s="898">
        <v>1</v>
      </c>
      <c r="O1527" s="898">
        <v>12</v>
      </c>
      <c r="P1527" s="899">
        <f t="shared" si="59"/>
        <v>14400</v>
      </c>
    </row>
    <row r="1528" spans="1:16" x14ac:dyDescent="0.2">
      <c r="A1528" s="916" t="s">
        <v>5035</v>
      </c>
      <c r="B1528" s="943" t="s">
        <v>3092</v>
      </c>
      <c r="C1528" s="916" t="s">
        <v>5598</v>
      </c>
      <c r="D1528" s="943" t="s">
        <v>5040</v>
      </c>
      <c r="E1528" s="1144">
        <v>1200</v>
      </c>
      <c r="F1528" s="943" t="s">
        <v>6139</v>
      </c>
      <c r="G1528" s="1245" t="s">
        <v>6140</v>
      </c>
      <c r="H1528" s="1245" t="s">
        <v>5084</v>
      </c>
      <c r="I1528" s="1147"/>
      <c r="J1528" s="943"/>
      <c r="K1528" s="944">
        <v>1</v>
      </c>
      <c r="L1528" s="898">
        <v>7</v>
      </c>
      <c r="M1528" s="899">
        <f t="shared" si="58"/>
        <v>8400</v>
      </c>
      <c r="N1528" s="898">
        <v>1</v>
      </c>
      <c r="O1528" s="898">
        <v>12</v>
      </c>
      <c r="P1528" s="899">
        <f t="shared" si="59"/>
        <v>14400</v>
      </c>
    </row>
    <row r="1529" spans="1:16" ht="24" x14ac:dyDescent="0.2">
      <c r="A1529" s="916" t="s">
        <v>5035</v>
      </c>
      <c r="B1529" s="943" t="s">
        <v>3092</v>
      </c>
      <c r="C1529" s="916" t="s">
        <v>5598</v>
      </c>
      <c r="D1529" s="943" t="s">
        <v>491</v>
      </c>
      <c r="E1529" s="1144">
        <v>1430</v>
      </c>
      <c r="F1529" s="943" t="s">
        <v>6141</v>
      </c>
      <c r="G1529" s="1245" t="s">
        <v>6142</v>
      </c>
      <c r="H1529" s="1245" t="s">
        <v>3112</v>
      </c>
      <c r="I1529" s="1147"/>
      <c r="J1529" s="943"/>
      <c r="K1529" s="944">
        <v>1</v>
      </c>
      <c r="L1529" s="898">
        <v>7</v>
      </c>
      <c r="M1529" s="899">
        <f t="shared" si="58"/>
        <v>10010</v>
      </c>
      <c r="N1529" s="898">
        <v>1</v>
      </c>
      <c r="O1529" s="898">
        <v>12</v>
      </c>
      <c r="P1529" s="899">
        <f t="shared" si="59"/>
        <v>17160</v>
      </c>
    </row>
    <row r="1530" spans="1:16" x14ac:dyDescent="0.2">
      <c r="A1530" s="916" t="s">
        <v>5035</v>
      </c>
      <c r="B1530" s="943" t="s">
        <v>3092</v>
      </c>
      <c r="C1530" s="916" t="s">
        <v>5598</v>
      </c>
      <c r="D1530" s="943" t="s">
        <v>5040</v>
      </c>
      <c r="E1530" s="1144">
        <v>5300</v>
      </c>
      <c r="F1530" s="943" t="s">
        <v>6143</v>
      </c>
      <c r="G1530" s="1245" t="s">
        <v>6144</v>
      </c>
      <c r="H1530" s="1245" t="s">
        <v>517</v>
      </c>
      <c r="I1530" s="1147"/>
      <c r="J1530" s="943"/>
      <c r="K1530" s="944">
        <v>1</v>
      </c>
      <c r="L1530" s="898">
        <v>7</v>
      </c>
      <c r="M1530" s="899">
        <f t="shared" si="58"/>
        <v>37100</v>
      </c>
      <c r="N1530" s="898">
        <v>1</v>
      </c>
      <c r="O1530" s="898">
        <v>12</v>
      </c>
      <c r="P1530" s="899">
        <f t="shared" si="59"/>
        <v>63600</v>
      </c>
    </row>
    <row r="1531" spans="1:16" x14ac:dyDescent="0.2">
      <c r="A1531" s="916" t="s">
        <v>5035</v>
      </c>
      <c r="B1531" s="943" t="s">
        <v>3092</v>
      </c>
      <c r="C1531" s="916" t="s">
        <v>5598</v>
      </c>
      <c r="D1531" s="943" t="s">
        <v>5040</v>
      </c>
      <c r="E1531" s="1144">
        <v>1200</v>
      </c>
      <c r="F1531" s="943" t="s">
        <v>6145</v>
      </c>
      <c r="G1531" s="1245" t="s">
        <v>6146</v>
      </c>
      <c r="H1531" s="1245" t="s">
        <v>3187</v>
      </c>
      <c r="I1531" s="1147"/>
      <c r="J1531" s="943"/>
      <c r="K1531" s="944">
        <v>1</v>
      </c>
      <c r="L1531" s="898">
        <v>7</v>
      </c>
      <c r="M1531" s="899">
        <f t="shared" si="58"/>
        <v>8400</v>
      </c>
      <c r="N1531" s="898">
        <v>1</v>
      </c>
      <c r="O1531" s="898">
        <v>12</v>
      </c>
      <c r="P1531" s="899">
        <f t="shared" si="59"/>
        <v>14400</v>
      </c>
    </row>
    <row r="1532" spans="1:16" ht="24" x14ac:dyDescent="0.2">
      <c r="A1532" s="916" t="s">
        <v>5035</v>
      </c>
      <c r="B1532" s="943" t="s">
        <v>3092</v>
      </c>
      <c r="C1532" s="916" t="s">
        <v>5598</v>
      </c>
      <c r="D1532" s="943" t="s">
        <v>5040</v>
      </c>
      <c r="E1532" s="1144">
        <v>1923</v>
      </c>
      <c r="F1532" s="943" t="s">
        <v>6147</v>
      </c>
      <c r="G1532" s="1245" t="s">
        <v>6148</v>
      </c>
      <c r="H1532" s="1245" t="s">
        <v>5043</v>
      </c>
      <c r="I1532" s="1147"/>
      <c r="J1532" s="943"/>
      <c r="K1532" s="944">
        <v>1</v>
      </c>
      <c r="L1532" s="898">
        <v>7</v>
      </c>
      <c r="M1532" s="899">
        <f t="shared" si="58"/>
        <v>13461</v>
      </c>
      <c r="N1532" s="898">
        <v>1</v>
      </c>
      <c r="O1532" s="898">
        <v>12</v>
      </c>
      <c r="P1532" s="899">
        <f t="shared" si="59"/>
        <v>23076</v>
      </c>
    </row>
    <row r="1533" spans="1:16" x14ac:dyDescent="0.2">
      <c r="A1533" s="916" t="s">
        <v>5035</v>
      </c>
      <c r="B1533" s="943" t="s">
        <v>3092</v>
      </c>
      <c r="C1533" s="916" t="s">
        <v>5598</v>
      </c>
      <c r="D1533" s="943" t="s">
        <v>5040</v>
      </c>
      <c r="E1533" s="1144">
        <v>5500</v>
      </c>
      <c r="F1533" s="943" t="s">
        <v>6149</v>
      </c>
      <c r="G1533" s="1245" t="s">
        <v>6150</v>
      </c>
      <c r="H1533" s="1245" t="s">
        <v>517</v>
      </c>
      <c r="I1533" s="1147"/>
      <c r="J1533" s="943"/>
      <c r="K1533" s="944">
        <v>1</v>
      </c>
      <c r="L1533" s="898">
        <v>7</v>
      </c>
      <c r="M1533" s="899">
        <f t="shared" si="58"/>
        <v>38500</v>
      </c>
      <c r="N1533" s="898">
        <v>1</v>
      </c>
      <c r="O1533" s="898">
        <v>12</v>
      </c>
      <c r="P1533" s="899">
        <f t="shared" si="59"/>
        <v>66000</v>
      </c>
    </row>
    <row r="1534" spans="1:16" ht="24" x14ac:dyDescent="0.2">
      <c r="A1534" s="916" t="s">
        <v>5035</v>
      </c>
      <c r="B1534" s="943" t="s">
        <v>3092</v>
      </c>
      <c r="C1534" s="916" t="s">
        <v>5598</v>
      </c>
      <c r="D1534" s="943" t="s">
        <v>5040</v>
      </c>
      <c r="E1534" s="1144">
        <v>1923</v>
      </c>
      <c r="F1534" s="943" t="s">
        <v>6151</v>
      </c>
      <c r="G1534" s="1245" t="s">
        <v>6152</v>
      </c>
      <c r="H1534" s="1245" t="s">
        <v>5043</v>
      </c>
      <c r="I1534" s="1147"/>
      <c r="J1534" s="943"/>
      <c r="K1534" s="944">
        <v>1</v>
      </c>
      <c r="L1534" s="898">
        <v>7</v>
      </c>
      <c r="M1534" s="899">
        <f t="shared" si="58"/>
        <v>13461</v>
      </c>
      <c r="N1534" s="898">
        <v>1</v>
      </c>
      <c r="O1534" s="898">
        <v>12</v>
      </c>
      <c r="P1534" s="899">
        <f t="shared" si="59"/>
        <v>23076</v>
      </c>
    </row>
    <row r="1535" spans="1:16" ht="24" x14ac:dyDescent="0.2">
      <c r="A1535" s="916" t="s">
        <v>5035</v>
      </c>
      <c r="B1535" s="943" t="s">
        <v>3092</v>
      </c>
      <c r="C1535" s="916" t="s">
        <v>5598</v>
      </c>
      <c r="D1535" s="943" t="s">
        <v>5040</v>
      </c>
      <c r="E1535" s="1144">
        <v>1932</v>
      </c>
      <c r="F1535" s="943" t="s">
        <v>6153</v>
      </c>
      <c r="G1535" s="1245" t="s">
        <v>6154</v>
      </c>
      <c r="H1535" s="1245" t="s">
        <v>5043</v>
      </c>
      <c r="I1535" s="1147"/>
      <c r="J1535" s="943"/>
      <c r="K1535" s="944">
        <v>1</v>
      </c>
      <c r="L1535" s="898">
        <v>7</v>
      </c>
      <c r="M1535" s="899">
        <f t="shared" si="58"/>
        <v>13524</v>
      </c>
      <c r="N1535" s="898">
        <v>1</v>
      </c>
      <c r="O1535" s="898">
        <v>12</v>
      </c>
      <c r="P1535" s="899">
        <f t="shared" si="59"/>
        <v>23184</v>
      </c>
    </row>
    <row r="1536" spans="1:16" ht="24" x14ac:dyDescent="0.2">
      <c r="A1536" s="916" t="s">
        <v>5035</v>
      </c>
      <c r="B1536" s="943" t="s">
        <v>3092</v>
      </c>
      <c r="C1536" s="916" t="s">
        <v>5598</v>
      </c>
      <c r="D1536" s="943" t="s">
        <v>5040</v>
      </c>
      <c r="E1536" s="1144">
        <v>2050</v>
      </c>
      <c r="F1536" s="943" t="s">
        <v>6155</v>
      </c>
      <c r="G1536" s="1245" t="s">
        <v>6156</v>
      </c>
      <c r="H1536" s="1245" t="s">
        <v>5133</v>
      </c>
      <c r="I1536" s="1147"/>
      <c r="J1536" s="943"/>
      <c r="K1536" s="944">
        <v>1</v>
      </c>
      <c r="L1536" s="898">
        <v>7</v>
      </c>
      <c r="M1536" s="899">
        <f t="shared" si="58"/>
        <v>14350</v>
      </c>
      <c r="N1536" s="898">
        <v>1</v>
      </c>
      <c r="O1536" s="898">
        <v>12</v>
      </c>
      <c r="P1536" s="899">
        <f t="shared" si="59"/>
        <v>24600</v>
      </c>
    </row>
    <row r="1537" spans="1:16" x14ac:dyDescent="0.2">
      <c r="A1537" s="916" t="s">
        <v>5035</v>
      </c>
      <c r="B1537" s="943" t="s">
        <v>3092</v>
      </c>
      <c r="C1537" s="916" t="s">
        <v>5598</v>
      </c>
      <c r="D1537" s="943" t="s">
        <v>5040</v>
      </c>
      <c r="E1537" s="1144">
        <v>2931</v>
      </c>
      <c r="F1537" s="943" t="s">
        <v>6157</v>
      </c>
      <c r="G1537" s="1245" t="s">
        <v>6158</v>
      </c>
      <c r="H1537" s="1245" t="s">
        <v>5106</v>
      </c>
      <c r="I1537" s="1147"/>
      <c r="J1537" s="943"/>
      <c r="K1537" s="944">
        <v>1</v>
      </c>
      <c r="L1537" s="898">
        <v>7</v>
      </c>
      <c r="M1537" s="899">
        <f t="shared" si="58"/>
        <v>20517</v>
      </c>
      <c r="N1537" s="898">
        <v>1</v>
      </c>
      <c r="O1537" s="898">
        <v>12</v>
      </c>
      <c r="P1537" s="899">
        <f t="shared" si="59"/>
        <v>35172</v>
      </c>
    </row>
    <row r="1538" spans="1:16" ht="24" x14ac:dyDescent="0.2">
      <c r="A1538" s="916" t="s">
        <v>5035</v>
      </c>
      <c r="B1538" s="943" t="s">
        <v>3092</v>
      </c>
      <c r="C1538" s="916" t="s">
        <v>5598</v>
      </c>
      <c r="D1538" s="943" t="s">
        <v>5040</v>
      </c>
      <c r="E1538" s="1144">
        <v>1923</v>
      </c>
      <c r="F1538" s="943" t="s">
        <v>6159</v>
      </c>
      <c r="G1538" s="1245" t="s">
        <v>6160</v>
      </c>
      <c r="H1538" s="1245" t="s">
        <v>5043</v>
      </c>
      <c r="I1538" s="1147"/>
      <c r="J1538" s="943"/>
      <c r="K1538" s="944">
        <v>1</v>
      </c>
      <c r="L1538" s="898">
        <v>7</v>
      </c>
      <c r="M1538" s="899">
        <f t="shared" si="58"/>
        <v>13461</v>
      </c>
      <c r="N1538" s="898">
        <v>1</v>
      </c>
      <c r="O1538" s="898">
        <v>12</v>
      </c>
      <c r="P1538" s="899">
        <f t="shared" si="59"/>
        <v>23076</v>
      </c>
    </row>
    <row r="1539" spans="1:16" x14ac:dyDescent="0.2">
      <c r="A1539" s="916" t="s">
        <v>5035</v>
      </c>
      <c r="B1539" s="943" t="s">
        <v>3092</v>
      </c>
      <c r="C1539" s="916" t="s">
        <v>5598</v>
      </c>
      <c r="D1539" s="943" t="s">
        <v>5040</v>
      </c>
      <c r="E1539" s="1144">
        <v>1923</v>
      </c>
      <c r="F1539" s="943" t="s">
        <v>6161</v>
      </c>
      <c r="G1539" s="1245" t="s">
        <v>6162</v>
      </c>
      <c r="H1539" s="1245" t="s">
        <v>581</v>
      </c>
      <c r="I1539" s="1147"/>
      <c r="J1539" s="943"/>
      <c r="K1539" s="944">
        <v>1</v>
      </c>
      <c r="L1539" s="898">
        <v>7</v>
      </c>
      <c r="M1539" s="899">
        <f t="shared" si="58"/>
        <v>13461</v>
      </c>
      <c r="N1539" s="898">
        <v>1</v>
      </c>
      <c r="O1539" s="898">
        <v>12</v>
      </c>
      <c r="P1539" s="899">
        <f t="shared" si="59"/>
        <v>23076</v>
      </c>
    </row>
    <row r="1540" spans="1:16" x14ac:dyDescent="0.2">
      <c r="A1540" s="916" t="s">
        <v>5035</v>
      </c>
      <c r="B1540" s="943" t="s">
        <v>3092</v>
      </c>
      <c r="C1540" s="916" t="s">
        <v>5598</v>
      </c>
      <c r="D1540" s="943" t="s">
        <v>5040</v>
      </c>
      <c r="E1540" s="1144">
        <v>2931</v>
      </c>
      <c r="F1540" s="943" t="s">
        <v>6163</v>
      </c>
      <c r="G1540" s="1245" t="s">
        <v>6164</v>
      </c>
      <c r="H1540" s="1245" t="s">
        <v>5106</v>
      </c>
      <c r="I1540" s="1147"/>
      <c r="J1540" s="943"/>
      <c r="K1540" s="944">
        <v>1</v>
      </c>
      <c r="L1540" s="898">
        <v>7</v>
      </c>
      <c r="M1540" s="899">
        <f t="shared" si="58"/>
        <v>20517</v>
      </c>
      <c r="N1540" s="898">
        <v>1</v>
      </c>
      <c r="O1540" s="898">
        <v>12</v>
      </c>
      <c r="P1540" s="899">
        <f t="shared" si="59"/>
        <v>35172</v>
      </c>
    </row>
    <row r="1541" spans="1:16" ht="24" x14ac:dyDescent="0.2">
      <c r="A1541" s="916" t="s">
        <v>5035</v>
      </c>
      <c r="B1541" s="943" t="s">
        <v>3092</v>
      </c>
      <c r="C1541" s="916" t="s">
        <v>5598</v>
      </c>
      <c r="D1541" s="943" t="s">
        <v>491</v>
      </c>
      <c r="E1541" s="1144">
        <v>1848</v>
      </c>
      <c r="F1541" s="943" t="s">
        <v>6165</v>
      </c>
      <c r="G1541" s="1245" t="s">
        <v>6166</v>
      </c>
      <c r="H1541" s="1245" t="s">
        <v>3100</v>
      </c>
      <c r="I1541" s="1147"/>
      <c r="J1541" s="943"/>
      <c r="K1541" s="944">
        <v>1</v>
      </c>
      <c r="L1541" s="898">
        <v>7</v>
      </c>
      <c r="M1541" s="899">
        <f t="shared" si="58"/>
        <v>12936</v>
      </c>
      <c r="N1541" s="898">
        <v>1</v>
      </c>
      <c r="O1541" s="898">
        <v>12</v>
      </c>
      <c r="P1541" s="899">
        <f t="shared" si="59"/>
        <v>22176</v>
      </c>
    </row>
    <row r="1542" spans="1:16" x14ac:dyDescent="0.2">
      <c r="A1542" s="916" t="s">
        <v>5035</v>
      </c>
      <c r="B1542" s="943" t="s">
        <v>3092</v>
      </c>
      <c r="C1542" s="916" t="s">
        <v>5598</v>
      </c>
      <c r="D1542" s="943" t="s">
        <v>5040</v>
      </c>
      <c r="E1542" s="1144">
        <v>5206.6000000000004</v>
      </c>
      <c r="F1542" s="943" t="s">
        <v>6167</v>
      </c>
      <c r="G1542" s="1245" t="s">
        <v>6168</v>
      </c>
      <c r="H1542" s="1245" t="s">
        <v>5077</v>
      </c>
      <c r="I1542" s="1147"/>
      <c r="J1542" s="943"/>
      <c r="K1542" s="944">
        <v>1</v>
      </c>
      <c r="L1542" s="898">
        <v>7</v>
      </c>
      <c r="M1542" s="899">
        <f t="shared" si="58"/>
        <v>36446.200000000004</v>
      </c>
      <c r="N1542" s="898">
        <v>1</v>
      </c>
      <c r="O1542" s="898">
        <v>12</v>
      </c>
      <c r="P1542" s="899">
        <f t="shared" si="59"/>
        <v>62479.200000000004</v>
      </c>
    </row>
    <row r="1543" spans="1:16" x14ac:dyDescent="0.2">
      <c r="A1543" s="916" t="s">
        <v>5035</v>
      </c>
      <c r="B1543" s="943" t="s">
        <v>3092</v>
      </c>
      <c r="C1543" s="916" t="s">
        <v>5598</v>
      </c>
      <c r="D1543" s="943" t="s">
        <v>5040</v>
      </c>
      <c r="E1543" s="1144">
        <v>1923</v>
      </c>
      <c r="F1543" s="943" t="s">
        <v>6169</v>
      </c>
      <c r="G1543" s="1245" t="s">
        <v>6170</v>
      </c>
      <c r="H1543" s="1245" t="s">
        <v>581</v>
      </c>
      <c r="I1543" s="1147"/>
      <c r="J1543" s="943"/>
      <c r="K1543" s="944">
        <v>1</v>
      </c>
      <c r="L1543" s="898">
        <v>7</v>
      </c>
      <c r="M1543" s="899">
        <f t="shared" si="58"/>
        <v>13461</v>
      </c>
      <c r="N1543" s="898">
        <v>1</v>
      </c>
      <c r="O1543" s="898">
        <v>12</v>
      </c>
      <c r="P1543" s="899">
        <f t="shared" si="59"/>
        <v>23076</v>
      </c>
    </row>
    <row r="1544" spans="1:16" x14ac:dyDescent="0.2">
      <c r="A1544" s="916" t="s">
        <v>5035</v>
      </c>
      <c r="B1544" s="943" t="s">
        <v>3092</v>
      </c>
      <c r="C1544" s="916" t="s">
        <v>5598</v>
      </c>
      <c r="D1544" s="943" t="s">
        <v>5040</v>
      </c>
      <c r="E1544" s="1144">
        <v>1200</v>
      </c>
      <c r="F1544" s="943" t="s">
        <v>6171</v>
      </c>
      <c r="G1544" s="1245" t="s">
        <v>6172</v>
      </c>
      <c r="H1544" s="1245" t="s">
        <v>5657</v>
      </c>
      <c r="I1544" s="1147"/>
      <c r="J1544" s="943"/>
      <c r="K1544" s="944">
        <v>1</v>
      </c>
      <c r="L1544" s="898">
        <v>7</v>
      </c>
      <c r="M1544" s="899">
        <f t="shared" si="58"/>
        <v>8400</v>
      </c>
      <c r="N1544" s="898">
        <v>1</v>
      </c>
      <c r="O1544" s="898">
        <v>12</v>
      </c>
      <c r="P1544" s="899">
        <f t="shared" si="59"/>
        <v>14400</v>
      </c>
    </row>
    <row r="1545" spans="1:16" x14ac:dyDescent="0.2">
      <c r="A1545" s="916" t="s">
        <v>5035</v>
      </c>
      <c r="B1545" s="943" t="s">
        <v>3092</v>
      </c>
      <c r="C1545" s="916" t="s">
        <v>5598</v>
      </c>
      <c r="D1545" s="943" t="s">
        <v>5040</v>
      </c>
      <c r="E1545" s="1144">
        <v>2931</v>
      </c>
      <c r="F1545" s="943" t="s">
        <v>6173</v>
      </c>
      <c r="G1545" s="1245" t="s">
        <v>6174</v>
      </c>
      <c r="H1545" s="1245" t="s">
        <v>471</v>
      </c>
      <c r="I1545" s="1147"/>
      <c r="J1545" s="943"/>
      <c r="K1545" s="944">
        <v>1</v>
      </c>
      <c r="L1545" s="898">
        <v>7</v>
      </c>
      <c r="M1545" s="899">
        <f t="shared" si="58"/>
        <v>20517</v>
      </c>
      <c r="N1545" s="898">
        <v>1</v>
      </c>
      <c r="O1545" s="898">
        <v>12</v>
      </c>
      <c r="P1545" s="899">
        <f t="shared" si="59"/>
        <v>35172</v>
      </c>
    </row>
    <row r="1546" spans="1:16" x14ac:dyDescent="0.2">
      <c r="A1546" s="916" t="s">
        <v>5035</v>
      </c>
      <c r="B1546" s="943" t="s">
        <v>3092</v>
      </c>
      <c r="C1546" s="916" t="s">
        <v>5598</v>
      </c>
      <c r="D1546" s="943" t="s">
        <v>5040</v>
      </c>
      <c r="E1546" s="1144">
        <v>5300</v>
      </c>
      <c r="F1546" s="943" t="s">
        <v>6175</v>
      </c>
      <c r="G1546" s="1245" t="s">
        <v>6176</v>
      </c>
      <c r="H1546" s="1245" t="s">
        <v>517</v>
      </c>
      <c r="I1546" s="1147"/>
      <c r="J1546" s="943"/>
      <c r="K1546" s="944">
        <v>1</v>
      </c>
      <c r="L1546" s="898">
        <v>7</v>
      </c>
      <c r="M1546" s="899">
        <f t="shared" si="58"/>
        <v>37100</v>
      </c>
      <c r="N1546" s="898">
        <v>1</v>
      </c>
      <c r="O1546" s="898">
        <v>12</v>
      </c>
      <c r="P1546" s="899">
        <f t="shared" si="59"/>
        <v>63600</v>
      </c>
    </row>
    <row r="1547" spans="1:16" x14ac:dyDescent="0.2">
      <c r="A1547" s="916" t="s">
        <v>5035</v>
      </c>
      <c r="B1547" s="943" t="s">
        <v>3092</v>
      </c>
      <c r="C1547" s="916" t="s">
        <v>5598</v>
      </c>
      <c r="D1547" s="943" t="s">
        <v>5040</v>
      </c>
      <c r="E1547" s="1144">
        <v>2931</v>
      </c>
      <c r="F1547" s="943" t="s">
        <v>6177</v>
      </c>
      <c r="G1547" s="1245" t="s">
        <v>6178</v>
      </c>
      <c r="H1547" s="1245" t="s">
        <v>5106</v>
      </c>
      <c r="I1547" s="1147"/>
      <c r="J1547" s="943"/>
      <c r="K1547" s="944">
        <v>1</v>
      </c>
      <c r="L1547" s="898">
        <v>7</v>
      </c>
      <c r="M1547" s="899">
        <f t="shared" si="58"/>
        <v>20517</v>
      </c>
      <c r="N1547" s="898">
        <v>1</v>
      </c>
      <c r="O1547" s="898">
        <v>12</v>
      </c>
      <c r="P1547" s="899">
        <f t="shared" si="59"/>
        <v>35172</v>
      </c>
    </row>
    <row r="1548" spans="1:16" ht="24" x14ac:dyDescent="0.2">
      <c r="A1548" s="916" t="s">
        <v>5035</v>
      </c>
      <c r="B1548" s="943" t="s">
        <v>3092</v>
      </c>
      <c r="C1548" s="916" t="s">
        <v>5598</v>
      </c>
      <c r="D1548" s="943" t="s">
        <v>491</v>
      </c>
      <c r="E1548" s="1144">
        <v>1500</v>
      </c>
      <c r="F1548" s="943" t="s">
        <v>6179</v>
      </c>
      <c r="G1548" s="1245" t="s">
        <v>6180</v>
      </c>
      <c r="H1548" s="1245" t="s">
        <v>5109</v>
      </c>
      <c r="I1548" s="1147"/>
      <c r="J1548" s="943"/>
      <c r="K1548" s="944">
        <v>1</v>
      </c>
      <c r="L1548" s="898">
        <v>7</v>
      </c>
      <c r="M1548" s="899">
        <f t="shared" si="58"/>
        <v>10500</v>
      </c>
      <c r="N1548" s="898">
        <v>1</v>
      </c>
      <c r="O1548" s="898">
        <v>12</v>
      </c>
      <c r="P1548" s="899">
        <f t="shared" si="59"/>
        <v>18000</v>
      </c>
    </row>
    <row r="1549" spans="1:16" ht="24" x14ac:dyDescent="0.2">
      <c r="A1549" s="916" t="s">
        <v>5035</v>
      </c>
      <c r="B1549" s="943" t="s">
        <v>3092</v>
      </c>
      <c r="C1549" s="916" t="s">
        <v>5598</v>
      </c>
      <c r="D1549" s="943" t="s">
        <v>491</v>
      </c>
      <c r="E1549" s="1144">
        <v>1400</v>
      </c>
      <c r="F1549" s="943" t="s">
        <v>6181</v>
      </c>
      <c r="G1549" s="1245" t="s">
        <v>6182</v>
      </c>
      <c r="H1549" s="1245" t="s">
        <v>3112</v>
      </c>
      <c r="I1549" s="1147"/>
      <c r="J1549" s="943"/>
      <c r="K1549" s="944">
        <v>1</v>
      </c>
      <c r="L1549" s="898">
        <v>7</v>
      </c>
      <c r="M1549" s="899">
        <f t="shared" si="58"/>
        <v>9800</v>
      </c>
      <c r="N1549" s="898">
        <v>1</v>
      </c>
      <c r="O1549" s="898">
        <v>12</v>
      </c>
      <c r="P1549" s="899">
        <f t="shared" si="59"/>
        <v>16800</v>
      </c>
    </row>
    <row r="1550" spans="1:16" ht="24" x14ac:dyDescent="0.2">
      <c r="A1550" s="916" t="s">
        <v>5035</v>
      </c>
      <c r="B1550" s="943" t="s">
        <v>3092</v>
      </c>
      <c r="C1550" s="916" t="s">
        <v>5598</v>
      </c>
      <c r="D1550" s="943" t="s">
        <v>491</v>
      </c>
      <c r="E1550" s="1144">
        <v>1900</v>
      </c>
      <c r="F1550" s="943" t="s">
        <v>6183</v>
      </c>
      <c r="G1550" s="1245" t="s">
        <v>6184</v>
      </c>
      <c r="H1550" s="1245" t="s">
        <v>3112</v>
      </c>
      <c r="I1550" s="1147"/>
      <c r="J1550" s="943"/>
      <c r="K1550" s="944">
        <v>1</v>
      </c>
      <c r="L1550" s="898">
        <v>7</v>
      </c>
      <c r="M1550" s="899">
        <f t="shared" si="58"/>
        <v>13300</v>
      </c>
      <c r="N1550" s="898">
        <v>1</v>
      </c>
      <c r="O1550" s="898">
        <v>12</v>
      </c>
      <c r="P1550" s="899">
        <f t="shared" si="59"/>
        <v>22800</v>
      </c>
    </row>
    <row r="1551" spans="1:16" ht="24" x14ac:dyDescent="0.2">
      <c r="A1551" s="916" t="s">
        <v>5035</v>
      </c>
      <c r="B1551" s="943" t="s">
        <v>3092</v>
      </c>
      <c r="C1551" s="916" t="s">
        <v>5598</v>
      </c>
      <c r="D1551" s="943" t="s">
        <v>5040</v>
      </c>
      <c r="E1551" s="1144">
        <v>3000</v>
      </c>
      <c r="F1551" s="943" t="s">
        <v>6185</v>
      </c>
      <c r="G1551" s="1245" t="s">
        <v>6186</v>
      </c>
      <c r="H1551" s="1245" t="s">
        <v>5043</v>
      </c>
      <c r="I1551" s="1147"/>
      <c r="J1551" s="943"/>
      <c r="K1551" s="944">
        <v>1</v>
      </c>
      <c r="L1551" s="898">
        <v>7</v>
      </c>
      <c r="M1551" s="899">
        <f t="shared" si="58"/>
        <v>21000</v>
      </c>
      <c r="N1551" s="898">
        <v>1</v>
      </c>
      <c r="O1551" s="898">
        <v>12</v>
      </c>
      <c r="P1551" s="899">
        <f t="shared" si="59"/>
        <v>36000</v>
      </c>
    </row>
    <row r="1552" spans="1:16" x14ac:dyDescent="0.2">
      <c r="A1552" s="916" t="s">
        <v>5035</v>
      </c>
      <c r="B1552" s="943" t="s">
        <v>3092</v>
      </c>
      <c r="C1552" s="916" t="s">
        <v>5598</v>
      </c>
      <c r="D1552" s="943" t="s">
        <v>5040</v>
      </c>
      <c r="E1552" s="1144">
        <v>7000</v>
      </c>
      <c r="F1552" s="943" t="s">
        <v>6187</v>
      </c>
      <c r="G1552" s="1245" t="s">
        <v>6188</v>
      </c>
      <c r="H1552" s="1245" t="s">
        <v>5077</v>
      </c>
      <c r="I1552" s="1147"/>
      <c r="J1552" s="943"/>
      <c r="K1552" s="944">
        <v>1</v>
      </c>
      <c r="L1552" s="898">
        <v>7</v>
      </c>
      <c r="M1552" s="899">
        <f t="shared" si="58"/>
        <v>49000</v>
      </c>
      <c r="N1552" s="898">
        <v>1</v>
      </c>
      <c r="O1552" s="898">
        <v>12</v>
      </c>
      <c r="P1552" s="899">
        <f t="shared" si="59"/>
        <v>84000</v>
      </c>
    </row>
    <row r="1553" spans="1:16" x14ac:dyDescent="0.2">
      <c r="A1553" s="916" t="s">
        <v>5035</v>
      </c>
      <c r="B1553" s="943" t="s">
        <v>3092</v>
      </c>
      <c r="C1553" s="916" t="s">
        <v>5598</v>
      </c>
      <c r="D1553" s="943" t="s">
        <v>5040</v>
      </c>
      <c r="E1553" s="1144">
        <v>2931</v>
      </c>
      <c r="F1553" s="943" t="s">
        <v>6189</v>
      </c>
      <c r="G1553" s="1245" t="s">
        <v>6190</v>
      </c>
      <c r="H1553" s="1245" t="s">
        <v>5106</v>
      </c>
      <c r="I1553" s="1147"/>
      <c r="J1553" s="943"/>
      <c r="K1553" s="944">
        <v>1</v>
      </c>
      <c r="L1553" s="898">
        <v>7</v>
      </c>
      <c r="M1553" s="899">
        <f t="shared" si="58"/>
        <v>20517</v>
      </c>
      <c r="N1553" s="898">
        <v>1</v>
      </c>
      <c r="O1553" s="898">
        <v>12</v>
      </c>
      <c r="P1553" s="899">
        <f t="shared" si="59"/>
        <v>35172</v>
      </c>
    </row>
    <row r="1554" spans="1:16" ht="24" x14ac:dyDescent="0.2">
      <c r="A1554" s="916" t="s">
        <v>5035</v>
      </c>
      <c r="B1554" s="943" t="s">
        <v>3092</v>
      </c>
      <c r="C1554" s="916" t="s">
        <v>5598</v>
      </c>
      <c r="D1554" s="943" t="s">
        <v>491</v>
      </c>
      <c r="E1554" s="1144">
        <v>1200</v>
      </c>
      <c r="F1554" s="943" t="s">
        <v>6191</v>
      </c>
      <c r="G1554" s="1245" t="s">
        <v>6192</v>
      </c>
      <c r="H1554" s="1245" t="s">
        <v>3115</v>
      </c>
      <c r="I1554" s="1147"/>
      <c r="J1554" s="943"/>
      <c r="K1554" s="944">
        <v>1</v>
      </c>
      <c r="L1554" s="898">
        <v>7</v>
      </c>
      <c r="M1554" s="899">
        <f t="shared" si="58"/>
        <v>8400</v>
      </c>
      <c r="N1554" s="898">
        <v>1</v>
      </c>
      <c r="O1554" s="898">
        <v>12</v>
      </c>
      <c r="P1554" s="899">
        <f t="shared" si="59"/>
        <v>14400</v>
      </c>
    </row>
    <row r="1555" spans="1:16" x14ac:dyDescent="0.2">
      <c r="A1555" s="916" t="s">
        <v>5035</v>
      </c>
      <c r="B1555" s="943" t="s">
        <v>3092</v>
      </c>
      <c r="C1555" s="916" t="s">
        <v>5598</v>
      </c>
      <c r="D1555" s="943" t="s">
        <v>5040</v>
      </c>
      <c r="E1555" s="1144">
        <v>1200</v>
      </c>
      <c r="F1555" s="943" t="s">
        <v>6193</v>
      </c>
      <c r="G1555" s="1245" t="s">
        <v>6194</v>
      </c>
      <c r="H1555" s="1245" t="s">
        <v>5657</v>
      </c>
      <c r="I1555" s="1147"/>
      <c r="J1555" s="943"/>
      <c r="K1555" s="944">
        <v>1</v>
      </c>
      <c r="L1555" s="898">
        <v>7</v>
      </c>
      <c r="M1555" s="899">
        <f t="shared" si="58"/>
        <v>8400</v>
      </c>
      <c r="N1555" s="898">
        <v>1</v>
      </c>
      <c r="O1555" s="898">
        <v>12</v>
      </c>
      <c r="P1555" s="899">
        <f t="shared" si="59"/>
        <v>14400</v>
      </c>
    </row>
    <row r="1556" spans="1:16" ht="24" x14ac:dyDescent="0.2">
      <c r="A1556" s="916" t="s">
        <v>5035</v>
      </c>
      <c r="B1556" s="943" t="s">
        <v>3092</v>
      </c>
      <c r="C1556" s="916" t="s">
        <v>5598</v>
      </c>
      <c r="D1556" s="943" t="s">
        <v>5040</v>
      </c>
      <c r="E1556" s="1144">
        <v>3000</v>
      </c>
      <c r="F1556" s="943" t="s">
        <v>6195</v>
      </c>
      <c r="G1556" s="1245" t="s">
        <v>6196</v>
      </c>
      <c r="H1556" s="1245" t="s">
        <v>5043</v>
      </c>
      <c r="I1556" s="1147"/>
      <c r="J1556" s="943"/>
      <c r="K1556" s="944">
        <v>1</v>
      </c>
      <c r="L1556" s="898">
        <v>7</v>
      </c>
      <c r="M1556" s="899">
        <f t="shared" si="58"/>
        <v>21000</v>
      </c>
      <c r="N1556" s="898">
        <v>1</v>
      </c>
      <c r="O1556" s="898">
        <v>12</v>
      </c>
      <c r="P1556" s="899">
        <f t="shared" si="59"/>
        <v>36000</v>
      </c>
    </row>
    <row r="1557" spans="1:16" ht="24" x14ac:dyDescent="0.2">
      <c r="A1557" s="916" t="s">
        <v>5035</v>
      </c>
      <c r="B1557" s="943" t="s">
        <v>3092</v>
      </c>
      <c r="C1557" s="916" t="s">
        <v>5598</v>
      </c>
      <c r="D1557" s="943" t="s">
        <v>491</v>
      </c>
      <c r="E1557" s="1144">
        <v>1851</v>
      </c>
      <c r="F1557" s="943" t="s">
        <v>6197</v>
      </c>
      <c r="G1557" s="1245" t="s">
        <v>6198</v>
      </c>
      <c r="H1557" s="1245" t="s">
        <v>3100</v>
      </c>
      <c r="I1557" s="1147"/>
      <c r="J1557" s="943"/>
      <c r="K1557" s="944">
        <v>1</v>
      </c>
      <c r="L1557" s="898">
        <v>7</v>
      </c>
      <c r="M1557" s="899">
        <f t="shared" si="58"/>
        <v>12957</v>
      </c>
      <c r="N1557" s="898">
        <v>1</v>
      </c>
      <c r="O1557" s="898">
        <v>12</v>
      </c>
      <c r="P1557" s="899">
        <f t="shared" si="59"/>
        <v>22212</v>
      </c>
    </row>
    <row r="1558" spans="1:16" ht="24" x14ac:dyDescent="0.2">
      <c r="A1558" s="916" t="s">
        <v>5035</v>
      </c>
      <c r="B1558" s="943" t="s">
        <v>3092</v>
      </c>
      <c r="C1558" s="916" t="s">
        <v>5598</v>
      </c>
      <c r="D1558" s="943" t="s">
        <v>491</v>
      </c>
      <c r="E1558" s="1144">
        <v>1400</v>
      </c>
      <c r="F1558" s="943" t="s">
        <v>6199</v>
      </c>
      <c r="G1558" s="1245" t="s">
        <v>6200</v>
      </c>
      <c r="H1558" s="1245" t="s">
        <v>583</v>
      </c>
      <c r="I1558" s="1147"/>
      <c r="J1558" s="943"/>
      <c r="K1558" s="944">
        <v>1</v>
      </c>
      <c r="L1558" s="898">
        <v>7</v>
      </c>
      <c r="M1558" s="899">
        <f t="shared" si="58"/>
        <v>9800</v>
      </c>
      <c r="N1558" s="898">
        <v>1</v>
      </c>
      <c r="O1558" s="898">
        <v>12</v>
      </c>
      <c r="P1558" s="899">
        <f t="shared" si="59"/>
        <v>16800</v>
      </c>
    </row>
    <row r="1559" spans="1:16" x14ac:dyDescent="0.2">
      <c r="A1559" s="916" t="s">
        <v>5035</v>
      </c>
      <c r="B1559" s="943" t="s">
        <v>3092</v>
      </c>
      <c r="C1559" s="916" t="s">
        <v>5598</v>
      </c>
      <c r="D1559" s="943" t="s">
        <v>5040</v>
      </c>
      <c r="E1559" s="1144">
        <v>1200</v>
      </c>
      <c r="F1559" s="943" t="s">
        <v>6201</v>
      </c>
      <c r="G1559" s="1245" t="s">
        <v>6202</v>
      </c>
      <c r="H1559" s="1245" t="s">
        <v>3187</v>
      </c>
      <c r="I1559" s="1147"/>
      <c r="J1559" s="943"/>
      <c r="K1559" s="944">
        <v>1</v>
      </c>
      <c r="L1559" s="898">
        <v>7</v>
      </c>
      <c r="M1559" s="899">
        <f t="shared" si="58"/>
        <v>8400</v>
      </c>
      <c r="N1559" s="898">
        <v>1</v>
      </c>
      <c r="O1559" s="898">
        <v>12</v>
      </c>
      <c r="P1559" s="899">
        <f t="shared" si="59"/>
        <v>14400</v>
      </c>
    </row>
    <row r="1560" spans="1:16" x14ac:dyDescent="0.2">
      <c r="A1560" s="916" t="s">
        <v>5035</v>
      </c>
      <c r="B1560" s="943" t="s">
        <v>3092</v>
      </c>
      <c r="C1560" s="916" t="s">
        <v>5598</v>
      </c>
      <c r="D1560" s="943" t="s">
        <v>5040</v>
      </c>
      <c r="E1560" s="1144">
        <v>1500</v>
      </c>
      <c r="F1560" s="943" t="s">
        <v>6203</v>
      </c>
      <c r="G1560" s="1245" t="s">
        <v>6204</v>
      </c>
      <c r="H1560" s="1245" t="s">
        <v>5084</v>
      </c>
      <c r="I1560" s="1147"/>
      <c r="J1560" s="943"/>
      <c r="K1560" s="944">
        <v>1</v>
      </c>
      <c r="L1560" s="898">
        <v>7</v>
      </c>
      <c r="M1560" s="899">
        <f t="shared" si="58"/>
        <v>10500</v>
      </c>
      <c r="N1560" s="898">
        <v>1</v>
      </c>
      <c r="O1560" s="898">
        <v>12</v>
      </c>
      <c r="P1560" s="899">
        <f t="shared" si="59"/>
        <v>18000</v>
      </c>
    </row>
    <row r="1561" spans="1:16" ht="24" x14ac:dyDescent="0.2">
      <c r="A1561" s="916" t="s">
        <v>5035</v>
      </c>
      <c r="B1561" s="943" t="s">
        <v>3092</v>
      </c>
      <c r="C1561" s="916" t="s">
        <v>5598</v>
      </c>
      <c r="D1561" s="943" t="s">
        <v>5040</v>
      </c>
      <c r="E1561" s="1144">
        <v>1923</v>
      </c>
      <c r="F1561" s="943" t="s">
        <v>6205</v>
      </c>
      <c r="G1561" s="1245" t="s">
        <v>6206</v>
      </c>
      <c r="H1561" s="1245" t="s">
        <v>5043</v>
      </c>
      <c r="I1561" s="1147"/>
      <c r="J1561" s="943"/>
      <c r="K1561" s="944">
        <v>1</v>
      </c>
      <c r="L1561" s="898">
        <v>7</v>
      </c>
      <c r="M1561" s="899">
        <f t="shared" si="58"/>
        <v>13461</v>
      </c>
      <c r="N1561" s="898">
        <v>1</v>
      </c>
      <c r="O1561" s="898">
        <v>12</v>
      </c>
      <c r="P1561" s="899">
        <f t="shared" si="59"/>
        <v>23076</v>
      </c>
    </row>
    <row r="1562" spans="1:16" ht="24" x14ac:dyDescent="0.2">
      <c r="A1562" s="916" t="s">
        <v>5035</v>
      </c>
      <c r="B1562" s="943" t="s">
        <v>3092</v>
      </c>
      <c r="C1562" s="916" t="s">
        <v>5598</v>
      </c>
      <c r="D1562" s="943" t="s">
        <v>5040</v>
      </c>
      <c r="E1562" s="1144">
        <v>1923</v>
      </c>
      <c r="F1562" s="943" t="s">
        <v>6207</v>
      </c>
      <c r="G1562" s="1245" t="s">
        <v>6208</v>
      </c>
      <c r="H1562" s="1245" t="s">
        <v>5043</v>
      </c>
      <c r="I1562" s="1147"/>
      <c r="J1562" s="943"/>
      <c r="K1562" s="944">
        <v>1</v>
      </c>
      <c r="L1562" s="898">
        <v>7</v>
      </c>
      <c r="M1562" s="899">
        <f t="shared" si="58"/>
        <v>13461</v>
      </c>
      <c r="N1562" s="898">
        <v>1</v>
      </c>
      <c r="O1562" s="898">
        <v>12</v>
      </c>
      <c r="P1562" s="899">
        <f t="shared" si="59"/>
        <v>23076</v>
      </c>
    </row>
    <row r="1563" spans="1:16" ht="24" x14ac:dyDescent="0.2">
      <c r="A1563" s="916" t="s">
        <v>5035</v>
      </c>
      <c r="B1563" s="943" t="s">
        <v>3092</v>
      </c>
      <c r="C1563" s="916" t="s">
        <v>5598</v>
      </c>
      <c r="D1563" s="943" t="s">
        <v>491</v>
      </c>
      <c r="E1563" s="1144">
        <v>2181</v>
      </c>
      <c r="F1563" s="943" t="s">
        <v>6209</v>
      </c>
      <c r="G1563" s="1245" t="s">
        <v>6210</v>
      </c>
      <c r="H1563" s="1245" t="s">
        <v>3168</v>
      </c>
      <c r="I1563" s="1147"/>
      <c r="J1563" s="943"/>
      <c r="K1563" s="944">
        <v>1</v>
      </c>
      <c r="L1563" s="898">
        <v>7</v>
      </c>
      <c r="M1563" s="899">
        <f t="shared" si="58"/>
        <v>15267</v>
      </c>
      <c r="N1563" s="898">
        <v>1</v>
      </c>
      <c r="O1563" s="898">
        <v>12</v>
      </c>
      <c r="P1563" s="899">
        <f t="shared" si="59"/>
        <v>26172</v>
      </c>
    </row>
    <row r="1564" spans="1:16" x14ac:dyDescent="0.2">
      <c r="A1564" s="916" t="s">
        <v>5035</v>
      </c>
      <c r="B1564" s="943" t="s">
        <v>3092</v>
      </c>
      <c r="C1564" s="916" t="s">
        <v>5598</v>
      </c>
      <c r="D1564" s="943" t="s">
        <v>5040</v>
      </c>
      <c r="E1564" s="1144">
        <v>1200</v>
      </c>
      <c r="F1564" s="943" t="s">
        <v>6211</v>
      </c>
      <c r="G1564" s="1245" t="s">
        <v>6212</v>
      </c>
      <c r="H1564" s="1245" t="s">
        <v>3187</v>
      </c>
      <c r="I1564" s="1147"/>
      <c r="J1564" s="943"/>
      <c r="K1564" s="944">
        <v>1</v>
      </c>
      <c r="L1564" s="898">
        <v>7</v>
      </c>
      <c r="M1564" s="899">
        <f t="shared" si="58"/>
        <v>8400</v>
      </c>
      <c r="N1564" s="898">
        <v>1</v>
      </c>
      <c r="O1564" s="898">
        <v>12</v>
      </c>
      <c r="P1564" s="899">
        <f t="shared" si="59"/>
        <v>14400</v>
      </c>
    </row>
    <row r="1565" spans="1:16" x14ac:dyDescent="0.2">
      <c r="A1565" s="916" t="s">
        <v>5035</v>
      </c>
      <c r="B1565" s="943" t="s">
        <v>3092</v>
      </c>
      <c r="C1565" s="916" t="s">
        <v>5598</v>
      </c>
      <c r="D1565" s="943" t="s">
        <v>5040</v>
      </c>
      <c r="E1565" s="1144">
        <v>1200</v>
      </c>
      <c r="F1565" s="943" t="s">
        <v>6213</v>
      </c>
      <c r="G1565" s="1245" t="s">
        <v>6214</v>
      </c>
      <c r="H1565" s="1245" t="s">
        <v>3187</v>
      </c>
      <c r="I1565" s="1147"/>
      <c r="J1565" s="943"/>
      <c r="K1565" s="944">
        <v>1</v>
      </c>
      <c r="L1565" s="898">
        <v>7</v>
      </c>
      <c r="M1565" s="899">
        <f t="shared" si="58"/>
        <v>8400</v>
      </c>
      <c r="N1565" s="898">
        <v>1</v>
      </c>
      <c r="O1565" s="898">
        <v>12</v>
      </c>
      <c r="P1565" s="899">
        <f t="shared" si="59"/>
        <v>14400</v>
      </c>
    </row>
    <row r="1566" spans="1:16" x14ac:dyDescent="0.2">
      <c r="A1566" s="916" t="s">
        <v>5035</v>
      </c>
      <c r="B1566" s="943" t="s">
        <v>3092</v>
      </c>
      <c r="C1566" s="916" t="s">
        <v>5598</v>
      </c>
      <c r="D1566" s="943" t="s">
        <v>5040</v>
      </c>
      <c r="E1566" s="1144">
        <v>1200</v>
      </c>
      <c r="F1566" s="943" t="s">
        <v>6215</v>
      </c>
      <c r="G1566" s="1245" t="s">
        <v>6216</v>
      </c>
      <c r="H1566" s="1245" t="s">
        <v>3187</v>
      </c>
      <c r="I1566" s="1147"/>
      <c r="J1566" s="943"/>
      <c r="K1566" s="944">
        <v>1</v>
      </c>
      <c r="L1566" s="898">
        <v>7</v>
      </c>
      <c r="M1566" s="899">
        <f t="shared" si="58"/>
        <v>8400</v>
      </c>
      <c r="N1566" s="898">
        <v>1</v>
      </c>
      <c r="O1566" s="898">
        <v>12</v>
      </c>
      <c r="P1566" s="899">
        <f t="shared" si="59"/>
        <v>14400</v>
      </c>
    </row>
    <row r="1567" spans="1:16" x14ac:dyDescent="0.2">
      <c r="A1567" s="916" t="s">
        <v>5035</v>
      </c>
      <c r="B1567" s="943" t="s">
        <v>3092</v>
      </c>
      <c r="C1567" s="916" t="s">
        <v>5598</v>
      </c>
      <c r="D1567" s="943" t="s">
        <v>5040</v>
      </c>
      <c r="E1567" s="1144">
        <v>5500</v>
      </c>
      <c r="F1567" s="943" t="s">
        <v>6217</v>
      </c>
      <c r="G1567" s="1245" t="s">
        <v>6218</v>
      </c>
      <c r="H1567" s="1245" t="s">
        <v>517</v>
      </c>
      <c r="I1567" s="1147"/>
      <c r="J1567" s="943"/>
      <c r="K1567" s="944">
        <v>1</v>
      </c>
      <c r="L1567" s="898">
        <v>7</v>
      </c>
      <c r="M1567" s="899">
        <f t="shared" si="58"/>
        <v>38500</v>
      </c>
      <c r="N1567" s="898">
        <v>1</v>
      </c>
      <c r="O1567" s="898">
        <v>12</v>
      </c>
      <c r="P1567" s="899">
        <f t="shared" si="59"/>
        <v>66000</v>
      </c>
    </row>
    <row r="1568" spans="1:16" ht="24" x14ac:dyDescent="0.2">
      <c r="A1568" s="916" t="s">
        <v>5035</v>
      </c>
      <c r="B1568" s="943" t="s">
        <v>3092</v>
      </c>
      <c r="C1568" s="916" t="s">
        <v>5598</v>
      </c>
      <c r="D1568" s="943" t="s">
        <v>5040</v>
      </c>
      <c r="E1568" s="1144">
        <v>1923</v>
      </c>
      <c r="F1568" s="943" t="s">
        <v>6219</v>
      </c>
      <c r="G1568" s="1245" t="s">
        <v>6220</v>
      </c>
      <c r="H1568" s="1245" t="s">
        <v>580</v>
      </c>
      <c r="I1568" s="1147"/>
      <c r="J1568" s="943"/>
      <c r="K1568" s="944">
        <v>1</v>
      </c>
      <c r="L1568" s="898">
        <v>7</v>
      </c>
      <c r="M1568" s="899">
        <f t="shared" si="58"/>
        <v>13461</v>
      </c>
      <c r="N1568" s="898">
        <v>1</v>
      </c>
      <c r="O1568" s="898">
        <v>12</v>
      </c>
      <c r="P1568" s="899">
        <f t="shared" si="59"/>
        <v>23076</v>
      </c>
    </row>
    <row r="1569" spans="1:16" x14ac:dyDescent="0.2">
      <c r="A1569" s="916" t="s">
        <v>5035</v>
      </c>
      <c r="B1569" s="943" t="s">
        <v>3092</v>
      </c>
      <c r="C1569" s="916" t="s">
        <v>5598</v>
      </c>
      <c r="D1569" s="943" t="s">
        <v>5040</v>
      </c>
      <c r="E1569" s="1144">
        <v>1200</v>
      </c>
      <c r="F1569" s="943" t="s">
        <v>6221</v>
      </c>
      <c r="G1569" s="1245" t="s">
        <v>6222</v>
      </c>
      <c r="H1569" s="1245" t="s">
        <v>5084</v>
      </c>
      <c r="I1569" s="1147"/>
      <c r="J1569" s="943"/>
      <c r="K1569" s="944">
        <v>1</v>
      </c>
      <c r="L1569" s="898">
        <v>7</v>
      </c>
      <c r="M1569" s="899">
        <f t="shared" si="58"/>
        <v>8400</v>
      </c>
      <c r="N1569" s="898">
        <v>1</v>
      </c>
      <c r="O1569" s="898">
        <v>12</v>
      </c>
      <c r="P1569" s="899">
        <f t="shared" si="59"/>
        <v>14400</v>
      </c>
    </row>
    <row r="1570" spans="1:16" ht="24" x14ac:dyDescent="0.2">
      <c r="A1570" s="916" t="s">
        <v>5035</v>
      </c>
      <c r="B1570" s="943" t="s">
        <v>3092</v>
      </c>
      <c r="C1570" s="916" t="s">
        <v>5598</v>
      </c>
      <c r="D1570" s="943" t="s">
        <v>5040</v>
      </c>
      <c r="E1570" s="1144">
        <v>1923</v>
      </c>
      <c r="F1570" s="943" t="s">
        <v>6223</v>
      </c>
      <c r="G1570" s="1245" t="s">
        <v>6224</v>
      </c>
      <c r="H1570" s="1245" t="s">
        <v>5043</v>
      </c>
      <c r="I1570" s="1147"/>
      <c r="J1570" s="943"/>
      <c r="K1570" s="944">
        <v>1</v>
      </c>
      <c r="L1570" s="898">
        <v>7</v>
      </c>
      <c r="M1570" s="899">
        <f t="shared" si="58"/>
        <v>13461</v>
      </c>
      <c r="N1570" s="898">
        <v>1</v>
      </c>
      <c r="O1570" s="898">
        <v>12</v>
      </c>
      <c r="P1570" s="899">
        <f t="shared" si="59"/>
        <v>23076</v>
      </c>
    </row>
    <row r="1571" spans="1:16" x14ac:dyDescent="0.2">
      <c r="A1571" s="916" t="s">
        <v>5035</v>
      </c>
      <c r="B1571" s="943" t="s">
        <v>3092</v>
      </c>
      <c r="C1571" s="916" t="s">
        <v>5598</v>
      </c>
      <c r="D1571" s="943" t="s">
        <v>5040</v>
      </c>
      <c r="E1571" s="1144">
        <v>1923</v>
      </c>
      <c r="F1571" s="943" t="s">
        <v>6225</v>
      </c>
      <c r="G1571" s="1245" t="s">
        <v>6226</v>
      </c>
      <c r="H1571" s="1245" t="s">
        <v>581</v>
      </c>
      <c r="I1571" s="1147"/>
      <c r="J1571" s="943"/>
      <c r="K1571" s="944">
        <v>1</v>
      </c>
      <c r="L1571" s="898">
        <v>7</v>
      </c>
      <c r="M1571" s="899">
        <f t="shared" si="58"/>
        <v>13461</v>
      </c>
      <c r="N1571" s="898">
        <v>1</v>
      </c>
      <c r="O1571" s="898">
        <v>12</v>
      </c>
      <c r="P1571" s="899">
        <f t="shared" si="59"/>
        <v>23076</v>
      </c>
    </row>
    <row r="1572" spans="1:16" ht="24" x14ac:dyDescent="0.2">
      <c r="A1572" s="916" t="s">
        <v>5035</v>
      </c>
      <c r="B1572" s="943" t="s">
        <v>3092</v>
      </c>
      <c r="C1572" s="916" t="s">
        <v>5598</v>
      </c>
      <c r="D1572" s="943" t="s">
        <v>5040</v>
      </c>
      <c r="E1572" s="1144">
        <v>1200</v>
      </c>
      <c r="F1572" s="943" t="s">
        <v>6227</v>
      </c>
      <c r="G1572" s="1245" t="s">
        <v>6228</v>
      </c>
      <c r="H1572" s="1245" t="s">
        <v>5058</v>
      </c>
      <c r="I1572" s="1147"/>
      <c r="J1572" s="943"/>
      <c r="K1572" s="944">
        <v>1</v>
      </c>
      <c r="L1572" s="898">
        <v>7</v>
      </c>
      <c r="M1572" s="899">
        <f t="shared" ref="M1572:M1635" si="60">+L1572*E1572</f>
        <v>8400</v>
      </c>
      <c r="N1572" s="898">
        <v>1</v>
      </c>
      <c r="O1572" s="898">
        <v>12</v>
      </c>
      <c r="P1572" s="899">
        <f t="shared" ref="P1572:P1635" si="61">+O1572*E1572</f>
        <v>14400</v>
      </c>
    </row>
    <row r="1573" spans="1:16" x14ac:dyDescent="0.2">
      <c r="A1573" s="916" t="s">
        <v>5035</v>
      </c>
      <c r="B1573" s="943" t="s">
        <v>3092</v>
      </c>
      <c r="C1573" s="916" t="s">
        <v>5598</v>
      </c>
      <c r="D1573" s="943" t="s">
        <v>5040</v>
      </c>
      <c r="E1573" s="1144">
        <v>1923</v>
      </c>
      <c r="F1573" s="943" t="s">
        <v>6229</v>
      </c>
      <c r="G1573" s="1245" t="s">
        <v>6230</v>
      </c>
      <c r="H1573" s="1245" t="s">
        <v>581</v>
      </c>
      <c r="I1573" s="1147"/>
      <c r="J1573" s="943"/>
      <c r="K1573" s="944">
        <v>1</v>
      </c>
      <c r="L1573" s="898">
        <v>7</v>
      </c>
      <c r="M1573" s="899">
        <f t="shared" si="60"/>
        <v>13461</v>
      </c>
      <c r="N1573" s="898">
        <v>1</v>
      </c>
      <c r="O1573" s="898">
        <v>12</v>
      </c>
      <c r="P1573" s="899">
        <f t="shared" si="61"/>
        <v>23076</v>
      </c>
    </row>
    <row r="1574" spans="1:16" ht="24" x14ac:dyDescent="0.2">
      <c r="A1574" s="916" t="s">
        <v>5035</v>
      </c>
      <c r="B1574" s="943" t="s">
        <v>3092</v>
      </c>
      <c r="C1574" s="916" t="s">
        <v>5598</v>
      </c>
      <c r="D1574" s="943" t="s">
        <v>5040</v>
      </c>
      <c r="E1574" s="1144">
        <v>1932</v>
      </c>
      <c r="F1574" s="943" t="s">
        <v>6231</v>
      </c>
      <c r="G1574" s="1245" t="s">
        <v>6232</v>
      </c>
      <c r="H1574" s="1245" t="s">
        <v>5043</v>
      </c>
      <c r="I1574" s="1147"/>
      <c r="J1574" s="943"/>
      <c r="K1574" s="944">
        <v>1</v>
      </c>
      <c r="L1574" s="898">
        <v>7</v>
      </c>
      <c r="M1574" s="899">
        <f t="shared" si="60"/>
        <v>13524</v>
      </c>
      <c r="N1574" s="898">
        <v>1</v>
      </c>
      <c r="O1574" s="898">
        <v>12</v>
      </c>
      <c r="P1574" s="899">
        <f t="shared" si="61"/>
        <v>23184</v>
      </c>
    </row>
    <row r="1575" spans="1:16" ht="24" x14ac:dyDescent="0.2">
      <c r="A1575" s="916" t="s">
        <v>5035</v>
      </c>
      <c r="B1575" s="943" t="s">
        <v>3092</v>
      </c>
      <c r="C1575" s="916" t="s">
        <v>5598</v>
      </c>
      <c r="D1575" s="943" t="s">
        <v>5040</v>
      </c>
      <c r="E1575" s="1144">
        <v>1923</v>
      </c>
      <c r="F1575" s="943" t="s">
        <v>6233</v>
      </c>
      <c r="G1575" s="1245" t="s">
        <v>6234</v>
      </c>
      <c r="H1575" s="1245" t="s">
        <v>5043</v>
      </c>
      <c r="I1575" s="1147"/>
      <c r="J1575" s="943"/>
      <c r="K1575" s="944">
        <v>1</v>
      </c>
      <c r="L1575" s="898">
        <v>7</v>
      </c>
      <c r="M1575" s="899">
        <f t="shared" si="60"/>
        <v>13461</v>
      </c>
      <c r="N1575" s="898">
        <v>1</v>
      </c>
      <c r="O1575" s="898">
        <v>12</v>
      </c>
      <c r="P1575" s="899">
        <f t="shared" si="61"/>
        <v>23076</v>
      </c>
    </row>
    <row r="1576" spans="1:16" x14ac:dyDescent="0.2">
      <c r="A1576" s="916" t="s">
        <v>5035</v>
      </c>
      <c r="B1576" s="943" t="s">
        <v>3092</v>
      </c>
      <c r="C1576" s="916" t="s">
        <v>5598</v>
      </c>
      <c r="D1576" s="943" t="s">
        <v>491</v>
      </c>
      <c r="E1576" s="1144">
        <v>2200</v>
      </c>
      <c r="F1576" s="943" t="s">
        <v>6235</v>
      </c>
      <c r="G1576" s="1245" t="s">
        <v>6236</v>
      </c>
      <c r="H1576" s="1245" t="s">
        <v>3129</v>
      </c>
      <c r="I1576" s="1147"/>
      <c r="J1576" s="943"/>
      <c r="K1576" s="944">
        <v>1</v>
      </c>
      <c r="L1576" s="898">
        <v>7</v>
      </c>
      <c r="M1576" s="899">
        <f t="shared" si="60"/>
        <v>15400</v>
      </c>
      <c r="N1576" s="898">
        <v>1</v>
      </c>
      <c r="O1576" s="898">
        <v>12</v>
      </c>
      <c r="P1576" s="899">
        <f t="shared" si="61"/>
        <v>26400</v>
      </c>
    </row>
    <row r="1577" spans="1:16" x14ac:dyDescent="0.2">
      <c r="A1577" s="916" t="s">
        <v>5035</v>
      </c>
      <c r="B1577" s="943" t="s">
        <v>3092</v>
      </c>
      <c r="C1577" s="916" t="s">
        <v>5598</v>
      </c>
      <c r="D1577" s="943" t="s">
        <v>5040</v>
      </c>
      <c r="E1577" s="1144">
        <v>3000</v>
      </c>
      <c r="F1577" s="943" t="s">
        <v>6237</v>
      </c>
      <c r="G1577" s="1245" t="s">
        <v>6238</v>
      </c>
      <c r="H1577" s="1245" t="s">
        <v>5106</v>
      </c>
      <c r="I1577" s="1147"/>
      <c r="J1577" s="943"/>
      <c r="K1577" s="944">
        <v>1</v>
      </c>
      <c r="L1577" s="898">
        <v>7</v>
      </c>
      <c r="M1577" s="899">
        <f t="shared" si="60"/>
        <v>21000</v>
      </c>
      <c r="N1577" s="898">
        <v>1</v>
      </c>
      <c r="O1577" s="898">
        <v>12</v>
      </c>
      <c r="P1577" s="899">
        <f t="shared" si="61"/>
        <v>36000</v>
      </c>
    </row>
    <row r="1578" spans="1:16" x14ac:dyDescent="0.2">
      <c r="A1578" s="916" t="s">
        <v>5035</v>
      </c>
      <c r="B1578" s="943" t="s">
        <v>3092</v>
      </c>
      <c r="C1578" s="916" t="s">
        <v>5598</v>
      </c>
      <c r="D1578" s="943" t="s">
        <v>491</v>
      </c>
      <c r="E1578" s="1144">
        <v>1409</v>
      </c>
      <c r="F1578" s="943" t="s">
        <v>6239</v>
      </c>
      <c r="G1578" s="1245" t="s">
        <v>6240</v>
      </c>
      <c r="H1578" s="1245" t="s">
        <v>5039</v>
      </c>
      <c r="I1578" s="1147"/>
      <c r="J1578" s="943"/>
      <c r="K1578" s="944">
        <v>1</v>
      </c>
      <c r="L1578" s="898">
        <v>7</v>
      </c>
      <c r="M1578" s="899">
        <f t="shared" si="60"/>
        <v>9863</v>
      </c>
      <c r="N1578" s="898">
        <v>1</v>
      </c>
      <c r="O1578" s="898">
        <v>12</v>
      </c>
      <c r="P1578" s="899">
        <f t="shared" si="61"/>
        <v>16908</v>
      </c>
    </row>
    <row r="1579" spans="1:16" ht="24" x14ac:dyDescent="0.2">
      <c r="A1579" s="916" t="s">
        <v>5035</v>
      </c>
      <c r="B1579" s="943" t="s">
        <v>3092</v>
      </c>
      <c r="C1579" s="916" t="s">
        <v>5598</v>
      </c>
      <c r="D1579" s="943" t="s">
        <v>5040</v>
      </c>
      <c r="E1579" s="1144">
        <v>1923</v>
      </c>
      <c r="F1579" s="943" t="s">
        <v>6241</v>
      </c>
      <c r="G1579" s="1245" t="s">
        <v>6242</v>
      </c>
      <c r="H1579" s="1245" t="s">
        <v>5043</v>
      </c>
      <c r="I1579" s="1147"/>
      <c r="J1579" s="943"/>
      <c r="K1579" s="944">
        <v>1</v>
      </c>
      <c r="L1579" s="898">
        <v>7</v>
      </c>
      <c r="M1579" s="899">
        <f t="shared" si="60"/>
        <v>13461</v>
      </c>
      <c r="N1579" s="898">
        <v>1</v>
      </c>
      <c r="O1579" s="898">
        <v>12</v>
      </c>
      <c r="P1579" s="899">
        <f t="shared" si="61"/>
        <v>23076</v>
      </c>
    </row>
    <row r="1580" spans="1:16" x14ac:dyDescent="0.2">
      <c r="A1580" s="916" t="s">
        <v>5035</v>
      </c>
      <c r="B1580" s="943" t="s">
        <v>3092</v>
      </c>
      <c r="C1580" s="916" t="s">
        <v>5598</v>
      </c>
      <c r="D1580" s="943" t="s">
        <v>491</v>
      </c>
      <c r="E1580" s="1144">
        <v>2200</v>
      </c>
      <c r="F1580" s="943" t="s">
        <v>6243</v>
      </c>
      <c r="G1580" s="1245" t="s">
        <v>6244</v>
      </c>
      <c r="H1580" s="1245" t="s">
        <v>5433</v>
      </c>
      <c r="I1580" s="1147"/>
      <c r="J1580" s="943"/>
      <c r="K1580" s="944">
        <v>1</v>
      </c>
      <c r="L1580" s="898">
        <v>7</v>
      </c>
      <c r="M1580" s="899">
        <f t="shared" si="60"/>
        <v>15400</v>
      </c>
      <c r="N1580" s="898">
        <v>1</v>
      </c>
      <c r="O1580" s="898">
        <v>12</v>
      </c>
      <c r="P1580" s="899">
        <f t="shared" si="61"/>
        <v>26400</v>
      </c>
    </row>
    <row r="1581" spans="1:16" x14ac:dyDescent="0.2">
      <c r="A1581" s="916" t="s">
        <v>5035</v>
      </c>
      <c r="B1581" s="943" t="s">
        <v>3092</v>
      </c>
      <c r="C1581" s="916" t="s">
        <v>5598</v>
      </c>
      <c r="D1581" s="943" t="s">
        <v>5040</v>
      </c>
      <c r="E1581" s="1144">
        <v>2931</v>
      </c>
      <c r="F1581" s="943" t="s">
        <v>6245</v>
      </c>
      <c r="G1581" s="1245" t="s">
        <v>6246</v>
      </c>
      <c r="H1581" s="1245" t="s">
        <v>5106</v>
      </c>
      <c r="I1581" s="1147"/>
      <c r="J1581" s="943"/>
      <c r="K1581" s="944">
        <v>1</v>
      </c>
      <c r="L1581" s="898">
        <v>7</v>
      </c>
      <c r="M1581" s="899">
        <f t="shared" si="60"/>
        <v>20517</v>
      </c>
      <c r="N1581" s="898">
        <v>1</v>
      </c>
      <c r="O1581" s="898">
        <v>12</v>
      </c>
      <c r="P1581" s="899">
        <f t="shared" si="61"/>
        <v>35172</v>
      </c>
    </row>
    <row r="1582" spans="1:16" ht="24" x14ac:dyDescent="0.2">
      <c r="A1582" s="916" t="s">
        <v>5035</v>
      </c>
      <c r="B1582" s="943" t="s">
        <v>3092</v>
      </c>
      <c r="C1582" s="916" t="s">
        <v>5598</v>
      </c>
      <c r="D1582" s="943" t="s">
        <v>491</v>
      </c>
      <c r="E1582" s="1144">
        <v>1200</v>
      </c>
      <c r="F1582" s="943" t="s">
        <v>6247</v>
      </c>
      <c r="G1582" s="1245" t="s">
        <v>6248</v>
      </c>
      <c r="H1582" s="1245" t="s">
        <v>3112</v>
      </c>
      <c r="I1582" s="1147"/>
      <c r="J1582" s="943"/>
      <c r="K1582" s="944">
        <v>1</v>
      </c>
      <c r="L1582" s="898">
        <v>7</v>
      </c>
      <c r="M1582" s="899">
        <f t="shared" si="60"/>
        <v>8400</v>
      </c>
      <c r="N1582" s="898">
        <v>1</v>
      </c>
      <c r="O1582" s="898">
        <v>12</v>
      </c>
      <c r="P1582" s="899">
        <f t="shared" si="61"/>
        <v>14400</v>
      </c>
    </row>
    <row r="1583" spans="1:16" ht="24" x14ac:dyDescent="0.2">
      <c r="A1583" s="916" t="s">
        <v>5035</v>
      </c>
      <c r="B1583" s="943" t="s">
        <v>3092</v>
      </c>
      <c r="C1583" s="916" t="s">
        <v>5598</v>
      </c>
      <c r="D1583" s="943" t="s">
        <v>5040</v>
      </c>
      <c r="E1583" s="1144">
        <v>1200</v>
      </c>
      <c r="F1583" s="943" t="s">
        <v>6249</v>
      </c>
      <c r="G1583" s="1245" t="s">
        <v>6250</v>
      </c>
      <c r="H1583" s="1245" t="s">
        <v>3187</v>
      </c>
      <c r="I1583" s="1147"/>
      <c r="J1583" s="943"/>
      <c r="K1583" s="944">
        <v>1</v>
      </c>
      <c r="L1583" s="898">
        <v>7</v>
      </c>
      <c r="M1583" s="899">
        <f t="shared" si="60"/>
        <v>8400</v>
      </c>
      <c r="N1583" s="898">
        <v>1</v>
      </c>
      <c r="O1583" s="898">
        <v>12</v>
      </c>
      <c r="P1583" s="899">
        <f t="shared" si="61"/>
        <v>14400</v>
      </c>
    </row>
    <row r="1584" spans="1:16" ht="24" x14ac:dyDescent="0.2">
      <c r="A1584" s="916" t="s">
        <v>5035</v>
      </c>
      <c r="B1584" s="943" t="s">
        <v>3092</v>
      </c>
      <c r="C1584" s="916" t="s">
        <v>5598</v>
      </c>
      <c r="D1584" s="943" t="s">
        <v>5040</v>
      </c>
      <c r="E1584" s="1144">
        <v>1923</v>
      </c>
      <c r="F1584" s="943" t="s">
        <v>6251</v>
      </c>
      <c r="G1584" s="1245" t="s">
        <v>6252</v>
      </c>
      <c r="H1584" s="1245" t="s">
        <v>5043</v>
      </c>
      <c r="I1584" s="1147"/>
      <c r="J1584" s="943"/>
      <c r="K1584" s="944">
        <v>1</v>
      </c>
      <c r="L1584" s="898">
        <v>7</v>
      </c>
      <c r="M1584" s="899">
        <f t="shared" si="60"/>
        <v>13461</v>
      </c>
      <c r="N1584" s="898">
        <v>1</v>
      </c>
      <c r="O1584" s="898">
        <v>12</v>
      </c>
      <c r="P1584" s="899">
        <f t="shared" si="61"/>
        <v>23076</v>
      </c>
    </row>
    <row r="1585" spans="1:16" ht="24" x14ac:dyDescent="0.2">
      <c r="A1585" s="916" t="s">
        <v>5035</v>
      </c>
      <c r="B1585" s="943" t="s">
        <v>3092</v>
      </c>
      <c r="C1585" s="916" t="s">
        <v>5598</v>
      </c>
      <c r="D1585" s="943" t="s">
        <v>5040</v>
      </c>
      <c r="E1585" s="1144">
        <v>1923</v>
      </c>
      <c r="F1585" s="943" t="s">
        <v>6253</v>
      </c>
      <c r="G1585" s="1245" t="s">
        <v>6254</v>
      </c>
      <c r="H1585" s="1245" t="s">
        <v>5043</v>
      </c>
      <c r="I1585" s="1147"/>
      <c r="J1585" s="943"/>
      <c r="K1585" s="944">
        <v>1</v>
      </c>
      <c r="L1585" s="898">
        <v>7</v>
      </c>
      <c r="M1585" s="899">
        <f t="shared" si="60"/>
        <v>13461</v>
      </c>
      <c r="N1585" s="898">
        <v>1</v>
      </c>
      <c r="O1585" s="898">
        <v>12</v>
      </c>
      <c r="P1585" s="899">
        <f t="shared" si="61"/>
        <v>23076</v>
      </c>
    </row>
    <row r="1586" spans="1:16" ht="24" x14ac:dyDescent="0.2">
      <c r="A1586" s="916" t="s">
        <v>5035</v>
      </c>
      <c r="B1586" s="943" t="s">
        <v>3092</v>
      </c>
      <c r="C1586" s="916" t="s">
        <v>5598</v>
      </c>
      <c r="D1586" s="943" t="s">
        <v>5040</v>
      </c>
      <c r="E1586" s="1144">
        <v>1923</v>
      </c>
      <c r="F1586" s="943" t="s">
        <v>6255</v>
      </c>
      <c r="G1586" s="1245" t="s">
        <v>6256</v>
      </c>
      <c r="H1586" s="1245" t="s">
        <v>580</v>
      </c>
      <c r="I1586" s="1147"/>
      <c r="J1586" s="943"/>
      <c r="K1586" s="944">
        <v>1</v>
      </c>
      <c r="L1586" s="898">
        <v>7</v>
      </c>
      <c r="M1586" s="899">
        <f t="shared" si="60"/>
        <v>13461</v>
      </c>
      <c r="N1586" s="898">
        <v>1</v>
      </c>
      <c r="O1586" s="898">
        <v>12</v>
      </c>
      <c r="P1586" s="899">
        <f t="shared" si="61"/>
        <v>23076</v>
      </c>
    </row>
    <row r="1587" spans="1:16" ht="24" x14ac:dyDescent="0.2">
      <c r="A1587" s="916" t="s">
        <v>5035</v>
      </c>
      <c r="B1587" s="943" t="s">
        <v>3092</v>
      </c>
      <c r="C1587" s="916" t="s">
        <v>5598</v>
      </c>
      <c r="D1587" s="943" t="s">
        <v>491</v>
      </c>
      <c r="E1587" s="1144">
        <v>1400</v>
      </c>
      <c r="F1587" s="943" t="s">
        <v>6257</v>
      </c>
      <c r="G1587" s="1245" t="s">
        <v>6258</v>
      </c>
      <c r="H1587" s="1245" t="s">
        <v>3112</v>
      </c>
      <c r="I1587" s="1147"/>
      <c r="J1587" s="943"/>
      <c r="K1587" s="944">
        <v>1</v>
      </c>
      <c r="L1587" s="898">
        <v>7</v>
      </c>
      <c r="M1587" s="899">
        <f t="shared" si="60"/>
        <v>9800</v>
      </c>
      <c r="N1587" s="898">
        <v>1</v>
      </c>
      <c r="O1587" s="898">
        <v>12</v>
      </c>
      <c r="P1587" s="899">
        <f t="shared" si="61"/>
        <v>16800</v>
      </c>
    </row>
    <row r="1588" spans="1:16" x14ac:dyDescent="0.2">
      <c r="A1588" s="916" t="s">
        <v>5035</v>
      </c>
      <c r="B1588" s="943" t="s">
        <v>3092</v>
      </c>
      <c r="C1588" s="916" t="s">
        <v>5598</v>
      </c>
      <c r="D1588" s="943" t="s">
        <v>5040</v>
      </c>
      <c r="E1588" s="1144">
        <v>5206.6000000000004</v>
      </c>
      <c r="F1588" s="943" t="s">
        <v>6259</v>
      </c>
      <c r="G1588" s="1245" t="s">
        <v>6260</v>
      </c>
      <c r="H1588" s="1245" t="s">
        <v>5077</v>
      </c>
      <c r="I1588" s="1147"/>
      <c r="J1588" s="943"/>
      <c r="K1588" s="944">
        <v>1</v>
      </c>
      <c r="L1588" s="898">
        <v>7</v>
      </c>
      <c r="M1588" s="899">
        <f t="shared" si="60"/>
        <v>36446.200000000004</v>
      </c>
      <c r="N1588" s="898">
        <v>1</v>
      </c>
      <c r="O1588" s="898">
        <v>12</v>
      </c>
      <c r="P1588" s="899">
        <f t="shared" si="61"/>
        <v>62479.200000000004</v>
      </c>
    </row>
    <row r="1589" spans="1:16" ht="24" x14ac:dyDescent="0.2">
      <c r="A1589" s="916" t="s">
        <v>5035</v>
      </c>
      <c r="B1589" s="943" t="s">
        <v>3092</v>
      </c>
      <c r="C1589" s="916" t="s">
        <v>5598</v>
      </c>
      <c r="D1589" s="943" t="s">
        <v>5040</v>
      </c>
      <c r="E1589" s="1144">
        <v>3000</v>
      </c>
      <c r="F1589" s="943" t="s">
        <v>6261</v>
      </c>
      <c r="G1589" s="1245" t="s">
        <v>6262</v>
      </c>
      <c r="H1589" s="1245" t="s">
        <v>566</v>
      </c>
      <c r="I1589" s="1147"/>
      <c r="J1589" s="943"/>
      <c r="K1589" s="944">
        <v>1</v>
      </c>
      <c r="L1589" s="898">
        <v>7</v>
      </c>
      <c r="M1589" s="899">
        <f t="shared" si="60"/>
        <v>21000</v>
      </c>
      <c r="N1589" s="898">
        <v>1</v>
      </c>
      <c r="O1589" s="898">
        <v>12</v>
      </c>
      <c r="P1589" s="899">
        <f t="shared" si="61"/>
        <v>36000</v>
      </c>
    </row>
    <row r="1590" spans="1:16" ht="24" x14ac:dyDescent="0.2">
      <c r="A1590" s="916" t="s">
        <v>5035</v>
      </c>
      <c r="B1590" s="943" t="s">
        <v>3092</v>
      </c>
      <c r="C1590" s="916" t="s">
        <v>5598</v>
      </c>
      <c r="D1590" s="943" t="s">
        <v>5040</v>
      </c>
      <c r="E1590" s="1144">
        <v>1923</v>
      </c>
      <c r="F1590" s="943" t="s">
        <v>6263</v>
      </c>
      <c r="G1590" s="1245" t="s">
        <v>6264</v>
      </c>
      <c r="H1590" s="1245" t="s">
        <v>580</v>
      </c>
      <c r="I1590" s="1147"/>
      <c r="J1590" s="943"/>
      <c r="K1590" s="944">
        <v>1</v>
      </c>
      <c r="L1590" s="898">
        <v>7</v>
      </c>
      <c r="M1590" s="899">
        <f t="shared" si="60"/>
        <v>13461</v>
      </c>
      <c r="N1590" s="898">
        <v>1</v>
      </c>
      <c r="O1590" s="898">
        <v>12</v>
      </c>
      <c r="P1590" s="899">
        <f t="shared" si="61"/>
        <v>23076</v>
      </c>
    </row>
    <row r="1591" spans="1:16" x14ac:dyDescent="0.2">
      <c r="A1591" s="916" t="s">
        <v>5035</v>
      </c>
      <c r="B1591" s="943" t="s">
        <v>3092</v>
      </c>
      <c r="C1591" s="916" t="s">
        <v>5598</v>
      </c>
      <c r="D1591" s="943" t="s">
        <v>5040</v>
      </c>
      <c r="E1591" s="1144">
        <v>1500</v>
      </c>
      <c r="F1591" s="943" t="s">
        <v>6265</v>
      </c>
      <c r="G1591" s="1245" t="s">
        <v>6266</v>
      </c>
      <c r="H1591" s="1245" t="s">
        <v>5084</v>
      </c>
      <c r="I1591" s="1147"/>
      <c r="J1591" s="943"/>
      <c r="K1591" s="944">
        <v>1</v>
      </c>
      <c r="L1591" s="898">
        <v>7</v>
      </c>
      <c r="M1591" s="899">
        <f t="shared" si="60"/>
        <v>10500</v>
      </c>
      <c r="N1591" s="898">
        <v>1</v>
      </c>
      <c r="O1591" s="898">
        <v>12</v>
      </c>
      <c r="P1591" s="899">
        <f t="shared" si="61"/>
        <v>18000</v>
      </c>
    </row>
    <row r="1592" spans="1:16" x14ac:dyDescent="0.2">
      <c r="A1592" s="916" t="s">
        <v>5035</v>
      </c>
      <c r="B1592" s="943" t="s">
        <v>3092</v>
      </c>
      <c r="C1592" s="916" t="s">
        <v>5598</v>
      </c>
      <c r="D1592" s="943" t="s">
        <v>5040</v>
      </c>
      <c r="E1592" s="1144">
        <v>1162</v>
      </c>
      <c r="F1592" s="943" t="s">
        <v>6267</v>
      </c>
      <c r="G1592" s="1245" t="s">
        <v>6268</v>
      </c>
      <c r="H1592" s="1245" t="s">
        <v>3187</v>
      </c>
      <c r="I1592" s="1147"/>
      <c r="J1592" s="943"/>
      <c r="K1592" s="944">
        <v>1</v>
      </c>
      <c r="L1592" s="898">
        <v>7</v>
      </c>
      <c r="M1592" s="899">
        <f t="shared" si="60"/>
        <v>8134</v>
      </c>
      <c r="N1592" s="898">
        <v>1</v>
      </c>
      <c r="O1592" s="898">
        <v>12</v>
      </c>
      <c r="P1592" s="899">
        <f t="shared" si="61"/>
        <v>13944</v>
      </c>
    </row>
    <row r="1593" spans="1:16" x14ac:dyDescent="0.2">
      <c r="A1593" s="916" t="s">
        <v>5035</v>
      </c>
      <c r="B1593" s="943" t="s">
        <v>3092</v>
      </c>
      <c r="C1593" s="916" t="s">
        <v>5598</v>
      </c>
      <c r="D1593" s="943" t="s">
        <v>5040</v>
      </c>
      <c r="E1593" s="1144">
        <v>1200</v>
      </c>
      <c r="F1593" s="943" t="s">
        <v>6269</v>
      </c>
      <c r="G1593" s="1245" t="s">
        <v>6270</v>
      </c>
      <c r="H1593" s="1245" t="s">
        <v>3187</v>
      </c>
      <c r="I1593" s="1147"/>
      <c r="J1593" s="943"/>
      <c r="K1593" s="944">
        <v>1</v>
      </c>
      <c r="L1593" s="898">
        <v>7</v>
      </c>
      <c r="M1593" s="899">
        <f t="shared" si="60"/>
        <v>8400</v>
      </c>
      <c r="N1593" s="898">
        <v>1</v>
      </c>
      <c r="O1593" s="898">
        <v>12</v>
      </c>
      <c r="P1593" s="899">
        <f t="shared" si="61"/>
        <v>14400</v>
      </c>
    </row>
    <row r="1594" spans="1:16" x14ac:dyDescent="0.2">
      <c r="A1594" s="916" t="s">
        <v>5035</v>
      </c>
      <c r="B1594" s="943" t="s">
        <v>3092</v>
      </c>
      <c r="C1594" s="916" t="s">
        <v>5598</v>
      </c>
      <c r="D1594" s="943" t="s">
        <v>5040</v>
      </c>
      <c r="E1594" s="1144">
        <v>1200</v>
      </c>
      <c r="F1594" s="943" t="s">
        <v>6271</v>
      </c>
      <c r="G1594" s="1245" t="s">
        <v>6272</v>
      </c>
      <c r="H1594" s="1245" t="s">
        <v>5084</v>
      </c>
      <c r="I1594" s="1147"/>
      <c r="J1594" s="943"/>
      <c r="K1594" s="944">
        <v>1</v>
      </c>
      <c r="L1594" s="898">
        <v>7</v>
      </c>
      <c r="M1594" s="899">
        <f t="shared" si="60"/>
        <v>8400</v>
      </c>
      <c r="N1594" s="898">
        <v>1</v>
      </c>
      <c r="O1594" s="898">
        <v>12</v>
      </c>
      <c r="P1594" s="899">
        <f t="shared" si="61"/>
        <v>14400</v>
      </c>
    </row>
    <row r="1595" spans="1:16" ht="24" x14ac:dyDescent="0.2">
      <c r="A1595" s="916" t="s">
        <v>5035</v>
      </c>
      <c r="B1595" s="943" t="s">
        <v>3092</v>
      </c>
      <c r="C1595" s="916" t="s">
        <v>5598</v>
      </c>
      <c r="D1595" s="943" t="s">
        <v>5040</v>
      </c>
      <c r="E1595" s="1144">
        <v>1200</v>
      </c>
      <c r="F1595" s="943" t="s">
        <v>6273</v>
      </c>
      <c r="G1595" s="1245" t="s">
        <v>6274</v>
      </c>
      <c r="H1595" s="1245" t="s">
        <v>5058</v>
      </c>
      <c r="I1595" s="1147"/>
      <c r="J1595" s="943"/>
      <c r="K1595" s="944">
        <v>1</v>
      </c>
      <c r="L1595" s="898">
        <v>7</v>
      </c>
      <c r="M1595" s="899">
        <f t="shared" si="60"/>
        <v>8400</v>
      </c>
      <c r="N1595" s="898">
        <v>1</v>
      </c>
      <c r="O1595" s="898">
        <v>12</v>
      </c>
      <c r="P1595" s="899">
        <f t="shared" si="61"/>
        <v>14400</v>
      </c>
    </row>
    <row r="1596" spans="1:16" x14ac:dyDescent="0.2">
      <c r="A1596" s="916" t="s">
        <v>5035</v>
      </c>
      <c r="B1596" s="943" t="s">
        <v>3092</v>
      </c>
      <c r="C1596" s="916" t="s">
        <v>5598</v>
      </c>
      <c r="D1596" s="943" t="s">
        <v>5040</v>
      </c>
      <c r="E1596" s="1144">
        <v>2931</v>
      </c>
      <c r="F1596" s="943" t="s">
        <v>6275</v>
      </c>
      <c r="G1596" s="1245" t="s">
        <v>6276</v>
      </c>
      <c r="H1596" s="1245" t="s">
        <v>5219</v>
      </c>
      <c r="I1596" s="1147"/>
      <c r="J1596" s="943"/>
      <c r="K1596" s="944">
        <v>1</v>
      </c>
      <c r="L1596" s="898">
        <v>7</v>
      </c>
      <c r="M1596" s="899">
        <f t="shared" si="60"/>
        <v>20517</v>
      </c>
      <c r="N1596" s="898">
        <v>1</v>
      </c>
      <c r="O1596" s="898">
        <v>12</v>
      </c>
      <c r="P1596" s="899">
        <f t="shared" si="61"/>
        <v>35172</v>
      </c>
    </row>
    <row r="1597" spans="1:16" ht="24" x14ac:dyDescent="0.2">
      <c r="A1597" s="916" t="s">
        <v>5035</v>
      </c>
      <c r="B1597" s="943" t="s">
        <v>3092</v>
      </c>
      <c r="C1597" s="916" t="s">
        <v>5598</v>
      </c>
      <c r="D1597" s="943" t="s">
        <v>5040</v>
      </c>
      <c r="E1597" s="1144">
        <v>3000</v>
      </c>
      <c r="F1597" s="943" t="s">
        <v>6277</v>
      </c>
      <c r="G1597" s="1245" t="s">
        <v>6278</v>
      </c>
      <c r="H1597" s="1245" t="s">
        <v>580</v>
      </c>
      <c r="I1597" s="1147"/>
      <c r="J1597" s="943"/>
      <c r="K1597" s="944">
        <v>1</v>
      </c>
      <c r="L1597" s="898">
        <v>7</v>
      </c>
      <c r="M1597" s="899">
        <f t="shared" si="60"/>
        <v>21000</v>
      </c>
      <c r="N1597" s="898">
        <v>1</v>
      </c>
      <c r="O1597" s="898">
        <v>12</v>
      </c>
      <c r="P1597" s="899">
        <f t="shared" si="61"/>
        <v>36000</v>
      </c>
    </row>
    <row r="1598" spans="1:16" x14ac:dyDescent="0.2">
      <c r="A1598" s="916" t="s">
        <v>5035</v>
      </c>
      <c r="B1598" s="943" t="s">
        <v>3092</v>
      </c>
      <c r="C1598" s="916" t="s">
        <v>5598</v>
      </c>
      <c r="D1598" s="943" t="s">
        <v>5040</v>
      </c>
      <c r="E1598" s="1144">
        <v>7000</v>
      </c>
      <c r="F1598" s="943" t="s">
        <v>6279</v>
      </c>
      <c r="G1598" s="1245" t="s">
        <v>6280</v>
      </c>
      <c r="H1598" s="1245" t="s">
        <v>5077</v>
      </c>
      <c r="I1598" s="1147"/>
      <c r="J1598" s="943"/>
      <c r="K1598" s="944">
        <v>1</v>
      </c>
      <c r="L1598" s="898">
        <v>7</v>
      </c>
      <c r="M1598" s="899">
        <f t="shared" si="60"/>
        <v>49000</v>
      </c>
      <c r="N1598" s="898">
        <v>1</v>
      </c>
      <c r="O1598" s="898">
        <v>12</v>
      </c>
      <c r="P1598" s="899">
        <f t="shared" si="61"/>
        <v>84000</v>
      </c>
    </row>
    <row r="1599" spans="1:16" ht="24" x14ac:dyDescent="0.2">
      <c r="A1599" s="916" t="s">
        <v>5035</v>
      </c>
      <c r="B1599" s="943" t="s">
        <v>3092</v>
      </c>
      <c r="C1599" s="916" t="s">
        <v>5598</v>
      </c>
      <c r="D1599" s="943" t="s">
        <v>5040</v>
      </c>
      <c r="E1599" s="1144">
        <v>3000</v>
      </c>
      <c r="F1599" s="943" t="s">
        <v>6281</v>
      </c>
      <c r="G1599" s="1245" t="s">
        <v>6282</v>
      </c>
      <c r="H1599" s="1245" t="s">
        <v>566</v>
      </c>
      <c r="I1599" s="1147"/>
      <c r="J1599" s="943"/>
      <c r="K1599" s="944">
        <v>1</v>
      </c>
      <c r="L1599" s="898">
        <v>7</v>
      </c>
      <c r="M1599" s="899">
        <f t="shared" si="60"/>
        <v>21000</v>
      </c>
      <c r="N1599" s="898">
        <v>1</v>
      </c>
      <c r="O1599" s="898">
        <v>12</v>
      </c>
      <c r="P1599" s="899">
        <f t="shared" si="61"/>
        <v>36000</v>
      </c>
    </row>
    <row r="1600" spans="1:16" ht="24" x14ac:dyDescent="0.2">
      <c r="A1600" s="916" t="s">
        <v>5035</v>
      </c>
      <c r="B1600" s="943" t="s">
        <v>3092</v>
      </c>
      <c r="C1600" s="916" t="s">
        <v>5598</v>
      </c>
      <c r="D1600" s="943" t="s">
        <v>5040</v>
      </c>
      <c r="E1600" s="1144">
        <v>1200</v>
      </c>
      <c r="F1600" s="943" t="s">
        <v>6283</v>
      </c>
      <c r="G1600" s="1245" t="s">
        <v>6284</v>
      </c>
      <c r="H1600" s="1245" t="s">
        <v>5084</v>
      </c>
      <c r="I1600" s="1147"/>
      <c r="J1600" s="943"/>
      <c r="K1600" s="944">
        <v>1</v>
      </c>
      <c r="L1600" s="898">
        <v>7</v>
      </c>
      <c r="M1600" s="899">
        <f t="shared" si="60"/>
        <v>8400</v>
      </c>
      <c r="N1600" s="898">
        <v>1</v>
      </c>
      <c r="O1600" s="898">
        <v>12</v>
      </c>
      <c r="P1600" s="899">
        <f t="shared" si="61"/>
        <v>14400</v>
      </c>
    </row>
    <row r="1601" spans="1:16" ht="24" x14ac:dyDescent="0.2">
      <c r="A1601" s="916" t="s">
        <v>5035</v>
      </c>
      <c r="B1601" s="943" t="s">
        <v>3092</v>
      </c>
      <c r="C1601" s="916" t="s">
        <v>5598</v>
      </c>
      <c r="D1601" s="943" t="s">
        <v>491</v>
      </c>
      <c r="E1601" s="1144">
        <v>1400</v>
      </c>
      <c r="F1601" s="943" t="s">
        <v>6285</v>
      </c>
      <c r="G1601" s="1245" t="s">
        <v>6286</v>
      </c>
      <c r="H1601" s="1245" t="s">
        <v>3112</v>
      </c>
      <c r="I1601" s="1147"/>
      <c r="J1601" s="943"/>
      <c r="K1601" s="944">
        <v>1</v>
      </c>
      <c r="L1601" s="898">
        <v>7</v>
      </c>
      <c r="M1601" s="899">
        <f t="shared" si="60"/>
        <v>9800</v>
      </c>
      <c r="N1601" s="898">
        <v>1</v>
      </c>
      <c r="O1601" s="898">
        <v>12</v>
      </c>
      <c r="P1601" s="899">
        <f t="shared" si="61"/>
        <v>16800</v>
      </c>
    </row>
    <row r="1602" spans="1:16" x14ac:dyDescent="0.2">
      <c r="A1602" s="916" t="s">
        <v>5035</v>
      </c>
      <c r="B1602" s="943" t="s">
        <v>3092</v>
      </c>
      <c r="C1602" s="916" t="s">
        <v>5598</v>
      </c>
      <c r="D1602" s="943" t="s">
        <v>5040</v>
      </c>
      <c r="E1602" s="1144">
        <v>7000</v>
      </c>
      <c r="F1602" s="943" t="s">
        <v>6287</v>
      </c>
      <c r="G1602" s="1245" t="s">
        <v>6288</v>
      </c>
      <c r="H1602" s="1245" t="s">
        <v>5077</v>
      </c>
      <c r="I1602" s="1147"/>
      <c r="J1602" s="943"/>
      <c r="K1602" s="944">
        <v>1</v>
      </c>
      <c r="L1602" s="898">
        <v>7</v>
      </c>
      <c r="M1602" s="899">
        <f t="shared" si="60"/>
        <v>49000</v>
      </c>
      <c r="N1602" s="898">
        <v>1</v>
      </c>
      <c r="O1602" s="898">
        <v>12</v>
      </c>
      <c r="P1602" s="899">
        <f t="shared" si="61"/>
        <v>84000</v>
      </c>
    </row>
    <row r="1603" spans="1:16" ht="24" x14ac:dyDescent="0.2">
      <c r="A1603" s="916" t="s">
        <v>5035</v>
      </c>
      <c r="B1603" s="943" t="s">
        <v>3092</v>
      </c>
      <c r="C1603" s="916" t="s">
        <v>5598</v>
      </c>
      <c r="D1603" s="943" t="s">
        <v>5040</v>
      </c>
      <c r="E1603" s="1144">
        <v>3000</v>
      </c>
      <c r="F1603" s="943" t="s">
        <v>6289</v>
      </c>
      <c r="G1603" s="1245" t="s">
        <v>6290</v>
      </c>
      <c r="H1603" s="1245" t="s">
        <v>566</v>
      </c>
      <c r="I1603" s="1147"/>
      <c r="J1603" s="943"/>
      <c r="K1603" s="944">
        <v>1</v>
      </c>
      <c r="L1603" s="898">
        <v>7</v>
      </c>
      <c r="M1603" s="899">
        <f t="shared" si="60"/>
        <v>21000</v>
      </c>
      <c r="N1603" s="898">
        <v>1</v>
      </c>
      <c r="O1603" s="898">
        <v>12</v>
      </c>
      <c r="P1603" s="899">
        <f t="shared" si="61"/>
        <v>36000</v>
      </c>
    </row>
    <row r="1604" spans="1:16" x14ac:dyDescent="0.2">
      <c r="A1604" s="916" t="s">
        <v>5035</v>
      </c>
      <c r="B1604" s="943" t="s">
        <v>3092</v>
      </c>
      <c r="C1604" s="916" t="s">
        <v>5598</v>
      </c>
      <c r="D1604" s="943" t="s">
        <v>491</v>
      </c>
      <c r="E1604" s="1144">
        <v>2102</v>
      </c>
      <c r="F1604" s="943" t="s">
        <v>6291</v>
      </c>
      <c r="G1604" s="1245" t="s">
        <v>6292</v>
      </c>
      <c r="H1604" s="1245" t="s">
        <v>5433</v>
      </c>
      <c r="I1604" s="1147"/>
      <c r="J1604" s="943"/>
      <c r="K1604" s="944">
        <v>1</v>
      </c>
      <c r="L1604" s="898">
        <v>7</v>
      </c>
      <c r="M1604" s="899">
        <f t="shared" si="60"/>
        <v>14714</v>
      </c>
      <c r="N1604" s="898">
        <v>1</v>
      </c>
      <c r="O1604" s="898">
        <v>12</v>
      </c>
      <c r="P1604" s="899">
        <f t="shared" si="61"/>
        <v>25224</v>
      </c>
    </row>
    <row r="1605" spans="1:16" ht="24" x14ac:dyDescent="0.2">
      <c r="A1605" s="916" t="s">
        <v>5035</v>
      </c>
      <c r="B1605" s="943" t="s">
        <v>3092</v>
      </c>
      <c r="C1605" s="916" t="s">
        <v>5598</v>
      </c>
      <c r="D1605" s="943" t="s">
        <v>491</v>
      </c>
      <c r="E1605" s="1144">
        <v>1200</v>
      </c>
      <c r="F1605" s="943" t="s">
        <v>6293</v>
      </c>
      <c r="G1605" s="1245" t="s">
        <v>6294</v>
      </c>
      <c r="H1605" s="1245" t="s">
        <v>3112</v>
      </c>
      <c r="I1605" s="1147"/>
      <c r="J1605" s="943"/>
      <c r="K1605" s="944">
        <v>1</v>
      </c>
      <c r="L1605" s="898">
        <v>7</v>
      </c>
      <c r="M1605" s="899">
        <f t="shared" si="60"/>
        <v>8400</v>
      </c>
      <c r="N1605" s="898">
        <v>1</v>
      </c>
      <c r="O1605" s="898">
        <v>12</v>
      </c>
      <c r="P1605" s="899">
        <f t="shared" si="61"/>
        <v>14400</v>
      </c>
    </row>
    <row r="1606" spans="1:16" ht="24" x14ac:dyDescent="0.2">
      <c r="A1606" s="916" t="s">
        <v>5035</v>
      </c>
      <c r="B1606" s="943" t="s">
        <v>3092</v>
      </c>
      <c r="C1606" s="916" t="s">
        <v>5598</v>
      </c>
      <c r="D1606" s="943" t="s">
        <v>5040</v>
      </c>
      <c r="E1606" s="1144">
        <v>2931</v>
      </c>
      <c r="F1606" s="943" t="s">
        <v>6295</v>
      </c>
      <c r="G1606" s="1245" t="s">
        <v>6296</v>
      </c>
      <c r="H1606" s="1245" t="s">
        <v>517</v>
      </c>
      <c r="I1606" s="1147"/>
      <c r="J1606" s="943"/>
      <c r="K1606" s="944">
        <v>1</v>
      </c>
      <c r="L1606" s="898">
        <v>7</v>
      </c>
      <c r="M1606" s="899">
        <f t="shared" si="60"/>
        <v>20517</v>
      </c>
      <c r="N1606" s="898">
        <v>1</v>
      </c>
      <c r="O1606" s="898">
        <v>12</v>
      </c>
      <c r="P1606" s="899">
        <f t="shared" si="61"/>
        <v>35172</v>
      </c>
    </row>
    <row r="1607" spans="1:16" ht="24" x14ac:dyDescent="0.2">
      <c r="A1607" s="916" t="s">
        <v>5035</v>
      </c>
      <c r="B1607" s="943" t="s">
        <v>3092</v>
      </c>
      <c r="C1607" s="916" t="s">
        <v>5598</v>
      </c>
      <c r="D1607" s="943" t="s">
        <v>5040</v>
      </c>
      <c r="E1607" s="1144">
        <v>2931</v>
      </c>
      <c r="F1607" s="943" t="s">
        <v>6297</v>
      </c>
      <c r="G1607" s="1245" t="s">
        <v>6298</v>
      </c>
      <c r="H1607" s="1245" t="s">
        <v>5106</v>
      </c>
      <c r="I1607" s="1147"/>
      <c r="J1607" s="943"/>
      <c r="K1607" s="944">
        <v>1</v>
      </c>
      <c r="L1607" s="898">
        <v>7</v>
      </c>
      <c r="M1607" s="899">
        <f t="shared" si="60"/>
        <v>20517</v>
      </c>
      <c r="N1607" s="898">
        <v>1</v>
      </c>
      <c r="O1607" s="898">
        <v>12</v>
      </c>
      <c r="P1607" s="899">
        <f t="shared" si="61"/>
        <v>35172</v>
      </c>
    </row>
    <row r="1608" spans="1:16" ht="24" x14ac:dyDescent="0.2">
      <c r="A1608" s="916" t="s">
        <v>5035</v>
      </c>
      <c r="B1608" s="943" t="s">
        <v>3092</v>
      </c>
      <c r="C1608" s="916" t="s">
        <v>5598</v>
      </c>
      <c r="D1608" s="943" t="s">
        <v>491</v>
      </c>
      <c r="E1608" s="1144">
        <v>1900</v>
      </c>
      <c r="F1608" s="943" t="s">
        <v>6299</v>
      </c>
      <c r="G1608" s="1245" t="s">
        <v>6300</v>
      </c>
      <c r="H1608" s="1245" t="s">
        <v>3100</v>
      </c>
      <c r="I1608" s="1147"/>
      <c r="J1608" s="943"/>
      <c r="K1608" s="944">
        <v>1</v>
      </c>
      <c r="L1608" s="898">
        <v>7</v>
      </c>
      <c r="M1608" s="899">
        <f t="shared" si="60"/>
        <v>13300</v>
      </c>
      <c r="N1608" s="898">
        <v>1</v>
      </c>
      <c r="O1608" s="898">
        <v>12</v>
      </c>
      <c r="P1608" s="899">
        <f t="shared" si="61"/>
        <v>22800</v>
      </c>
    </row>
    <row r="1609" spans="1:16" ht="24" x14ac:dyDescent="0.2">
      <c r="A1609" s="916" t="s">
        <v>5035</v>
      </c>
      <c r="B1609" s="943" t="s">
        <v>3092</v>
      </c>
      <c r="C1609" s="916" t="s">
        <v>5598</v>
      </c>
      <c r="D1609" s="943" t="s">
        <v>5040</v>
      </c>
      <c r="E1609" s="1144">
        <v>1923</v>
      </c>
      <c r="F1609" s="943" t="s">
        <v>6301</v>
      </c>
      <c r="G1609" s="1245" t="s">
        <v>6302</v>
      </c>
      <c r="H1609" s="1245" t="s">
        <v>5043</v>
      </c>
      <c r="I1609" s="1147"/>
      <c r="J1609" s="943"/>
      <c r="K1609" s="944">
        <v>1</v>
      </c>
      <c r="L1609" s="898">
        <v>7</v>
      </c>
      <c r="M1609" s="899">
        <f t="shared" si="60"/>
        <v>13461</v>
      </c>
      <c r="N1609" s="898">
        <v>1</v>
      </c>
      <c r="O1609" s="898">
        <v>12</v>
      </c>
      <c r="P1609" s="899">
        <f t="shared" si="61"/>
        <v>23076</v>
      </c>
    </row>
    <row r="1610" spans="1:16" ht="24" x14ac:dyDescent="0.2">
      <c r="A1610" s="916" t="s">
        <v>5035</v>
      </c>
      <c r="B1610" s="943" t="s">
        <v>3092</v>
      </c>
      <c r="C1610" s="916" t="s">
        <v>5598</v>
      </c>
      <c r="D1610" s="943" t="s">
        <v>5040</v>
      </c>
      <c r="E1610" s="1144">
        <v>1200</v>
      </c>
      <c r="F1610" s="943" t="s">
        <v>6303</v>
      </c>
      <c r="G1610" s="1245" t="s">
        <v>6304</v>
      </c>
      <c r="H1610" s="1245" t="s">
        <v>5095</v>
      </c>
      <c r="I1610" s="1147"/>
      <c r="J1610" s="943"/>
      <c r="K1610" s="944">
        <v>1</v>
      </c>
      <c r="L1610" s="898">
        <v>7</v>
      </c>
      <c r="M1610" s="899">
        <f t="shared" si="60"/>
        <v>8400</v>
      </c>
      <c r="N1610" s="898">
        <v>1</v>
      </c>
      <c r="O1610" s="898">
        <v>12</v>
      </c>
      <c r="P1610" s="899">
        <f t="shared" si="61"/>
        <v>14400</v>
      </c>
    </row>
    <row r="1611" spans="1:16" x14ac:dyDescent="0.2">
      <c r="A1611" s="916" t="s">
        <v>5035</v>
      </c>
      <c r="B1611" s="943" t="s">
        <v>3092</v>
      </c>
      <c r="C1611" s="916" t="s">
        <v>5598</v>
      </c>
      <c r="D1611" s="943" t="s">
        <v>5040</v>
      </c>
      <c r="E1611" s="1144">
        <v>5206.6000000000004</v>
      </c>
      <c r="F1611" s="943" t="s">
        <v>6305</v>
      </c>
      <c r="G1611" s="1245" t="s">
        <v>6306</v>
      </c>
      <c r="H1611" s="1245" t="s">
        <v>5077</v>
      </c>
      <c r="I1611" s="1147"/>
      <c r="J1611" s="943"/>
      <c r="K1611" s="944">
        <v>1</v>
      </c>
      <c r="L1611" s="898">
        <v>7</v>
      </c>
      <c r="M1611" s="899">
        <f t="shared" si="60"/>
        <v>36446.200000000004</v>
      </c>
      <c r="N1611" s="898">
        <v>1</v>
      </c>
      <c r="O1611" s="898">
        <v>12</v>
      </c>
      <c r="P1611" s="899">
        <f t="shared" si="61"/>
        <v>62479.200000000004</v>
      </c>
    </row>
    <row r="1612" spans="1:16" x14ac:dyDescent="0.2">
      <c r="A1612" s="916" t="s">
        <v>5035</v>
      </c>
      <c r="B1612" s="943" t="s">
        <v>3092</v>
      </c>
      <c r="C1612" s="916" t="s">
        <v>5598</v>
      </c>
      <c r="D1612" s="943" t="s">
        <v>5040</v>
      </c>
      <c r="E1612" s="1144">
        <v>3000</v>
      </c>
      <c r="F1612" s="943" t="s">
        <v>6307</v>
      </c>
      <c r="G1612" s="1245" t="s">
        <v>6308</v>
      </c>
      <c r="H1612" s="1245" t="s">
        <v>517</v>
      </c>
      <c r="I1612" s="1147"/>
      <c r="J1612" s="943"/>
      <c r="K1612" s="944">
        <v>1</v>
      </c>
      <c r="L1612" s="898">
        <v>7</v>
      </c>
      <c r="M1612" s="899">
        <f t="shared" si="60"/>
        <v>21000</v>
      </c>
      <c r="N1612" s="898">
        <v>1</v>
      </c>
      <c r="O1612" s="898">
        <v>12</v>
      </c>
      <c r="P1612" s="899">
        <f t="shared" si="61"/>
        <v>36000</v>
      </c>
    </row>
    <row r="1613" spans="1:16" x14ac:dyDescent="0.2">
      <c r="A1613" s="916" t="s">
        <v>5035</v>
      </c>
      <c r="B1613" s="943" t="s">
        <v>3092</v>
      </c>
      <c r="C1613" s="916" t="s">
        <v>5598</v>
      </c>
      <c r="D1613" s="943" t="s">
        <v>5040</v>
      </c>
      <c r="E1613" s="1144">
        <v>1200</v>
      </c>
      <c r="F1613" s="943" t="s">
        <v>6309</v>
      </c>
      <c r="G1613" s="1245" t="s">
        <v>6310</v>
      </c>
      <c r="H1613" s="1245" t="s">
        <v>3187</v>
      </c>
      <c r="I1613" s="1147"/>
      <c r="J1613" s="943"/>
      <c r="K1613" s="944">
        <v>1</v>
      </c>
      <c r="L1613" s="898">
        <v>7</v>
      </c>
      <c r="M1613" s="899">
        <f t="shared" si="60"/>
        <v>8400</v>
      </c>
      <c r="N1613" s="898">
        <v>1</v>
      </c>
      <c r="O1613" s="898">
        <v>12</v>
      </c>
      <c r="P1613" s="899">
        <f t="shared" si="61"/>
        <v>14400</v>
      </c>
    </row>
    <row r="1614" spans="1:16" ht="24" x14ac:dyDescent="0.2">
      <c r="A1614" s="916" t="s">
        <v>5035</v>
      </c>
      <c r="B1614" s="943" t="s">
        <v>3092</v>
      </c>
      <c r="C1614" s="916" t="s">
        <v>5598</v>
      </c>
      <c r="D1614" s="943" t="s">
        <v>5040</v>
      </c>
      <c r="E1614" s="1144">
        <v>3000</v>
      </c>
      <c r="F1614" s="943" t="s">
        <v>6311</v>
      </c>
      <c r="G1614" s="1245" t="s">
        <v>6312</v>
      </c>
      <c r="H1614" s="1245" t="s">
        <v>5043</v>
      </c>
      <c r="I1614" s="1147"/>
      <c r="J1614" s="943"/>
      <c r="K1614" s="944">
        <v>1</v>
      </c>
      <c r="L1614" s="898">
        <v>7</v>
      </c>
      <c r="M1614" s="899">
        <f t="shared" si="60"/>
        <v>21000</v>
      </c>
      <c r="N1614" s="898">
        <v>1</v>
      </c>
      <c r="O1614" s="898">
        <v>12</v>
      </c>
      <c r="P1614" s="899">
        <f t="shared" si="61"/>
        <v>36000</v>
      </c>
    </row>
    <row r="1615" spans="1:16" x14ac:dyDescent="0.2">
      <c r="A1615" s="916" t="s">
        <v>5035</v>
      </c>
      <c r="B1615" s="943" t="s">
        <v>3092</v>
      </c>
      <c r="C1615" s="916" t="s">
        <v>5598</v>
      </c>
      <c r="D1615" s="943" t="s">
        <v>5040</v>
      </c>
      <c r="E1615" s="1144">
        <v>5300</v>
      </c>
      <c r="F1615" s="943" t="s">
        <v>6313</v>
      </c>
      <c r="G1615" s="1245" t="s">
        <v>6314</v>
      </c>
      <c r="H1615" s="1245" t="s">
        <v>517</v>
      </c>
      <c r="I1615" s="1147"/>
      <c r="J1615" s="943"/>
      <c r="K1615" s="944">
        <v>1</v>
      </c>
      <c r="L1615" s="898">
        <v>7</v>
      </c>
      <c r="M1615" s="899">
        <f t="shared" si="60"/>
        <v>37100</v>
      </c>
      <c r="N1615" s="898">
        <v>1</v>
      </c>
      <c r="O1615" s="898">
        <v>12</v>
      </c>
      <c r="P1615" s="899">
        <f t="shared" si="61"/>
        <v>63600</v>
      </c>
    </row>
    <row r="1616" spans="1:16" ht="24" x14ac:dyDescent="0.2">
      <c r="A1616" s="916" t="s">
        <v>5035</v>
      </c>
      <c r="B1616" s="943" t="s">
        <v>3092</v>
      </c>
      <c r="C1616" s="916" t="s">
        <v>5598</v>
      </c>
      <c r="D1616" s="943" t="s">
        <v>5040</v>
      </c>
      <c r="E1616" s="1144">
        <v>3000</v>
      </c>
      <c r="F1616" s="943" t="s">
        <v>6315</v>
      </c>
      <c r="G1616" s="1245" t="s">
        <v>6316</v>
      </c>
      <c r="H1616" s="1245" t="s">
        <v>5043</v>
      </c>
      <c r="I1616" s="1147"/>
      <c r="J1616" s="943"/>
      <c r="K1616" s="944">
        <v>1</v>
      </c>
      <c r="L1616" s="898">
        <v>7</v>
      </c>
      <c r="M1616" s="899">
        <f t="shared" si="60"/>
        <v>21000</v>
      </c>
      <c r="N1616" s="898">
        <v>1</v>
      </c>
      <c r="O1616" s="898">
        <v>12</v>
      </c>
      <c r="P1616" s="899">
        <f t="shared" si="61"/>
        <v>36000</v>
      </c>
    </row>
    <row r="1617" spans="1:16" ht="24" x14ac:dyDescent="0.2">
      <c r="A1617" s="916" t="s">
        <v>5035</v>
      </c>
      <c r="B1617" s="943" t="s">
        <v>3092</v>
      </c>
      <c r="C1617" s="916" t="s">
        <v>5598</v>
      </c>
      <c r="D1617" s="943" t="s">
        <v>491</v>
      </c>
      <c r="E1617" s="1144">
        <v>2200</v>
      </c>
      <c r="F1617" s="943" t="s">
        <v>6317</v>
      </c>
      <c r="G1617" s="1245" t="s">
        <v>6318</v>
      </c>
      <c r="H1617" s="1245" t="s">
        <v>3168</v>
      </c>
      <c r="I1617" s="1147"/>
      <c r="J1617" s="943"/>
      <c r="K1617" s="944">
        <v>1</v>
      </c>
      <c r="L1617" s="898">
        <v>7</v>
      </c>
      <c r="M1617" s="899">
        <f t="shared" si="60"/>
        <v>15400</v>
      </c>
      <c r="N1617" s="898">
        <v>1</v>
      </c>
      <c r="O1617" s="898">
        <v>12</v>
      </c>
      <c r="P1617" s="899">
        <f t="shared" si="61"/>
        <v>26400</v>
      </c>
    </row>
    <row r="1618" spans="1:16" x14ac:dyDescent="0.2">
      <c r="A1618" s="916" t="s">
        <v>5035</v>
      </c>
      <c r="B1618" s="943" t="s">
        <v>3092</v>
      </c>
      <c r="C1618" s="916" t="s">
        <v>5598</v>
      </c>
      <c r="D1618" s="943" t="s">
        <v>5040</v>
      </c>
      <c r="E1618" s="1144">
        <v>7000</v>
      </c>
      <c r="F1618" s="943" t="s">
        <v>6319</v>
      </c>
      <c r="G1618" s="1245" t="s">
        <v>6320</v>
      </c>
      <c r="H1618" s="1245" t="s">
        <v>5077</v>
      </c>
      <c r="I1618" s="1147"/>
      <c r="J1618" s="943"/>
      <c r="K1618" s="944">
        <v>1</v>
      </c>
      <c r="L1618" s="898">
        <v>7</v>
      </c>
      <c r="M1618" s="899">
        <f t="shared" si="60"/>
        <v>49000</v>
      </c>
      <c r="N1618" s="898">
        <v>1</v>
      </c>
      <c r="O1618" s="898">
        <v>12</v>
      </c>
      <c r="P1618" s="899">
        <f t="shared" si="61"/>
        <v>84000</v>
      </c>
    </row>
    <row r="1619" spans="1:16" ht="24" x14ac:dyDescent="0.2">
      <c r="A1619" s="916" t="s">
        <v>5035</v>
      </c>
      <c r="B1619" s="943" t="s">
        <v>3092</v>
      </c>
      <c r="C1619" s="916" t="s">
        <v>5598</v>
      </c>
      <c r="D1619" s="943" t="s">
        <v>5040</v>
      </c>
      <c r="E1619" s="1144">
        <v>7000</v>
      </c>
      <c r="F1619" s="943" t="s">
        <v>6321</v>
      </c>
      <c r="G1619" s="1245" t="s">
        <v>6322</v>
      </c>
      <c r="H1619" s="1245" t="s">
        <v>5077</v>
      </c>
      <c r="I1619" s="1147"/>
      <c r="J1619" s="943"/>
      <c r="K1619" s="944">
        <v>1</v>
      </c>
      <c r="L1619" s="898">
        <v>7</v>
      </c>
      <c r="M1619" s="899">
        <f t="shared" si="60"/>
        <v>49000</v>
      </c>
      <c r="N1619" s="898">
        <v>1</v>
      </c>
      <c r="O1619" s="898">
        <v>12</v>
      </c>
      <c r="P1619" s="899">
        <f t="shared" si="61"/>
        <v>84000</v>
      </c>
    </row>
    <row r="1620" spans="1:16" ht="24" x14ac:dyDescent="0.2">
      <c r="A1620" s="916" t="s">
        <v>5035</v>
      </c>
      <c r="B1620" s="943" t="s">
        <v>3092</v>
      </c>
      <c r="C1620" s="916" t="s">
        <v>5598</v>
      </c>
      <c r="D1620" s="943" t="s">
        <v>5040</v>
      </c>
      <c r="E1620" s="1144">
        <v>1923</v>
      </c>
      <c r="F1620" s="943" t="s">
        <v>6323</v>
      </c>
      <c r="G1620" s="1245" t="s">
        <v>6324</v>
      </c>
      <c r="H1620" s="1245" t="s">
        <v>5043</v>
      </c>
      <c r="I1620" s="1147"/>
      <c r="J1620" s="943"/>
      <c r="K1620" s="944">
        <v>1</v>
      </c>
      <c r="L1620" s="898">
        <v>7</v>
      </c>
      <c r="M1620" s="899">
        <f t="shared" si="60"/>
        <v>13461</v>
      </c>
      <c r="N1620" s="898">
        <v>1</v>
      </c>
      <c r="O1620" s="898">
        <v>12</v>
      </c>
      <c r="P1620" s="899">
        <f t="shared" si="61"/>
        <v>23076</v>
      </c>
    </row>
    <row r="1621" spans="1:16" ht="24" x14ac:dyDescent="0.2">
      <c r="A1621" s="916" t="s">
        <v>5035</v>
      </c>
      <c r="B1621" s="943" t="s">
        <v>3092</v>
      </c>
      <c r="C1621" s="916" t="s">
        <v>5598</v>
      </c>
      <c r="D1621" s="943" t="s">
        <v>491</v>
      </c>
      <c r="E1621" s="1144">
        <v>1307</v>
      </c>
      <c r="F1621" s="943" t="s">
        <v>6325</v>
      </c>
      <c r="G1621" s="1245" t="s">
        <v>6326</v>
      </c>
      <c r="H1621" s="1245" t="s">
        <v>3112</v>
      </c>
      <c r="I1621" s="1147"/>
      <c r="J1621" s="943"/>
      <c r="K1621" s="944">
        <v>1</v>
      </c>
      <c r="L1621" s="898">
        <v>7</v>
      </c>
      <c r="M1621" s="899">
        <f t="shared" si="60"/>
        <v>9149</v>
      </c>
      <c r="N1621" s="898">
        <v>1</v>
      </c>
      <c r="O1621" s="898">
        <v>12</v>
      </c>
      <c r="P1621" s="899">
        <f t="shared" si="61"/>
        <v>15684</v>
      </c>
    </row>
    <row r="1622" spans="1:16" x14ac:dyDescent="0.2">
      <c r="A1622" s="916" t="s">
        <v>5035</v>
      </c>
      <c r="B1622" s="943" t="s">
        <v>3092</v>
      </c>
      <c r="C1622" s="916" t="s">
        <v>5598</v>
      </c>
      <c r="D1622" s="943" t="s">
        <v>5040</v>
      </c>
      <c r="E1622" s="1144">
        <v>1200</v>
      </c>
      <c r="F1622" s="943" t="s">
        <v>6327</v>
      </c>
      <c r="G1622" s="1245" t="s">
        <v>6328</v>
      </c>
      <c r="H1622" s="1245" t="s">
        <v>3187</v>
      </c>
      <c r="I1622" s="1147"/>
      <c r="J1622" s="943"/>
      <c r="K1622" s="944">
        <v>1</v>
      </c>
      <c r="L1622" s="898">
        <v>7</v>
      </c>
      <c r="M1622" s="899">
        <f t="shared" si="60"/>
        <v>8400</v>
      </c>
      <c r="N1622" s="898">
        <v>1</v>
      </c>
      <c r="O1622" s="898">
        <v>12</v>
      </c>
      <c r="P1622" s="899">
        <f t="shared" si="61"/>
        <v>14400</v>
      </c>
    </row>
    <row r="1623" spans="1:16" ht="24" x14ac:dyDescent="0.2">
      <c r="A1623" s="916" t="s">
        <v>5035</v>
      </c>
      <c r="B1623" s="943" t="s">
        <v>3092</v>
      </c>
      <c r="C1623" s="916" t="s">
        <v>5598</v>
      </c>
      <c r="D1623" s="943" t="s">
        <v>5040</v>
      </c>
      <c r="E1623" s="1144">
        <v>1923</v>
      </c>
      <c r="F1623" s="943" t="s">
        <v>6329</v>
      </c>
      <c r="G1623" s="1245" t="s">
        <v>6330</v>
      </c>
      <c r="H1623" s="1245" t="s">
        <v>5043</v>
      </c>
      <c r="I1623" s="1147"/>
      <c r="J1623" s="943"/>
      <c r="K1623" s="944">
        <v>1</v>
      </c>
      <c r="L1623" s="898">
        <v>7</v>
      </c>
      <c r="M1623" s="899">
        <f t="shared" si="60"/>
        <v>13461</v>
      </c>
      <c r="N1623" s="898">
        <v>1</v>
      </c>
      <c r="O1623" s="898">
        <v>12</v>
      </c>
      <c r="P1623" s="899">
        <f t="shared" si="61"/>
        <v>23076</v>
      </c>
    </row>
    <row r="1624" spans="1:16" ht="24" x14ac:dyDescent="0.2">
      <c r="A1624" s="916" t="s">
        <v>5035</v>
      </c>
      <c r="B1624" s="943" t="s">
        <v>3092</v>
      </c>
      <c r="C1624" s="916" t="s">
        <v>5598</v>
      </c>
      <c r="D1624" s="943" t="s">
        <v>491</v>
      </c>
      <c r="E1624" s="1144">
        <v>1186</v>
      </c>
      <c r="F1624" s="943" t="s">
        <v>6331</v>
      </c>
      <c r="G1624" s="1245" t="s">
        <v>6332</v>
      </c>
      <c r="H1624" s="1245" t="s">
        <v>3112</v>
      </c>
      <c r="I1624" s="1147"/>
      <c r="J1624" s="943"/>
      <c r="K1624" s="944">
        <v>1</v>
      </c>
      <c r="L1624" s="898">
        <v>7</v>
      </c>
      <c r="M1624" s="899">
        <f t="shared" si="60"/>
        <v>8302</v>
      </c>
      <c r="N1624" s="898">
        <v>1</v>
      </c>
      <c r="O1624" s="898">
        <v>12</v>
      </c>
      <c r="P1624" s="899">
        <f t="shared" si="61"/>
        <v>14232</v>
      </c>
    </row>
    <row r="1625" spans="1:16" ht="24" x14ac:dyDescent="0.2">
      <c r="A1625" s="916" t="s">
        <v>5035</v>
      </c>
      <c r="B1625" s="943" t="s">
        <v>3092</v>
      </c>
      <c r="C1625" s="916" t="s">
        <v>5598</v>
      </c>
      <c r="D1625" s="943" t="s">
        <v>5040</v>
      </c>
      <c r="E1625" s="1144">
        <v>1923</v>
      </c>
      <c r="F1625" s="943" t="s">
        <v>6333</v>
      </c>
      <c r="G1625" s="1245" t="s">
        <v>6334</v>
      </c>
      <c r="H1625" s="1245" t="s">
        <v>5043</v>
      </c>
      <c r="I1625" s="1147"/>
      <c r="J1625" s="943"/>
      <c r="K1625" s="944">
        <v>1</v>
      </c>
      <c r="L1625" s="898">
        <v>7</v>
      </c>
      <c r="M1625" s="899">
        <f t="shared" si="60"/>
        <v>13461</v>
      </c>
      <c r="N1625" s="898">
        <v>1</v>
      </c>
      <c r="O1625" s="898">
        <v>12</v>
      </c>
      <c r="P1625" s="899">
        <f t="shared" si="61"/>
        <v>23076</v>
      </c>
    </row>
    <row r="1626" spans="1:16" ht="24" x14ac:dyDescent="0.2">
      <c r="A1626" s="916" t="s">
        <v>5035</v>
      </c>
      <c r="B1626" s="943" t="s">
        <v>3092</v>
      </c>
      <c r="C1626" s="916" t="s">
        <v>5598</v>
      </c>
      <c r="D1626" s="943" t="s">
        <v>5040</v>
      </c>
      <c r="E1626" s="1144">
        <v>1923</v>
      </c>
      <c r="F1626" s="943" t="s">
        <v>6335</v>
      </c>
      <c r="G1626" s="1245" t="s">
        <v>6336</v>
      </c>
      <c r="H1626" s="1245" t="s">
        <v>5043</v>
      </c>
      <c r="I1626" s="1147"/>
      <c r="J1626" s="943"/>
      <c r="K1626" s="944">
        <v>1</v>
      </c>
      <c r="L1626" s="898">
        <v>7</v>
      </c>
      <c r="M1626" s="899">
        <f t="shared" si="60"/>
        <v>13461</v>
      </c>
      <c r="N1626" s="898">
        <v>1</v>
      </c>
      <c r="O1626" s="898">
        <v>12</v>
      </c>
      <c r="P1626" s="899">
        <f t="shared" si="61"/>
        <v>23076</v>
      </c>
    </row>
    <row r="1627" spans="1:16" x14ac:dyDescent="0.2">
      <c r="A1627" s="916" t="s">
        <v>5035</v>
      </c>
      <c r="B1627" s="943" t="s">
        <v>3092</v>
      </c>
      <c r="C1627" s="916" t="s">
        <v>5598</v>
      </c>
      <c r="D1627" s="943" t="s">
        <v>5040</v>
      </c>
      <c r="E1627" s="1144">
        <v>2931</v>
      </c>
      <c r="F1627" s="943" t="s">
        <v>6337</v>
      </c>
      <c r="G1627" s="1245" t="s">
        <v>6338</v>
      </c>
      <c r="H1627" s="1245" t="s">
        <v>5106</v>
      </c>
      <c r="I1627" s="1147"/>
      <c r="J1627" s="943"/>
      <c r="K1627" s="944">
        <v>1</v>
      </c>
      <c r="L1627" s="898">
        <v>7</v>
      </c>
      <c r="M1627" s="899">
        <f t="shared" si="60"/>
        <v>20517</v>
      </c>
      <c r="N1627" s="898">
        <v>1</v>
      </c>
      <c r="O1627" s="898">
        <v>12</v>
      </c>
      <c r="P1627" s="899">
        <f t="shared" si="61"/>
        <v>35172</v>
      </c>
    </row>
    <row r="1628" spans="1:16" ht="24" x14ac:dyDescent="0.2">
      <c r="A1628" s="916" t="s">
        <v>5035</v>
      </c>
      <c r="B1628" s="943" t="s">
        <v>3092</v>
      </c>
      <c r="C1628" s="916" t="s">
        <v>5598</v>
      </c>
      <c r="D1628" s="943" t="s">
        <v>5040</v>
      </c>
      <c r="E1628" s="1144">
        <v>1932</v>
      </c>
      <c r="F1628" s="943" t="s">
        <v>6339</v>
      </c>
      <c r="G1628" s="1245" t="s">
        <v>6340</v>
      </c>
      <c r="H1628" s="1245" t="s">
        <v>5043</v>
      </c>
      <c r="I1628" s="1147"/>
      <c r="J1628" s="943"/>
      <c r="K1628" s="944">
        <v>1</v>
      </c>
      <c r="L1628" s="898">
        <v>7</v>
      </c>
      <c r="M1628" s="899">
        <f t="shared" si="60"/>
        <v>13524</v>
      </c>
      <c r="N1628" s="898">
        <v>1</v>
      </c>
      <c r="O1628" s="898">
        <v>12</v>
      </c>
      <c r="P1628" s="899">
        <f t="shared" si="61"/>
        <v>23184</v>
      </c>
    </row>
    <row r="1629" spans="1:16" x14ac:dyDescent="0.2">
      <c r="A1629" s="916" t="s">
        <v>5035</v>
      </c>
      <c r="B1629" s="943" t="s">
        <v>3092</v>
      </c>
      <c r="C1629" s="916" t="s">
        <v>5598</v>
      </c>
      <c r="D1629" s="943" t="s">
        <v>5040</v>
      </c>
      <c r="E1629" s="1144">
        <v>5500</v>
      </c>
      <c r="F1629" s="943" t="s">
        <v>6341</v>
      </c>
      <c r="G1629" s="1245" t="s">
        <v>6342</v>
      </c>
      <c r="H1629" s="1245" t="s">
        <v>5106</v>
      </c>
      <c r="I1629" s="1147"/>
      <c r="J1629" s="943"/>
      <c r="K1629" s="944">
        <v>1</v>
      </c>
      <c r="L1629" s="898">
        <v>7</v>
      </c>
      <c r="M1629" s="899">
        <f t="shared" si="60"/>
        <v>38500</v>
      </c>
      <c r="N1629" s="898">
        <v>1</v>
      </c>
      <c r="O1629" s="898">
        <v>12</v>
      </c>
      <c r="P1629" s="899">
        <f t="shared" si="61"/>
        <v>66000</v>
      </c>
    </row>
    <row r="1630" spans="1:16" x14ac:dyDescent="0.2">
      <c r="A1630" s="916" t="s">
        <v>5035</v>
      </c>
      <c r="B1630" s="943" t="s">
        <v>3092</v>
      </c>
      <c r="C1630" s="916" t="s">
        <v>5598</v>
      </c>
      <c r="D1630" s="943" t="s">
        <v>5040</v>
      </c>
      <c r="E1630" s="1144">
        <v>3695.01</v>
      </c>
      <c r="F1630" s="943" t="s">
        <v>6343</v>
      </c>
      <c r="G1630" s="1245" t="s">
        <v>6344</v>
      </c>
      <c r="H1630" s="1245" t="s">
        <v>5077</v>
      </c>
      <c r="I1630" s="1147"/>
      <c r="J1630" s="943"/>
      <c r="K1630" s="944">
        <v>1</v>
      </c>
      <c r="L1630" s="898">
        <v>7</v>
      </c>
      <c r="M1630" s="899">
        <f t="shared" si="60"/>
        <v>25865.07</v>
      </c>
      <c r="N1630" s="898">
        <v>1</v>
      </c>
      <c r="O1630" s="898">
        <v>12</v>
      </c>
      <c r="P1630" s="899">
        <f t="shared" si="61"/>
        <v>44340.12</v>
      </c>
    </row>
    <row r="1631" spans="1:16" ht="24" x14ac:dyDescent="0.2">
      <c r="A1631" s="916" t="s">
        <v>5035</v>
      </c>
      <c r="B1631" s="943" t="s">
        <v>3092</v>
      </c>
      <c r="C1631" s="916" t="s">
        <v>5598</v>
      </c>
      <c r="D1631" s="943" t="s">
        <v>5040</v>
      </c>
      <c r="E1631" s="1144">
        <v>1923</v>
      </c>
      <c r="F1631" s="943" t="s">
        <v>6345</v>
      </c>
      <c r="G1631" s="1245" t="s">
        <v>6346</v>
      </c>
      <c r="H1631" s="1245" t="s">
        <v>5043</v>
      </c>
      <c r="I1631" s="1147"/>
      <c r="J1631" s="943"/>
      <c r="K1631" s="944">
        <v>1</v>
      </c>
      <c r="L1631" s="898">
        <v>7</v>
      </c>
      <c r="M1631" s="899">
        <f t="shared" si="60"/>
        <v>13461</v>
      </c>
      <c r="N1631" s="898">
        <v>1</v>
      </c>
      <c r="O1631" s="898">
        <v>12</v>
      </c>
      <c r="P1631" s="899">
        <f t="shared" si="61"/>
        <v>23076</v>
      </c>
    </row>
    <row r="1632" spans="1:16" ht="24" x14ac:dyDescent="0.2">
      <c r="A1632" s="916" t="s">
        <v>5035</v>
      </c>
      <c r="B1632" s="943" t="s">
        <v>3092</v>
      </c>
      <c r="C1632" s="916" t="s">
        <v>5598</v>
      </c>
      <c r="D1632" s="943" t="s">
        <v>5040</v>
      </c>
      <c r="E1632" s="1144">
        <v>1923</v>
      </c>
      <c r="F1632" s="943" t="s">
        <v>6347</v>
      </c>
      <c r="G1632" s="1245" t="s">
        <v>6348</v>
      </c>
      <c r="H1632" s="1245" t="s">
        <v>5043</v>
      </c>
      <c r="I1632" s="1147"/>
      <c r="J1632" s="943"/>
      <c r="K1632" s="944">
        <v>1</v>
      </c>
      <c r="L1632" s="898">
        <v>7</v>
      </c>
      <c r="M1632" s="899">
        <f t="shared" si="60"/>
        <v>13461</v>
      </c>
      <c r="N1632" s="898">
        <v>1</v>
      </c>
      <c r="O1632" s="898">
        <v>12</v>
      </c>
      <c r="P1632" s="899">
        <f t="shared" si="61"/>
        <v>23076</v>
      </c>
    </row>
    <row r="1633" spans="1:16" ht="24" x14ac:dyDescent="0.2">
      <c r="A1633" s="916" t="s">
        <v>5035</v>
      </c>
      <c r="B1633" s="943" t="s">
        <v>3092</v>
      </c>
      <c r="C1633" s="916" t="s">
        <v>5598</v>
      </c>
      <c r="D1633" s="943" t="s">
        <v>5040</v>
      </c>
      <c r="E1633" s="1144">
        <v>1923</v>
      </c>
      <c r="F1633" s="943" t="s">
        <v>6349</v>
      </c>
      <c r="G1633" s="1245" t="s">
        <v>6350</v>
      </c>
      <c r="H1633" s="1245" t="s">
        <v>5043</v>
      </c>
      <c r="I1633" s="1147"/>
      <c r="J1633" s="943"/>
      <c r="K1633" s="944">
        <v>1</v>
      </c>
      <c r="L1633" s="898">
        <v>7</v>
      </c>
      <c r="M1633" s="899">
        <f t="shared" si="60"/>
        <v>13461</v>
      </c>
      <c r="N1633" s="898">
        <v>1</v>
      </c>
      <c r="O1633" s="898">
        <v>12</v>
      </c>
      <c r="P1633" s="899">
        <f t="shared" si="61"/>
        <v>23076</v>
      </c>
    </row>
    <row r="1634" spans="1:16" ht="24" x14ac:dyDescent="0.2">
      <c r="A1634" s="916" t="s">
        <v>5035</v>
      </c>
      <c r="B1634" s="943" t="s">
        <v>3092</v>
      </c>
      <c r="C1634" s="916" t="s">
        <v>5598</v>
      </c>
      <c r="D1634" s="943" t="s">
        <v>5040</v>
      </c>
      <c r="E1634" s="1144">
        <v>1122.58</v>
      </c>
      <c r="F1634" s="943" t="s">
        <v>6351</v>
      </c>
      <c r="G1634" s="1245" t="s">
        <v>6352</v>
      </c>
      <c r="H1634" s="1245" t="s">
        <v>5058</v>
      </c>
      <c r="I1634" s="1147"/>
      <c r="J1634" s="943"/>
      <c r="K1634" s="944">
        <v>1</v>
      </c>
      <c r="L1634" s="898">
        <v>7</v>
      </c>
      <c r="M1634" s="899">
        <f t="shared" si="60"/>
        <v>7858.0599999999995</v>
      </c>
      <c r="N1634" s="898">
        <v>1</v>
      </c>
      <c r="O1634" s="898">
        <v>12</v>
      </c>
      <c r="P1634" s="899">
        <f t="shared" si="61"/>
        <v>13470.96</v>
      </c>
    </row>
    <row r="1635" spans="1:16" x14ac:dyDescent="0.2">
      <c r="A1635" s="916" t="s">
        <v>5035</v>
      </c>
      <c r="B1635" s="943" t="s">
        <v>3092</v>
      </c>
      <c r="C1635" s="916" t="s">
        <v>5598</v>
      </c>
      <c r="D1635" s="943" t="s">
        <v>5040</v>
      </c>
      <c r="E1635" s="1144">
        <v>5500</v>
      </c>
      <c r="F1635" s="943" t="s">
        <v>6353</v>
      </c>
      <c r="G1635" s="1245" t="s">
        <v>6354</v>
      </c>
      <c r="H1635" s="1245" t="s">
        <v>5112</v>
      </c>
      <c r="I1635" s="1147"/>
      <c r="J1635" s="943"/>
      <c r="K1635" s="944">
        <v>1</v>
      </c>
      <c r="L1635" s="898">
        <v>7</v>
      </c>
      <c r="M1635" s="899">
        <f t="shared" si="60"/>
        <v>38500</v>
      </c>
      <c r="N1635" s="898">
        <v>1</v>
      </c>
      <c r="O1635" s="898">
        <v>12</v>
      </c>
      <c r="P1635" s="899">
        <f t="shared" si="61"/>
        <v>66000</v>
      </c>
    </row>
    <row r="1636" spans="1:16" x14ac:dyDescent="0.2">
      <c r="A1636" s="916" t="s">
        <v>5035</v>
      </c>
      <c r="B1636" s="943" t="s">
        <v>3092</v>
      </c>
      <c r="C1636" s="916" t="s">
        <v>5598</v>
      </c>
      <c r="D1636" s="943" t="s">
        <v>5040</v>
      </c>
      <c r="E1636" s="1144">
        <v>1200</v>
      </c>
      <c r="F1636" s="943" t="s">
        <v>6355</v>
      </c>
      <c r="G1636" s="1245" t="s">
        <v>6356</v>
      </c>
      <c r="H1636" s="1245" t="s">
        <v>3187</v>
      </c>
      <c r="I1636" s="1147"/>
      <c r="J1636" s="943"/>
      <c r="K1636" s="944">
        <v>1</v>
      </c>
      <c r="L1636" s="898">
        <v>7</v>
      </c>
      <c r="M1636" s="899">
        <f t="shared" ref="M1636:M1699" si="62">+L1636*E1636</f>
        <v>8400</v>
      </c>
      <c r="N1636" s="898">
        <v>1</v>
      </c>
      <c r="O1636" s="898">
        <v>12</v>
      </c>
      <c r="P1636" s="899">
        <f t="shared" ref="P1636:P1699" si="63">+O1636*E1636</f>
        <v>14400</v>
      </c>
    </row>
    <row r="1637" spans="1:16" ht="24" x14ac:dyDescent="0.2">
      <c r="A1637" s="916" t="s">
        <v>5035</v>
      </c>
      <c r="B1637" s="943" t="s">
        <v>3092</v>
      </c>
      <c r="C1637" s="916" t="s">
        <v>5598</v>
      </c>
      <c r="D1637" s="943" t="s">
        <v>5040</v>
      </c>
      <c r="E1637" s="1144">
        <v>1923</v>
      </c>
      <c r="F1637" s="943" t="s">
        <v>6357</v>
      </c>
      <c r="G1637" s="1245" t="s">
        <v>6358</v>
      </c>
      <c r="H1637" s="1245" t="s">
        <v>580</v>
      </c>
      <c r="I1637" s="1147"/>
      <c r="J1637" s="943"/>
      <c r="K1637" s="944">
        <v>1</v>
      </c>
      <c r="L1637" s="898">
        <v>7</v>
      </c>
      <c r="M1637" s="899">
        <f t="shared" si="62"/>
        <v>13461</v>
      </c>
      <c r="N1637" s="898">
        <v>1</v>
      </c>
      <c r="O1637" s="898">
        <v>12</v>
      </c>
      <c r="P1637" s="899">
        <f t="shared" si="63"/>
        <v>23076</v>
      </c>
    </row>
    <row r="1638" spans="1:16" ht="24" x14ac:dyDescent="0.2">
      <c r="A1638" s="916" t="s">
        <v>5035</v>
      </c>
      <c r="B1638" s="943" t="s">
        <v>3092</v>
      </c>
      <c r="C1638" s="916" t="s">
        <v>5598</v>
      </c>
      <c r="D1638" s="943" t="s">
        <v>5040</v>
      </c>
      <c r="E1638" s="1144">
        <v>1923</v>
      </c>
      <c r="F1638" s="943" t="s">
        <v>6359</v>
      </c>
      <c r="G1638" s="1245" t="s">
        <v>6360</v>
      </c>
      <c r="H1638" s="1245" t="s">
        <v>5652</v>
      </c>
      <c r="I1638" s="1147"/>
      <c r="J1638" s="943"/>
      <c r="K1638" s="944">
        <v>1</v>
      </c>
      <c r="L1638" s="898">
        <v>7</v>
      </c>
      <c r="M1638" s="899">
        <f t="shared" si="62"/>
        <v>13461</v>
      </c>
      <c r="N1638" s="898">
        <v>1</v>
      </c>
      <c r="O1638" s="898">
        <v>12</v>
      </c>
      <c r="P1638" s="899">
        <f t="shared" si="63"/>
        <v>23076</v>
      </c>
    </row>
    <row r="1639" spans="1:16" ht="24" x14ac:dyDescent="0.2">
      <c r="A1639" s="916" t="s">
        <v>5035</v>
      </c>
      <c r="B1639" s="943" t="s">
        <v>3092</v>
      </c>
      <c r="C1639" s="916" t="s">
        <v>5598</v>
      </c>
      <c r="D1639" s="943" t="s">
        <v>5040</v>
      </c>
      <c r="E1639" s="1144">
        <v>3000</v>
      </c>
      <c r="F1639" s="943" t="s">
        <v>6361</v>
      </c>
      <c r="G1639" s="1245" t="s">
        <v>6362</v>
      </c>
      <c r="H1639" s="1245" t="s">
        <v>5043</v>
      </c>
      <c r="I1639" s="1147"/>
      <c r="J1639" s="943"/>
      <c r="K1639" s="944">
        <v>1</v>
      </c>
      <c r="L1639" s="898">
        <v>7</v>
      </c>
      <c r="M1639" s="899">
        <f t="shared" si="62"/>
        <v>21000</v>
      </c>
      <c r="N1639" s="898">
        <v>1</v>
      </c>
      <c r="O1639" s="898">
        <v>12</v>
      </c>
      <c r="P1639" s="899">
        <f t="shared" si="63"/>
        <v>36000</v>
      </c>
    </row>
    <row r="1640" spans="1:16" ht="24" x14ac:dyDescent="0.2">
      <c r="A1640" s="916" t="s">
        <v>5035</v>
      </c>
      <c r="B1640" s="943" t="s">
        <v>3092</v>
      </c>
      <c r="C1640" s="916" t="s">
        <v>5598</v>
      </c>
      <c r="D1640" s="943" t="s">
        <v>5040</v>
      </c>
      <c r="E1640" s="1144">
        <v>1400</v>
      </c>
      <c r="F1640" s="943" t="s">
        <v>6363</v>
      </c>
      <c r="G1640" s="1245" t="s">
        <v>6364</v>
      </c>
      <c r="H1640" s="1245" t="s">
        <v>5133</v>
      </c>
      <c r="I1640" s="1147"/>
      <c r="J1640" s="943"/>
      <c r="K1640" s="944">
        <v>1</v>
      </c>
      <c r="L1640" s="898">
        <v>7</v>
      </c>
      <c r="M1640" s="899">
        <f t="shared" si="62"/>
        <v>9800</v>
      </c>
      <c r="N1640" s="898">
        <v>1</v>
      </c>
      <c r="O1640" s="898">
        <v>12</v>
      </c>
      <c r="P1640" s="899">
        <f t="shared" si="63"/>
        <v>16800</v>
      </c>
    </row>
    <row r="1641" spans="1:16" x14ac:dyDescent="0.2">
      <c r="A1641" s="916" t="s">
        <v>5035</v>
      </c>
      <c r="B1641" s="943" t="s">
        <v>3092</v>
      </c>
      <c r="C1641" s="916" t="s">
        <v>5598</v>
      </c>
      <c r="D1641" s="943" t="s">
        <v>5040</v>
      </c>
      <c r="E1641" s="1144">
        <v>1200</v>
      </c>
      <c r="F1641" s="943" t="s">
        <v>6365</v>
      </c>
      <c r="G1641" s="1245" t="s">
        <v>6366</v>
      </c>
      <c r="H1641" s="1245" t="s">
        <v>3187</v>
      </c>
      <c r="I1641" s="1147"/>
      <c r="J1641" s="943"/>
      <c r="K1641" s="944">
        <v>1</v>
      </c>
      <c r="L1641" s="898">
        <v>7</v>
      </c>
      <c r="M1641" s="899">
        <f t="shared" si="62"/>
        <v>8400</v>
      </c>
      <c r="N1641" s="898">
        <v>1</v>
      </c>
      <c r="O1641" s="898">
        <v>12</v>
      </c>
      <c r="P1641" s="899">
        <f t="shared" si="63"/>
        <v>14400</v>
      </c>
    </row>
    <row r="1642" spans="1:16" ht="24" x14ac:dyDescent="0.2">
      <c r="A1642" s="916" t="s">
        <v>5035</v>
      </c>
      <c r="B1642" s="943" t="s">
        <v>3092</v>
      </c>
      <c r="C1642" s="916" t="s">
        <v>5598</v>
      </c>
      <c r="D1642" s="943" t="s">
        <v>5040</v>
      </c>
      <c r="E1642" s="1144">
        <v>1200</v>
      </c>
      <c r="F1642" s="943" t="s">
        <v>6367</v>
      </c>
      <c r="G1642" s="1245" t="s">
        <v>6368</v>
      </c>
      <c r="H1642" s="1245" t="s">
        <v>5095</v>
      </c>
      <c r="I1642" s="1147"/>
      <c r="J1642" s="943"/>
      <c r="K1642" s="944">
        <v>1</v>
      </c>
      <c r="L1642" s="898">
        <v>7</v>
      </c>
      <c r="M1642" s="899">
        <f t="shared" si="62"/>
        <v>8400</v>
      </c>
      <c r="N1642" s="898">
        <v>1</v>
      </c>
      <c r="O1642" s="898">
        <v>12</v>
      </c>
      <c r="P1642" s="899">
        <f t="shared" si="63"/>
        <v>14400</v>
      </c>
    </row>
    <row r="1643" spans="1:16" ht="24" x14ac:dyDescent="0.2">
      <c r="A1643" s="916" t="s">
        <v>5035</v>
      </c>
      <c r="B1643" s="943" t="s">
        <v>3092</v>
      </c>
      <c r="C1643" s="916" t="s">
        <v>5598</v>
      </c>
      <c r="D1643" s="943" t="s">
        <v>491</v>
      </c>
      <c r="E1643" s="1144">
        <v>1200</v>
      </c>
      <c r="F1643" s="943" t="s">
        <v>6369</v>
      </c>
      <c r="G1643" s="1245" t="s">
        <v>6370</v>
      </c>
      <c r="H1643" s="1245" t="s">
        <v>3112</v>
      </c>
      <c r="I1643" s="1147"/>
      <c r="J1643" s="943"/>
      <c r="K1643" s="944">
        <v>1</v>
      </c>
      <c r="L1643" s="898">
        <v>7</v>
      </c>
      <c r="M1643" s="899">
        <f t="shared" si="62"/>
        <v>8400</v>
      </c>
      <c r="N1643" s="898">
        <v>1</v>
      </c>
      <c r="O1643" s="898">
        <v>12</v>
      </c>
      <c r="P1643" s="899">
        <f t="shared" si="63"/>
        <v>14400</v>
      </c>
    </row>
    <row r="1644" spans="1:16" x14ac:dyDescent="0.2">
      <c r="A1644" s="916" t="s">
        <v>5035</v>
      </c>
      <c r="B1644" s="943" t="s">
        <v>3092</v>
      </c>
      <c r="C1644" s="916" t="s">
        <v>5598</v>
      </c>
      <c r="D1644" s="943" t="s">
        <v>5040</v>
      </c>
      <c r="E1644" s="1144">
        <v>5500</v>
      </c>
      <c r="F1644" s="943" t="s">
        <v>6371</v>
      </c>
      <c r="G1644" s="1245" t="s">
        <v>6372</v>
      </c>
      <c r="H1644" s="1245" t="s">
        <v>5219</v>
      </c>
      <c r="I1644" s="1147"/>
      <c r="J1644" s="943"/>
      <c r="K1644" s="944">
        <v>1</v>
      </c>
      <c r="L1644" s="898">
        <v>7</v>
      </c>
      <c r="M1644" s="899">
        <f t="shared" si="62"/>
        <v>38500</v>
      </c>
      <c r="N1644" s="898">
        <v>1</v>
      </c>
      <c r="O1644" s="898">
        <v>12</v>
      </c>
      <c r="P1644" s="899">
        <f t="shared" si="63"/>
        <v>66000</v>
      </c>
    </row>
    <row r="1645" spans="1:16" ht="24" x14ac:dyDescent="0.2">
      <c r="A1645" s="916" t="s">
        <v>5035</v>
      </c>
      <c r="B1645" s="943" t="s">
        <v>3092</v>
      </c>
      <c r="C1645" s="916" t="s">
        <v>5598</v>
      </c>
      <c r="D1645" s="943" t="s">
        <v>5040</v>
      </c>
      <c r="E1645" s="1144">
        <v>1932</v>
      </c>
      <c r="F1645" s="943" t="s">
        <v>6373</v>
      </c>
      <c r="G1645" s="1245" t="s">
        <v>6374</v>
      </c>
      <c r="H1645" s="1245" t="s">
        <v>5043</v>
      </c>
      <c r="I1645" s="1147"/>
      <c r="J1645" s="943"/>
      <c r="K1645" s="944">
        <v>1</v>
      </c>
      <c r="L1645" s="898">
        <v>7</v>
      </c>
      <c r="M1645" s="899">
        <f t="shared" si="62"/>
        <v>13524</v>
      </c>
      <c r="N1645" s="898">
        <v>1</v>
      </c>
      <c r="O1645" s="898">
        <v>12</v>
      </c>
      <c r="P1645" s="899">
        <f t="shared" si="63"/>
        <v>23184</v>
      </c>
    </row>
    <row r="1646" spans="1:16" x14ac:dyDescent="0.2">
      <c r="A1646" s="916" t="s">
        <v>5035</v>
      </c>
      <c r="B1646" s="943" t="s">
        <v>3092</v>
      </c>
      <c r="C1646" s="916" t="s">
        <v>5598</v>
      </c>
      <c r="D1646" s="943" t="s">
        <v>5040</v>
      </c>
      <c r="E1646" s="1144">
        <v>1200</v>
      </c>
      <c r="F1646" s="943" t="s">
        <v>6375</v>
      </c>
      <c r="G1646" s="1245" t="s">
        <v>6376</v>
      </c>
      <c r="H1646" s="1245" t="s">
        <v>3187</v>
      </c>
      <c r="I1646" s="1147"/>
      <c r="J1646" s="943"/>
      <c r="K1646" s="944">
        <v>1</v>
      </c>
      <c r="L1646" s="898">
        <v>7</v>
      </c>
      <c r="M1646" s="899">
        <f t="shared" si="62"/>
        <v>8400</v>
      </c>
      <c r="N1646" s="898">
        <v>1</v>
      </c>
      <c r="O1646" s="898">
        <v>12</v>
      </c>
      <c r="P1646" s="899">
        <f t="shared" si="63"/>
        <v>14400</v>
      </c>
    </row>
    <row r="1647" spans="1:16" ht="24" x14ac:dyDescent="0.2">
      <c r="A1647" s="916" t="s">
        <v>5035</v>
      </c>
      <c r="B1647" s="943" t="s">
        <v>3092</v>
      </c>
      <c r="C1647" s="916" t="s">
        <v>5598</v>
      </c>
      <c r="D1647" s="943" t="s">
        <v>5040</v>
      </c>
      <c r="E1647" s="1144">
        <v>1923</v>
      </c>
      <c r="F1647" s="943" t="s">
        <v>6377</v>
      </c>
      <c r="G1647" s="1245" t="s">
        <v>6378</v>
      </c>
      <c r="H1647" s="1245" t="s">
        <v>5043</v>
      </c>
      <c r="I1647" s="1147"/>
      <c r="J1647" s="943"/>
      <c r="K1647" s="944">
        <v>1</v>
      </c>
      <c r="L1647" s="898">
        <v>7</v>
      </c>
      <c r="M1647" s="899">
        <f t="shared" si="62"/>
        <v>13461</v>
      </c>
      <c r="N1647" s="898">
        <v>1</v>
      </c>
      <c r="O1647" s="898">
        <v>12</v>
      </c>
      <c r="P1647" s="899">
        <f t="shared" si="63"/>
        <v>23076</v>
      </c>
    </row>
    <row r="1648" spans="1:16" ht="24" x14ac:dyDescent="0.2">
      <c r="A1648" s="916" t="s">
        <v>5035</v>
      </c>
      <c r="B1648" s="943" t="s">
        <v>3092</v>
      </c>
      <c r="C1648" s="916" t="s">
        <v>5598</v>
      </c>
      <c r="D1648" s="943" t="s">
        <v>5040</v>
      </c>
      <c r="E1648" s="1144">
        <v>1923</v>
      </c>
      <c r="F1648" s="943" t="s">
        <v>6379</v>
      </c>
      <c r="G1648" s="1245" t="s">
        <v>6380</v>
      </c>
      <c r="H1648" s="1245" t="s">
        <v>5043</v>
      </c>
      <c r="I1648" s="1147"/>
      <c r="J1648" s="943"/>
      <c r="K1648" s="944">
        <v>1</v>
      </c>
      <c r="L1648" s="898">
        <v>7</v>
      </c>
      <c r="M1648" s="899">
        <f t="shared" si="62"/>
        <v>13461</v>
      </c>
      <c r="N1648" s="898">
        <v>1</v>
      </c>
      <c r="O1648" s="898">
        <v>12</v>
      </c>
      <c r="P1648" s="899">
        <f t="shared" si="63"/>
        <v>23076</v>
      </c>
    </row>
    <row r="1649" spans="1:16" x14ac:dyDescent="0.2">
      <c r="A1649" s="916" t="s">
        <v>5035</v>
      </c>
      <c r="B1649" s="943" t="s">
        <v>3092</v>
      </c>
      <c r="C1649" s="916" t="s">
        <v>5598</v>
      </c>
      <c r="D1649" s="943" t="s">
        <v>491</v>
      </c>
      <c r="E1649" s="1144">
        <v>2162</v>
      </c>
      <c r="F1649" s="943" t="s">
        <v>6381</v>
      </c>
      <c r="G1649" s="1245" t="s">
        <v>6382</v>
      </c>
      <c r="H1649" s="1245" t="s">
        <v>5433</v>
      </c>
      <c r="I1649" s="1147"/>
      <c r="J1649" s="943"/>
      <c r="K1649" s="944">
        <v>1</v>
      </c>
      <c r="L1649" s="898">
        <v>7</v>
      </c>
      <c r="M1649" s="899">
        <f t="shared" si="62"/>
        <v>15134</v>
      </c>
      <c r="N1649" s="898">
        <v>1</v>
      </c>
      <c r="O1649" s="898">
        <v>12</v>
      </c>
      <c r="P1649" s="899">
        <f t="shared" si="63"/>
        <v>25944</v>
      </c>
    </row>
    <row r="1650" spans="1:16" x14ac:dyDescent="0.2">
      <c r="A1650" s="916" t="s">
        <v>5035</v>
      </c>
      <c r="B1650" s="943" t="s">
        <v>3092</v>
      </c>
      <c r="C1650" s="916" t="s">
        <v>5598</v>
      </c>
      <c r="D1650" s="943" t="s">
        <v>5040</v>
      </c>
      <c r="E1650" s="1144">
        <v>1400</v>
      </c>
      <c r="F1650" s="943" t="s">
        <v>6383</v>
      </c>
      <c r="G1650" s="1245" t="s">
        <v>6384</v>
      </c>
      <c r="H1650" s="1245" t="s">
        <v>5084</v>
      </c>
      <c r="I1650" s="1147"/>
      <c r="J1650" s="943"/>
      <c r="K1650" s="944">
        <v>1</v>
      </c>
      <c r="L1650" s="898">
        <v>7</v>
      </c>
      <c r="M1650" s="899">
        <f t="shared" si="62"/>
        <v>9800</v>
      </c>
      <c r="N1650" s="898">
        <v>1</v>
      </c>
      <c r="O1650" s="898">
        <v>12</v>
      </c>
      <c r="P1650" s="899">
        <f t="shared" si="63"/>
        <v>16800</v>
      </c>
    </row>
    <row r="1651" spans="1:16" ht="24" x14ac:dyDescent="0.2">
      <c r="A1651" s="916" t="s">
        <v>5035</v>
      </c>
      <c r="B1651" s="943" t="s">
        <v>3092</v>
      </c>
      <c r="C1651" s="916" t="s">
        <v>5598</v>
      </c>
      <c r="D1651" s="943" t="s">
        <v>5040</v>
      </c>
      <c r="E1651" s="1144">
        <v>1923</v>
      </c>
      <c r="F1651" s="943" t="s">
        <v>6385</v>
      </c>
      <c r="G1651" s="1245" t="s">
        <v>6386</v>
      </c>
      <c r="H1651" s="1245" t="s">
        <v>5043</v>
      </c>
      <c r="I1651" s="1147"/>
      <c r="J1651" s="943"/>
      <c r="K1651" s="944">
        <v>1</v>
      </c>
      <c r="L1651" s="898">
        <v>7</v>
      </c>
      <c r="M1651" s="899">
        <f t="shared" si="62"/>
        <v>13461</v>
      </c>
      <c r="N1651" s="898">
        <v>1</v>
      </c>
      <c r="O1651" s="898">
        <v>12</v>
      </c>
      <c r="P1651" s="899">
        <f t="shared" si="63"/>
        <v>23076</v>
      </c>
    </row>
    <row r="1652" spans="1:16" x14ac:dyDescent="0.2">
      <c r="A1652" s="916" t="s">
        <v>5035</v>
      </c>
      <c r="B1652" s="943" t="s">
        <v>3092</v>
      </c>
      <c r="C1652" s="916" t="s">
        <v>5598</v>
      </c>
      <c r="D1652" s="943" t="s">
        <v>5040</v>
      </c>
      <c r="E1652" s="1144">
        <v>1200</v>
      </c>
      <c r="F1652" s="943" t="s">
        <v>6387</v>
      </c>
      <c r="G1652" s="1245" t="s">
        <v>6388</v>
      </c>
      <c r="H1652" s="1245" t="s">
        <v>3187</v>
      </c>
      <c r="I1652" s="1147"/>
      <c r="J1652" s="943"/>
      <c r="K1652" s="944">
        <v>1</v>
      </c>
      <c r="L1652" s="898">
        <v>7</v>
      </c>
      <c r="M1652" s="899">
        <f t="shared" si="62"/>
        <v>8400</v>
      </c>
      <c r="N1652" s="898">
        <v>1</v>
      </c>
      <c r="O1652" s="898">
        <v>12</v>
      </c>
      <c r="P1652" s="899">
        <f t="shared" si="63"/>
        <v>14400</v>
      </c>
    </row>
    <row r="1653" spans="1:16" x14ac:dyDescent="0.2">
      <c r="A1653" s="916" t="s">
        <v>5035</v>
      </c>
      <c r="B1653" s="943" t="s">
        <v>3092</v>
      </c>
      <c r="C1653" s="916" t="s">
        <v>5598</v>
      </c>
      <c r="D1653" s="943" t="s">
        <v>5040</v>
      </c>
      <c r="E1653" s="1144">
        <v>1200</v>
      </c>
      <c r="F1653" s="943" t="s">
        <v>6389</v>
      </c>
      <c r="G1653" s="1245" t="s">
        <v>6390</v>
      </c>
      <c r="H1653" s="1245" t="s">
        <v>5652</v>
      </c>
      <c r="I1653" s="1147"/>
      <c r="J1653" s="943"/>
      <c r="K1653" s="944">
        <v>1</v>
      </c>
      <c r="L1653" s="898">
        <v>7</v>
      </c>
      <c r="M1653" s="899">
        <f t="shared" si="62"/>
        <v>8400</v>
      </c>
      <c r="N1653" s="898">
        <v>1</v>
      </c>
      <c r="O1653" s="898">
        <v>12</v>
      </c>
      <c r="P1653" s="899">
        <f t="shared" si="63"/>
        <v>14400</v>
      </c>
    </row>
    <row r="1654" spans="1:16" ht="24" x14ac:dyDescent="0.2">
      <c r="A1654" s="916" t="s">
        <v>5035</v>
      </c>
      <c r="B1654" s="943" t="s">
        <v>3092</v>
      </c>
      <c r="C1654" s="916" t="s">
        <v>5598</v>
      </c>
      <c r="D1654" s="943" t="s">
        <v>5040</v>
      </c>
      <c r="E1654" s="1144">
        <v>1923</v>
      </c>
      <c r="F1654" s="943" t="s">
        <v>6391</v>
      </c>
      <c r="G1654" s="1245" t="s">
        <v>6392</v>
      </c>
      <c r="H1654" s="1245" t="s">
        <v>5043</v>
      </c>
      <c r="I1654" s="1147"/>
      <c r="J1654" s="943"/>
      <c r="K1654" s="944">
        <v>1</v>
      </c>
      <c r="L1654" s="898">
        <v>7</v>
      </c>
      <c r="M1654" s="899">
        <f t="shared" si="62"/>
        <v>13461</v>
      </c>
      <c r="N1654" s="898">
        <v>1</v>
      </c>
      <c r="O1654" s="898">
        <v>12</v>
      </c>
      <c r="P1654" s="899">
        <f t="shared" si="63"/>
        <v>23076</v>
      </c>
    </row>
    <row r="1655" spans="1:16" x14ac:dyDescent="0.2">
      <c r="A1655" s="916" t="s">
        <v>5035</v>
      </c>
      <c r="B1655" s="943" t="s">
        <v>3092</v>
      </c>
      <c r="C1655" s="916" t="s">
        <v>5598</v>
      </c>
      <c r="D1655" s="943" t="s">
        <v>5040</v>
      </c>
      <c r="E1655" s="1144">
        <v>5500</v>
      </c>
      <c r="F1655" s="943" t="s">
        <v>6393</v>
      </c>
      <c r="G1655" s="1245" t="s">
        <v>6394</v>
      </c>
      <c r="H1655" s="1245" t="s">
        <v>517</v>
      </c>
      <c r="I1655" s="1147"/>
      <c r="J1655" s="943"/>
      <c r="K1655" s="944">
        <v>1</v>
      </c>
      <c r="L1655" s="898">
        <v>7</v>
      </c>
      <c r="M1655" s="899">
        <f t="shared" si="62"/>
        <v>38500</v>
      </c>
      <c r="N1655" s="898">
        <v>1</v>
      </c>
      <c r="O1655" s="898">
        <v>12</v>
      </c>
      <c r="P1655" s="899">
        <f t="shared" si="63"/>
        <v>66000</v>
      </c>
    </row>
    <row r="1656" spans="1:16" ht="24" x14ac:dyDescent="0.2">
      <c r="A1656" s="916" t="s">
        <v>5035</v>
      </c>
      <c r="B1656" s="943" t="s">
        <v>3092</v>
      </c>
      <c r="C1656" s="916" t="s">
        <v>5598</v>
      </c>
      <c r="D1656" s="943" t="s">
        <v>491</v>
      </c>
      <c r="E1656" s="1144">
        <v>1200</v>
      </c>
      <c r="F1656" s="943" t="s">
        <v>6395</v>
      </c>
      <c r="G1656" s="1245" t="s">
        <v>6396</v>
      </c>
      <c r="H1656" s="1245" t="s">
        <v>3112</v>
      </c>
      <c r="I1656" s="1147"/>
      <c r="J1656" s="943"/>
      <c r="K1656" s="944">
        <v>1</v>
      </c>
      <c r="L1656" s="898">
        <v>7</v>
      </c>
      <c r="M1656" s="899">
        <f t="shared" si="62"/>
        <v>8400</v>
      </c>
      <c r="N1656" s="898">
        <v>1</v>
      </c>
      <c r="O1656" s="898">
        <v>12</v>
      </c>
      <c r="P1656" s="899">
        <f t="shared" si="63"/>
        <v>14400</v>
      </c>
    </row>
    <row r="1657" spans="1:16" ht="24" x14ac:dyDescent="0.2">
      <c r="A1657" s="916" t="s">
        <v>5035</v>
      </c>
      <c r="B1657" s="943" t="s">
        <v>3092</v>
      </c>
      <c r="C1657" s="916" t="s">
        <v>5598</v>
      </c>
      <c r="D1657" s="943" t="s">
        <v>5040</v>
      </c>
      <c r="E1657" s="1144">
        <v>3000</v>
      </c>
      <c r="F1657" s="943" t="s">
        <v>6397</v>
      </c>
      <c r="G1657" s="1245" t="s">
        <v>6398</v>
      </c>
      <c r="H1657" s="1245" t="s">
        <v>5043</v>
      </c>
      <c r="I1657" s="1147"/>
      <c r="J1657" s="943"/>
      <c r="K1657" s="944">
        <v>1</v>
      </c>
      <c r="L1657" s="898">
        <v>7</v>
      </c>
      <c r="M1657" s="899">
        <f t="shared" si="62"/>
        <v>21000</v>
      </c>
      <c r="N1657" s="898">
        <v>1</v>
      </c>
      <c r="O1657" s="898">
        <v>12</v>
      </c>
      <c r="P1657" s="899">
        <f t="shared" si="63"/>
        <v>36000</v>
      </c>
    </row>
    <row r="1658" spans="1:16" ht="24" x14ac:dyDescent="0.2">
      <c r="A1658" s="916" t="s">
        <v>5035</v>
      </c>
      <c r="B1658" s="943" t="s">
        <v>3092</v>
      </c>
      <c r="C1658" s="916" t="s">
        <v>5598</v>
      </c>
      <c r="D1658" s="943" t="s">
        <v>5040</v>
      </c>
      <c r="E1658" s="1144">
        <v>3000</v>
      </c>
      <c r="F1658" s="943" t="s">
        <v>6399</v>
      </c>
      <c r="G1658" s="1245" t="s">
        <v>6400</v>
      </c>
      <c r="H1658" s="1245" t="s">
        <v>5043</v>
      </c>
      <c r="I1658" s="1147"/>
      <c r="J1658" s="943"/>
      <c r="K1658" s="944">
        <v>1</v>
      </c>
      <c r="L1658" s="898">
        <v>7</v>
      </c>
      <c r="M1658" s="899">
        <f t="shared" si="62"/>
        <v>21000</v>
      </c>
      <c r="N1658" s="898">
        <v>1</v>
      </c>
      <c r="O1658" s="898">
        <v>12</v>
      </c>
      <c r="P1658" s="899">
        <f t="shared" si="63"/>
        <v>36000</v>
      </c>
    </row>
    <row r="1659" spans="1:16" ht="24" x14ac:dyDescent="0.2">
      <c r="A1659" s="916" t="s">
        <v>5035</v>
      </c>
      <c r="B1659" s="943" t="s">
        <v>3092</v>
      </c>
      <c r="C1659" s="916" t="s">
        <v>5598</v>
      </c>
      <c r="D1659" s="943" t="s">
        <v>5040</v>
      </c>
      <c r="E1659" s="1144">
        <v>1923</v>
      </c>
      <c r="F1659" s="943" t="s">
        <v>6401</v>
      </c>
      <c r="G1659" s="1245" t="s">
        <v>6402</v>
      </c>
      <c r="H1659" s="1245" t="s">
        <v>5043</v>
      </c>
      <c r="I1659" s="1147"/>
      <c r="J1659" s="943"/>
      <c r="K1659" s="944">
        <v>1</v>
      </c>
      <c r="L1659" s="898">
        <v>7</v>
      </c>
      <c r="M1659" s="899">
        <f t="shared" si="62"/>
        <v>13461</v>
      </c>
      <c r="N1659" s="898">
        <v>1</v>
      </c>
      <c r="O1659" s="898">
        <v>12</v>
      </c>
      <c r="P1659" s="899">
        <f t="shared" si="63"/>
        <v>23076</v>
      </c>
    </row>
    <row r="1660" spans="1:16" x14ac:dyDescent="0.2">
      <c r="A1660" s="916" t="s">
        <v>5035</v>
      </c>
      <c r="B1660" s="943" t="s">
        <v>3092</v>
      </c>
      <c r="C1660" s="916" t="s">
        <v>5598</v>
      </c>
      <c r="D1660" s="943" t="s">
        <v>5040</v>
      </c>
      <c r="E1660" s="1144">
        <v>1200</v>
      </c>
      <c r="F1660" s="943" t="s">
        <v>6403</v>
      </c>
      <c r="G1660" s="1245" t="s">
        <v>6404</v>
      </c>
      <c r="H1660" s="1245" t="s">
        <v>3187</v>
      </c>
      <c r="I1660" s="1147"/>
      <c r="J1660" s="943"/>
      <c r="K1660" s="944">
        <v>1</v>
      </c>
      <c r="L1660" s="898">
        <v>7</v>
      </c>
      <c r="M1660" s="899">
        <f t="shared" si="62"/>
        <v>8400</v>
      </c>
      <c r="N1660" s="898">
        <v>1</v>
      </c>
      <c r="O1660" s="898">
        <v>12</v>
      </c>
      <c r="P1660" s="899">
        <f t="shared" si="63"/>
        <v>14400</v>
      </c>
    </row>
    <row r="1661" spans="1:16" x14ac:dyDescent="0.2">
      <c r="A1661" s="916" t="s">
        <v>5035</v>
      </c>
      <c r="B1661" s="943" t="s">
        <v>3092</v>
      </c>
      <c r="C1661" s="916" t="s">
        <v>5598</v>
      </c>
      <c r="D1661" s="943" t="s">
        <v>5040</v>
      </c>
      <c r="E1661" s="1144">
        <v>2931</v>
      </c>
      <c r="F1661" s="943" t="s">
        <v>6405</v>
      </c>
      <c r="G1661" s="1245" t="s">
        <v>6406</v>
      </c>
      <c r="H1661" s="1245" t="s">
        <v>5106</v>
      </c>
      <c r="I1661" s="1147"/>
      <c r="J1661" s="943"/>
      <c r="K1661" s="944">
        <v>1</v>
      </c>
      <c r="L1661" s="898">
        <v>7</v>
      </c>
      <c r="M1661" s="899">
        <f t="shared" si="62"/>
        <v>20517</v>
      </c>
      <c r="N1661" s="898">
        <v>1</v>
      </c>
      <c r="O1661" s="898">
        <v>12</v>
      </c>
      <c r="P1661" s="899">
        <f t="shared" si="63"/>
        <v>35172</v>
      </c>
    </row>
    <row r="1662" spans="1:16" x14ac:dyDescent="0.2">
      <c r="A1662" s="916" t="s">
        <v>5035</v>
      </c>
      <c r="B1662" s="943" t="s">
        <v>3092</v>
      </c>
      <c r="C1662" s="916" t="s">
        <v>5598</v>
      </c>
      <c r="D1662" s="943" t="s">
        <v>491</v>
      </c>
      <c r="E1662" s="1144">
        <v>2200</v>
      </c>
      <c r="F1662" s="943" t="s">
        <v>6407</v>
      </c>
      <c r="G1662" s="1245" t="s">
        <v>6408</v>
      </c>
      <c r="H1662" s="1245" t="s">
        <v>3129</v>
      </c>
      <c r="I1662" s="1147"/>
      <c r="J1662" s="943"/>
      <c r="K1662" s="944">
        <v>1</v>
      </c>
      <c r="L1662" s="898">
        <v>7</v>
      </c>
      <c r="M1662" s="899">
        <f t="shared" si="62"/>
        <v>15400</v>
      </c>
      <c r="N1662" s="898">
        <v>1</v>
      </c>
      <c r="O1662" s="898">
        <v>12</v>
      </c>
      <c r="P1662" s="899">
        <f t="shared" si="63"/>
        <v>26400</v>
      </c>
    </row>
    <row r="1663" spans="1:16" x14ac:dyDescent="0.2">
      <c r="A1663" s="916" t="s">
        <v>5035</v>
      </c>
      <c r="B1663" s="943" t="s">
        <v>3092</v>
      </c>
      <c r="C1663" s="916" t="s">
        <v>5598</v>
      </c>
      <c r="D1663" s="943" t="s">
        <v>5040</v>
      </c>
      <c r="E1663" s="1144">
        <v>2931</v>
      </c>
      <c r="F1663" s="943" t="s">
        <v>6409</v>
      </c>
      <c r="G1663" s="1245" t="s">
        <v>6410</v>
      </c>
      <c r="H1663" s="1245" t="s">
        <v>471</v>
      </c>
      <c r="I1663" s="1147"/>
      <c r="J1663" s="943"/>
      <c r="K1663" s="944">
        <v>1</v>
      </c>
      <c r="L1663" s="898">
        <v>7</v>
      </c>
      <c r="M1663" s="899">
        <f t="shared" si="62"/>
        <v>20517</v>
      </c>
      <c r="N1663" s="898">
        <v>1</v>
      </c>
      <c r="O1663" s="898">
        <v>12</v>
      </c>
      <c r="P1663" s="899">
        <f t="shared" si="63"/>
        <v>35172</v>
      </c>
    </row>
    <row r="1664" spans="1:16" x14ac:dyDescent="0.2">
      <c r="A1664" s="916" t="s">
        <v>5035</v>
      </c>
      <c r="B1664" s="943" t="s">
        <v>3092</v>
      </c>
      <c r="C1664" s="916" t="s">
        <v>5598</v>
      </c>
      <c r="D1664" s="943" t="s">
        <v>491</v>
      </c>
      <c r="E1664" s="1144">
        <v>1481</v>
      </c>
      <c r="F1664" s="943" t="s">
        <v>6411</v>
      </c>
      <c r="G1664" s="1245" t="s">
        <v>6412</v>
      </c>
      <c r="H1664" s="1245" t="s">
        <v>3284</v>
      </c>
      <c r="I1664" s="1147"/>
      <c r="J1664" s="943"/>
      <c r="K1664" s="944">
        <v>1</v>
      </c>
      <c r="L1664" s="898">
        <v>7</v>
      </c>
      <c r="M1664" s="899">
        <f t="shared" si="62"/>
        <v>10367</v>
      </c>
      <c r="N1664" s="898">
        <v>1</v>
      </c>
      <c r="O1664" s="898">
        <v>12</v>
      </c>
      <c r="P1664" s="899">
        <f t="shared" si="63"/>
        <v>17772</v>
      </c>
    </row>
    <row r="1665" spans="1:16" ht="24" x14ac:dyDescent="0.2">
      <c r="A1665" s="916" t="s">
        <v>5035</v>
      </c>
      <c r="B1665" s="943" t="s">
        <v>3092</v>
      </c>
      <c r="C1665" s="916" t="s">
        <v>5598</v>
      </c>
      <c r="D1665" s="943" t="s">
        <v>5040</v>
      </c>
      <c r="E1665" s="1144">
        <v>1923</v>
      </c>
      <c r="F1665" s="943" t="s">
        <v>6413</v>
      </c>
      <c r="G1665" s="1245" t="s">
        <v>6414</v>
      </c>
      <c r="H1665" s="1245" t="s">
        <v>580</v>
      </c>
      <c r="I1665" s="1147"/>
      <c r="J1665" s="943"/>
      <c r="K1665" s="944">
        <v>1</v>
      </c>
      <c r="L1665" s="898">
        <v>7</v>
      </c>
      <c r="M1665" s="899">
        <f t="shared" si="62"/>
        <v>13461</v>
      </c>
      <c r="N1665" s="898">
        <v>1</v>
      </c>
      <c r="O1665" s="898">
        <v>12</v>
      </c>
      <c r="P1665" s="899">
        <f t="shared" si="63"/>
        <v>23076</v>
      </c>
    </row>
    <row r="1666" spans="1:16" x14ac:dyDescent="0.2">
      <c r="A1666" s="916" t="s">
        <v>5035</v>
      </c>
      <c r="B1666" s="943" t="s">
        <v>3092</v>
      </c>
      <c r="C1666" s="916" t="s">
        <v>5598</v>
      </c>
      <c r="D1666" s="943" t="s">
        <v>5040</v>
      </c>
      <c r="E1666" s="1144">
        <v>2931</v>
      </c>
      <c r="F1666" s="943" t="s">
        <v>6415</v>
      </c>
      <c r="G1666" s="1245" t="s">
        <v>6416</v>
      </c>
      <c r="H1666" s="1245" t="s">
        <v>5106</v>
      </c>
      <c r="I1666" s="1147"/>
      <c r="J1666" s="943"/>
      <c r="K1666" s="944">
        <v>1</v>
      </c>
      <c r="L1666" s="898">
        <v>7</v>
      </c>
      <c r="M1666" s="899">
        <f t="shared" si="62"/>
        <v>20517</v>
      </c>
      <c r="N1666" s="898">
        <v>1</v>
      </c>
      <c r="O1666" s="898">
        <v>12</v>
      </c>
      <c r="P1666" s="899">
        <f t="shared" si="63"/>
        <v>35172</v>
      </c>
    </row>
    <row r="1667" spans="1:16" ht="24" x14ac:dyDescent="0.2">
      <c r="A1667" s="916" t="s">
        <v>5035</v>
      </c>
      <c r="B1667" s="943" t="s">
        <v>3092</v>
      </c>
      <c r="C1667" s="916" t="s">
        <v>5598</v>
      </c>
      <c r="D1667" s="943" t="s">
        <v>491</v>
      </c>
      <c r="E1667" s="1144">
        <v>1500</v>
      </c>
      <c r="F1667" s="943" t="s">
        <v>6417</v>
      </c>
      <c r="G1667" s="1245" t="s">
        <v>6418</v>
      </c>
      <c r="H1667" s="1245" t="s">
        <v>3115</v>
      </c>
      <c r="I1667" s="1147"/>
      <c r="J1667" s="943"/>
      <c r="K1667" s="944">
        <v>1</v>
      </c>
      <c r="L1667" s="898">
        <v>7</v>
      </c>
      <c r="M1667" s="899">
        <f t="shared" si="62"/>
        <v>10500</v>
      </c>
      <c r="N1667" s="898">
        <v>1</v>
      </c>
      <c r="O1667" s="898">
        <v>12</v>
      </c>
      <c r="P1667" s="899">
        <f t="shared" si="63"/>
        <v>18000</v>
      </c>
    </row>
    <row r="1668" spans="1:16" ht="24" x14ac:dyDescent="0.2">
      <c r="A1668" s="916" t="s">
        <v>5035</v>
      </c>
      <c r="B1668" s="943" t="s">
        <v>3092</v>
      </c>
      <c r="C1668" s="916" t="s">
        <v>5598</v>
      </c>
      <c r="D1668" s="943" t="s">
        <v>5040</v>
      </c>
      <c r="E1668" s="1144">
        <v>2804</v>
      </c>
      <c r="F1668" s="943" t="s">
        <v>6419</v>
      </c>
      <c r="G1668" s="1245" t="s">
        <v>6420</v>
      </c>
      <c r="H1668" s="1245" t="s">
        <v>566</v>
      </c>
      <c r="I1668" s="1147"/>
      <c r="J1668" s="943"/>
      <c r="K1668" s="944">
        <v>1</v>
      </c>
      <c r="L1668" s="898">
        <v>7</v>
      </c>
      <c r="M1668" s="899">
        <f t="shared" si="62"/>
        <v>19628</v>
      </c>
      <c r="N1668" s="898">
        <v>1</v>
      </c>
      <c r="O1668" s="898">
        <v>12</v>
      </c>
      <c r="P1668" s="899">
        <f t="shared" si="63"/>
        <v>33648</v>
      </c>
    </row>
    <row r="1669" spans="1:16" x14ac:dyDescent="0.2">
      <c r="A1669" s="916" t="s">
        <v>5035</v>
      </c>
      <c r="B1669" s="943" t="s">
        <v>3092</v>
      </c>
      <c r="C1669" s="916" t="s">
        <v>5598</v>
      </c>
      <c r="D1669" s="943" t="s">
        <v>5040</v>
      </c>
      <c r="E1669" s="1144">
        <v>5206.6000000000004</v>
      </c>
      <c r="F1669" s="943" t="s">
        <v>6421</v>
      </c>
      <c r="G1669" s="1245" t="s">
        <v>6422</v>
      </c>
      <c r="H1669" s="1245" t="s">
        <v>5077</v>
      </c>
      <c r="I1669" s="1147"/>
      <c r="J1669" s="943"/>
      <c r="K1669" s="944">
        <v>1</v>
      </c>
      <c r="L1669" s="898">
        <v>7</v>
      </c>
      <c r="M1669" s="899">
        <f t="shared" si="62"/>
        <v>36446.200000000004</v>
      </c>
      <c r="N1669" s="898">
        <v>1</v>
      </c>
      <c r="O1669" s="898">
        <v>12</v>
      </c>
      <c r="P1669" s="899">
        <f t="shared" si="63"/>
        <v>62479.200000000004</v>
      </c>
    </row>
    <row r="1670" spans="1:16" x14ac:dyDescent="0.2">
      <c r="A1670" s="916" t="s">
        <v>5035</v>
      </c>
      <c r="B1670" s="943" t="s">
        <v>3092</v>
      </c>
      <c r="C1670" s="916" t="s">
        <v>5598</v>
      </c>
      <c r="D1670" s="943" t="s">
        <v>5040</v>
      </c>
      <c r="E1670" s="1144">
        <v>2931</v>
      </c>
      <c r="F1670" s="943" t="s">
        <v>6423</v>
      </c>
      <c r="G1670" s="1245" t="s">
        <v>6424</v>
      </c>
      <c r="H1670" s="1245" t="s">
        <v>517</v>
      </c>
      <c r="I1670" s="1147"/>
      <c r="J1670" s="943"/>
      <c r="K1670" s="944">
        <v>1</v>
      </c>
      <c r="L1670" s="898">
        <v>7</v>
      </c>
      <c r="M1670" s="899">
        <f t="shared" si="62"/>
        <v>20517</v>
      </c>
      <c r="N1670" s="898">
        <v>1</v>
      </c>
      <c r="O1670" s="898">
        <v>12</v>
      </c>
      <c r="P1670" s="899">
        <f t="shared" si="63"/>
        <v>35172</v>
      </c>
    </row>
    <row r="1671" spans="1:16" ht="24" x14ac:dyDescent="0.2">
      <c r="A1671" s="916" t="s">
        <v>5035</v>
      </c>
      <c r="B1671" s="943" t="s">
        <v>3092</v>
      </c>
      <c r="C1671" s="916" t="s">
        <v>5598</v>
      </c>
      <c r="D1671" s="943" t="s">
        <v>491</v>
      </c>
      <c r="E1671" s="1144">
        <v>1500</v>
      </c>
      <c r="F1671" s="943" t="s">
        <v>6425</v>
      </c>
      <c r="G1671" s="1245" t="s">
        <v>6426</v>
      </c>
      <c r="H1671" s="1245" t="s">
        <v>3112</v>
      </c>
      <c r="I1671" s="1147"/>
      <c r="J1671" s="943"/>
      <c r="K1671" s="944">
        <v>1</v>
      </c>
      <c r="L1671" s="898">
        <v>7</v>
      </c>
      <c r="M1671" s="899">
        <f t="shared" si="62"/>
        <v>10500</v>
      </c>
      <c r="N1671" s="898">
        <v>1</v>
      </c>
      <c r="O1671" s="898">
        <v>12</v>
      </c>
      <c r="P1671" s="899">
        <f t="shared" si="63"/>
        <v>18000</v>
      </c>
    </row>
    <row r="1672" spans="1:16" ht="24" x14ac:dyDescent="0.2">
      <c r="A1672" s="916" t="s">
        <v>5035</v>
      </c>
      <c r="B1672" s="943" t="s">
        <v>3092</v>
      </c>
      <c r="C1672" s="916" t="s">
        <v>5598</v>
      </c>
      <c r="D1672" s="943" t="s">
        <v>5040</v>
      </c>
      <c r="E1672" s="1144">
        <v>1400</v>
      </c>
      <c r="F1672" s="943" t="s">
        <v>6427</v>
      </c>
      <c r="G1672" s="1245" t="s">
        <v>6428</v>
      </c>
      <c r="H1672" s="1245" t="s">
        <v>5084</v>
      </c>
      <c r="I1672" s="1147"/>
      <c r="J1672" s="943"/>
      <c r="K1672" s="944">
        <v>1</v>
      </c>
      <c r="L1672" s="898">
        <v>7</v>
      </c>
      <c r="M1672" s="899">
        <f t="shared" si="62"/>
        <v>9800</v>
      </c>
      <c r="N1672" s="898">
        <v>1</v>
      </c>
      <c r="O1672" s="898">
        <v>12</v>
      </c>
      <c r="P1672" s="899">
        <f t="shared" si="63"/>
        <v>16800</v>
      </c>
    </row>
    <row r="1673" spans="1:16" ht="24" x14ac:dyDescent="0.2">
      <c r="A1673" s="916" t="s">
        <v>5035</v>
      </c>
      <c r="B1673" s="943" t="s">
        <v>3092</v>
      </c>
      <c r="C1673" s="916" t="s">
        <v>5598</v>
      </c>
      <c r="D1673" s="943" t="s">
        <v>5040</v>
      </c>
      <c r="E1673" s="1144">
        <v>1923</v>
      </c>
      <c r="F1673" s="943" t="s">
        <v>6429</v>
      </c>
      <c r="G1673" s="1245" t="s">
        <v>6430</v>
      </c>
      <c r="H1673" s="1245" t="s">
        <v>5043</v>
      </c>
      <c r="I1673" s="1147"/>
      <c r="J1673" s="943"/>
      <c r="K1673" s="944">
        <v>1</v>
      </c>
      <c r="L1673" s="898">
        <v>7</v>
      </c>
      <c r="M1673" s="899">
        <f t="shared" si="62"/>
        <v>13461</v>
      </c>
      <c r="N1673" s="898">
        <v>1</v>
      </c>
      <c r="O1673" s="898">
        <v>12</v>
      </c>
      <c r="P1673" s="899">
        <f t="shared" si="63"/>
        <v>23076</v>
      </c>
    </row>
    <row r="1674" spans="1:16" ht="24" x14ac:dyDescent="0.2">
      <c r="A1674" s="916" t="s">
        <v>5035</v>
      </c>
      <c r="B1674" s="943" t="s">
        <v>3092</v>
      </c>
      <c r="C1674" s="916" t="s">
        <v>5598</v>
      </c>
      <c r="D1674" s="943" t="s">
        <v>491</v>
      </c>
      <c r="E1674" s="1144">
        <v>3000</v>
      </c>
      <c r="F1674" s="943" t="s">
        <v>6431</v>
      </c>
      <c r="G1674" s="1245" t="s">
        <v>6432</v>
      </c>
      <c r="H1674" s="1245" t="s">
        <v>3212</v>
      </c>
      <c r="I1674" s="1147"/>
      <c r="J1674" s="943"/>
      <c r="K1674" s="944">
        <v>1</v>
      </c>
      <c r="L1674" s="898">
        <v>7</v>
      </c>
      <c r="M1674" s="899">
        <f t="shared" si="62"/>
        <v>21000</v>
      </c>
      <c r="N1674" s="898">
        <v>1</v>
      </c>
      <c r="O1674" s="898">
        <v>12</v>
      </c>
      <c r="P1674" s="899">
        <f t="shared" si="63"/>
        <v>36000</v>
      </c>
    </row>
    <row r="1675" spans="1:16" ht="24" x14ac:dyDescent="0.2">
      <c r="A1675" s="916" t="s">
        <v>5035</v>
      </c>
      <c r="B1675" s="943" t="s">
        <v>3092</v>
      </c>
      <c r="C1675" s="916" t="s">
        <v>5598</v>
      </c>
      <c r="D1675" s="943" t="s">
        <v>5040</v>
      </c>
      <c r="E1675" s="1144">
        <v>1400</v>
      </c>
      <c r="F1675" s="943" t="s">
        <v>6433</v>
      </c>
      <c r="G1675" s="1245" t="s">
        <v>6434</v>
      </c>
      <c r="H1675" s="1245" t="s">
        <v>5133</v>
      </c>
      <c r="I1675" s="1147"/>
      <c r="J1675" s="943"/>
      <c r="K1675" s="944">
        <v>1</v>
      </c>
      <c r="L1675" s="898">
        <v>7</v>
      </c>
      <c r="M1675" s="899">
        <f t="shared" si="62"/>
        <v>9800</v>
      </c>
      <c r="N1675" s="898">
        <v>1</v>
      </c>
      <c r="O1675" s="898">
        <v>12</v>
      </c>
      <c r="P1675" s="899">
        <f t="shared" si="63"/>
        <v>16800</v>
      </c>
    </row>
    <row r="1676" spans="1:16" ht="24" x14ac:dyDescent="0.2">
      <c r="A1676" s="916" t="s">
        <v>5035</v>
      </c>
      <c r="B1676" s="943" t="s">
        <v>3092</v>
      </c>
      <c r="C1676" s="916" t="s">
        <v>5598</v>
      </c>
      <c r="D1676" s="943" t="s">
        <v>5040</v>
      </c>
      <c r="E1676" s="1144">
        <v>3000</v>
      </c>
      <c r="F1676" s="943" t="s">
        <v>6435</v>
      </c>
      <c r="G1676" s="1245" t="s">
        <v>6436</v>
      </c>
      <c r="H1676" s="1245" t="s">
        <v>5043</v>
      </c>
      <c r="I1676" s="1147"/>
      <c r="J1676" s="943"/>
      <c r="K1676" s="944">
        <v>1</v>
      </c>
      <c r="L1676" s="898">
        <v>7</v>
      </c>
      <c r="M1676" s="899">
        <f t="shared" si="62"/>
        <v>21000</v>
      </c>
      <c r="N1676" s="898">
        <v>1</v>
      </c>
      <c r="O1676" s="898">
        <v>12</v>
      </c>
      <c r="P1676" s="899">
        <f t="shared" si="63"/>
        <v>36000</v>
      </c>
    </row>
    <row r="1677" spans="1:16" x14ac:dyDescent="0.2">
      <c r="A1677" s="916" t="s">
        <v>5035</v>
      </c>
      <c r="B1677" s="943" t="s">
        <v>3092</v>
      </c>
      <c r="C1677" s="916" t="s">
        <v>5598</v>
      </c>
      <c r="D1677" s="943" t="s">
        <v>5040</v>
      </c>
      <c r="E1677" s="1144">
        <v>1200</v>
      </c>
      <c r="F1677" s="943" t="s">
        <v>6437</v>
      </c>
      <c r="G1677" s="1245" t="s">
        <v>6438</v>
      </c>
      <c r="H1677" s="1245" t="s">
        <v>3187</v>
      </c>
      <c r="I1677" s="1147"/>
      <c r="J1677" s="943"/>
      <c r="K1677" s="944">
        <v>1</v>
      </c>
      <c r="L1677" s="898">
        <v>7</v>
      </c>
      <c r="M1677" s="899">
        <f t="shared" si="62"/>
        <v>8400</v>
      </c>
      <c r="N1677" s="898">
        <v>1</v>
      </c>
      <c r="O1677" s="898">
        <v>12</v>
      </c>
      <c r="P1677" s="899">
        <f t="shared" si="63"/>
        <v>14400</v>
      </c>
    </row>
    <row r="1678" spans="1:16" ht="24" x14ac:dyDescent="0.2">
      <c r="A1678" s="916" t="s">
        <v>5035</v>
      </c>
      <c r="B1678" s="943" t="s">
        <v>3092</v>
      </c>
      <c r="C1678" s="916" t="s">
        <v>5598</v>
      </c>
      <c r="D1678" s="943" t="s">
        <v>5040</v>
      </c>
      <c r="E1678" s="1144">
        <v>1923</v>
      </c>
      <c r="F1678" s="943" t="s">
        <v>6439</v>
      </c>
      <c r="G1678" s="1245" t="s">
        <v>6440</v>
      </c>
      <c r="H1678" s="1245" t="s">
        <v>580</v>
      </c>
      <c r="I1678" s="1147"/>
      <c r="J1678" s="943"/>
      <c r="K1678" s="944">
        <v>1</v>
      </c>
      <c r="L1678" s="898">
        <v>7</v>
      </c>
      <c r="M1678" s="899">
        <f t="shared" si="62"/>
        <v>13461</v>
      </c>
      <c r="N1678" s="898">
        <v>1</v>
      </c>
      <c r="O1678" s="898">
        <v>12</v>
      </c>
      <c r="P1678" s="899">
        <f t="shared" si="63"/>
        <v>23076</v>
      </c>
    </row>
    <row r="1679" spans="1:16" ht="24" x14ac:dyDescent="0.2">
      <c r="A1679" s="916" t="s">
        <v>5035</v>
      </c>
      <c r="B1679" s="943" t="s">
        <v>3092</v>
      </c>
      <c r="C1679" s="916" t="s">
        <v>5598</v>
      </c>
      <c r="D1679" s="943" t="s">
        <v>5040</v>
      </c>
      <c r="E1679" s="1144">
        <v>1932</v>
      </c>
      <c r="F1679" s="943" t="s">
        <v>6441</v>
      </c>
      <c r="G1679" s="1245" t="s">
        <v>6442</v>
      </c>
      <c r="H1679" s="1245" t="s">
        <v>5043</v>
      </c>
      <c r="I1679" s="1147"/>
      <c r="J1679" s="943"/>
      <c r="K1679" s="944">
        <v>1</v>
      </c>
      <c r="L1679" s="898">
        <v>7</v>
      </c>
      <c r="M1679" s="899">
        <f t="shared" si="62"/>
        <v>13524</v>
      </c>
      <c r="N1679" s="898">
        <v>1</v>
      </c>
      <c r="O1679" s="898">
        <v>12</v>
      </c>
      <c r="P1679" s="899">
        <f t="shared" si="63"/>
        <v>23184</v>
      </c>
    </row>
    <row r="1680" spans="1:16" x14ac:dyDescent="0.2">
      <c r="A1680" s="916" t="s">
        <v>5035</v>
      </c>
      <c r="B1680" s="943" t="s">
        <v>3092</v>
      </c>
      <c r="C1680" s="916" t="s">
        <v>5598</v>
      </c>
      <c r="D1680" s="943" t="s">
        <v>5040</v>
      </c>
      <c r="E1680" s="1144">
        <v>1200</v>
      </c>
      <c r="F1680" s="943" t="s">
        <v>6443</v>
      </c>
      <c r="G1680" s="1245" t="s">
        <v>6444</v>
      </c>
      <c r="H1680" s="1245" t="s">
        <v>3187</v>
      </c>
      <c r="I1680" s="1147"/>
      <c r="J1680" s="943"/>
      <c r="K1680" s="944">
        <v>1</v>
      </c>
      <c r="L1680" s="898">
        <v>7</v>
      </c>
      <c r="M1680" s="899">
        <f t="shared" si="62"/>
        <v>8400</v>
      </c>
      <c r="N1680" s="898">
        <v>1</v>
      </c>
      <c r="O1680" s="898">
        <v>12</v>
      </c>
      <c r="P1680" s="899">
        <f t="shared" si="63"/>
        <v>14400</v>
      </c>
    </row>
    <row r="1681" spans="1:16" ht="24" x14ac:dyDescent="0.2">
      <c r="A1681" s="916" t="s">
        <v>5035</v>
      </c>
      <c r="B1681" s="943" t="s">
        <v>3092</v>
      </c>
      <c r="C1681" s="916" t="s">
        <v>5598</v>
      </c>
      <c r="D1681" s="943" t="s">
        <v>5040</v>
      </c>
      <c r="E1681" s="1144">
        <v>1923</v>
      </c>
      <c r="F1681" s="943" t="s">
        <v>6445</v>
      </c>
      <c r="G1681" s="1245" t="s">
        <v>6446</v>
      </c>
      <c r="H1681" s="1245" t="s">
        <v>5043</v>
      </c>
      <c r="I1681" s="1147"/>
      <c r="J1681" s="943"/>
      <c r="K1681" s="944">
        <v>1</v>
      </c>
      <c r="L1681" s="898">
        <v>7</v>
      </c>
      <c r="M1681" s="899">
        <f t="shared" si="62"/>
        <v>13461</v>
      </c>
      <c r="N1681" s="898">
        <v>1</v>
      </c>
      <c r="O1681" s="898">
        <v>12</v>
      </c>
      <c r="P1681" s="899">
        <f t="shared" si="63"/>
        <v>23076</v>
      </c>
    </row>
    <row r="1682" spans="1:16" x14ac:dyDescent="0.2">
      <c r="A1682" s="916" t="s">
        <v>5035</v>
      </c>
      <c r="B1682" s="943" t="s">
        <v>3092</v>
      </c>
      <c r="C1682" s="916" t="s">
        <v>5598</v>
      </c>
      <c r="D1682" s="943" t="s">
        <v>5040</v>
      </c>
      <c r="E1682" s="1144">
        <v>3000</v>
      </c>
      <c r="F1682" s="943" t="s">
        <v>6447</v>
      </c>
      <c r="G1682" s="1245" t="s">
        <v>6448</v>
      </c>
      <c r="H1682" s="1245" t="s">
        <v>5106</v>
      </c>
      <c r="I1682" s="1147"/>
      <c r="J1682" s="943"/>
      <c r="K1682" s="944">
        <v>1</v>
      </c>
      <c r="L1682" s="898">
        <v>7</v>
      </c>
      <c r="M1682" s="899">
        <f t="shared" si="62"/>
        <v>21000</v>
      </c>
      <c r="N1682" s="898">
        <v>1</v>
      </c>
      <c r="O1682" s="898">
        <v>12</v>
      </c>
      <c r="P1682" s="899">
        <f t="shared" si="63"/>
        <v>36000</v>
      </c>
    </row>
    <row r="1683" spans="1:16" x14ac:dyDescent="0.2">
      <c r="A1683" s="916" t="s">
        <v>5035</v>
      </c>
      <c r="B1683" s="943" t="s">
        <v>3092</v>
      </c>
      <c r="C1683" s="916" t="s">
        <v>5598</v>
      </c>
      <c r="D1683" s="943" t="s">
        <v>5040</v>
      </c>
      <c r="E1683" s="1144">
        <v>1170</v>
      </c>
      <c r="F1683" s="943" t="s">
        <v>6449</v>
      </c>
      <c r="G1683" s="1245" t="s">
        <v>6450</v>
      </c>
      <c r="H1683" s="1245" t="s">
        <v>5652</v>
      </c>
      <c r="I1683" s="1147"/>
      <c r="J1683" s="943"/>
      <c r="K1683" s="944">
        <v>1</v>
      </c>
      <c r="L1683" s="898">
        <v>7</v>
      </c>
      <c r="M1683" s="899">
        <f t="shared" si="62"/>
        <v>8190</v>
      </c>
      <c r="N1683" s="898">
        <v>1</v>
      </c>
      <c r="O1683" s="898">
        <v>12</v>
      </c>
      <c r="P1683" s="899">
        <f t="shared" si="63"/>
        <v>14040</v>
      </c>
    </row>
    <row r="1684" spans="1:16" x14ac:dyDescent="0.2">
      <c r="A1684" s="916" t="s">
        <v>5035</v>
      </c>
      <c r="B1684" s="943" t="s">
        <v>3092</v>
      </c>
      <c r="C1684" s="916" t="s">
        <v>5598</v>
      </c>
      <c r="D1684" s="943" t="s">
        <v>5040</v>
      </c>
      <c r="E1684" s="1144">
        <v>1200</v>
      </c>
      <c r="F1684" s="943" t="s">
        <v>6451</v>
      </c>
      <c r="G1684" s="1245" t="s">
        <v>6452</v>
      </c>
      <c r="H1684" s="1245" t="s">
        <v>3187</v>
      </c>
      <c r="I1684" s="1147"/>
      <c r="J1684" s="943"/>
      <c r="K1684" s="944">
        <v>1</v>
      </c>
      <c r="L1684" s="898">
        <v>7</v>
      </c>
      <c r="M1684" s="899">
        <f t="shared" si="62"/>
        <v>8400</v>
      </c>
      <c r="N1684" s="898">
        <v>1</v>
      </c>
      <c r="O1684" s="898">
        <v>12</v>
      </c>
      <c r="P1684" s="899">
        <f t="shared" si="63"/>
        <v>14400</v>
      </c>
    </row>
    <row r="1685" spans="1:16" ht="24" x14ac:dyDescent="0.2">
      <c r="A1685" s="916" t="s">
        <v>5035</v>
      </c>
      <c r="B1685" s="943" t="s">
        <v>3092</v>
      </c>
      <c r="C1685" s="916" t="s">
        <v>5598</v>
      </c>
      <c r="D1685" s="943" t="s">
        <v>491</v>
      </c>
      <c r="E1685" s="1144">
        <v>1155</v>
      </c>
      <c r="F1685" s="943" t="s">
        <v>6453</v>
      </c>
      <c r="G1685" s="1245" t="s">
        <v>6454</v>
      </c>
      <c r="H1685" s="1245" t="s">
        <v>3112</v>
      </c>
      <c r="I1685" s="1147"/>
      <c r="J1685" s="943"/>
      <c r="K1685" s="944">
        <v>1</v>
      </c>
      <c r="L1685" s="898">
        <v>7</v>
      </c>
      <c r="M1685" s="899">
        <f t="shared" si="62"/>
        <v>8085</v>
      </c>
      <c r="N1685" s="898">
        <v>1</v>
      </c>
      <c r="O1685" s="898">
        <v>12</v>
      </c>
      <c r="P1685" s="899">
        <f t="shared" si="63"/>
        <v>13860</v>
      </c>
    </row>
    <row r="1686" spans="1:16" ht="24" x14ac:dyDescent="0.2">
      <c r="A1686" s="916" t="s">
        <v>5035</v>
      </c>
      <c r="B1686" s="943" t="s">
        <v>3092</v>
      </c>
      <c r="C1686" s="916" t="s">
        <v>5598</v>
      </c>
      <c r="D1686" s="943" t="s">
        <v>5040</v>
      </c>
      <c r="E1686" s="1144">
        <v>1923</v>
      </c>
      <c r="F1686" s="943" t="s">
        <v>6455</v>
      </c>
      <c r="G1686" s="1245" t="s">
        <v>6456</v>
      </c>
      <c r="H1686" s="1245" t="s">
        <v>5043</v>
      </c>
      <c r="I1686" s="1147"/>
      <c r="J1686" s="943"/>
      <c r="K1686" s="944">
        <v>1</v>
      </c>
      <c r="L1686" s="898">
        <v>7</v>
      </c>
      <c r="M1686" s="899">
        <f t="shared" si="62"/>
        <v>13461</v>
      </c>
      <c r="N1686" s="898">
        <v>1</v>
      </c>
      <c r="O1686" s="898">
        <v>12</v>
      </c>
      <c r="P1686" s="899">
        <f t="shared" si="63"/>
        <v>23076</v>
      </c>
    </row>
    <row r="1687" spans="1:16" ht="24" x14ac:dyDescent="0.2">
      <c r="A1687" s="916" t="s">
        <v>5035</v>
      </c>
      <c r="B1687" s="943" t="s">
        <v>3092</v>
      </c>
      <c r="C1687" s="916" t="s">
        <v>5598</v>
      </c>
      <c r="D1687" s="943" t="s">
        <v>5040</v>
      </c>
      <c r="E1687" s="1144">
        <v>3000</v>
      </c>
      <c r="F1687" s="943" t="s">
        <v>6457</v>
      </c>
      <c r="G1687" s="1245" t="s">
        <v>6458</v>
      </c>
      <c r="H1687" s="1245" t="s">
        <v>580</v>
      </c>
      <c r="I1687" s="1147"/>
      <c r="J1687" s="943"/>
      <c r="K1687" s="944">
        <v>1</v>
      </c>
      <c r="L1687" s="898">
        <v>7</v>
      </c>
      <c r="M1687" s="899">
        <f t="shared" si="62"/>
        <v>21000</v>
      </c>
      <c r="N1687" s="898">
        <v>1</v>
      </c>
      <c r="O1687" s="898">
        <v>12</v>
      </c>
      <c r="P1687" s="899">
        <f t="shared" si="63"/>
        <v>36000</v>
      </c>
    </row>
    <row r="1688" spans="1:16" ht="24" x14ac:dyDescent="0.2">
      <c r="A1688" s="916" t="s">
        <v>5035</v>
      </c>
      <c r="B1688" s="943" t="s">
        <v>3092</v>
      </c>
      <c r="C1688" s="916" t="s">
        <v>5598</v>
      </c>
      <c r="D1688" s="943" t="s">
        <v>5040</v>
      </c>
      <c r="E1688" s="1144">
        <v>1932</v>
      </c>
      <c r="F1688" s="943" t="s">
        <v>6459</v>
      </c>
      <c r="G1688" s="1245" t="s">
        <v>6460</v>
      </c>
      <c r="H1688" s="1245" t="s">
        <v>5043</v>
      </c>
      <c r="I1688" s="1147"/>
      <c r="J1688" s="943"/>
      <c r="K1688" s="944">
        <v>1</v>
      </c>
      <c r="L1688" s="898">
        <v>7</v>
      </c>
      <c r="M1688" s="899">
        <f t="shared" si="62"/>
        <v>13524</v>
      </c>
      <c r="N1688" s="898">
        <v>1</v>
      </c>
      <c r="O1688" s="898">
        <v>12</v>
      </c>
      <c r="P1688" s="899">
        <f t="shared" si="63"/>
        <v>23184</v>
      </c>
    </row>
    <row r="1689" spans="1:16" x14ac:dyDescent="0.2">
      <c r="A1689" s="916" t="s">
        <v>5035</v>
      </c>
      <c r="B1689" s="943" t="s">
        <v>3092</v>
      </c>
      <c r="C1689" s="916" t="s">
        <v>5598</v>
      </c>
      <c r="D1689" s="943" t="s">
        <v>5040</v>
      </c>
      <c r="E1689" s="1144">
        <v>2200</v>
      </c>
      <c r="F1689" s="943" t="s">
        <v>6461</v>
      </c>
      <c r="G1689" s="1245" t="s">
        <v>6462</v>
      </c>
      <c r="H1689" s="1245" t="s">
        <v>5205</v>
      </c>
      <c r="I1689" s="1147"/>
      <c r="J1689" s="943"/>
      <c r="K1689" s="944">
        <v>1</v>
      </c>
      <c r="L1689" s="898">
        <v>7</v>
      </c>
      <c r="M1689" s="899">
        <f t="shared" si="62"/>
        <v>15400</v>
      </c>
      <c r="N1689" s="898">
        <v>1</v>
      </c>
      <c r="O1689" s="898">
        <v>12</v>
      </c>
      <c r="P1689" s="899">
        <f t="shared" si="63"/>
        <v>26400</v>
      </c>
    </row>
    <row r="1690" spans="1:16" ht="24" x14ac:dyDescent="0.2">
      <c r="A1690" s="916" t="s">
        <v>5035</v>
      </c>
      <c r="B1690" s="943" t="s">
        <v>3092</v>
      </c>
      <c r="C1690" s="916" t="s">
        <v>5598</v>
      </c>
      <c r="D1690" s="943" t="s">
        <v>5040</v>
      </c>
      <c r="E1690" s="1144">
        <v>1923</v>
      </c>
      <c r="F1690" s="943" t="s">
        <v>6463</v>
      </c>
      <c r="G1690" s="1245" t="s">
        <v>6464</v>
      </c>
      <c r="H1690" s="1245" t="s">
        <v>5043</v>
      </c>
      <c r="I1690" s="1147"/>
      <c r="J1690" s="943"/>
      <c r="K1690" s="944">
        <v>1</v>
      </c>
      <c r="L1690" s="898">
        <v>7</v>
      </c>
      <c r="M1690" s="899">
        <f t="shared" si="62"/>
        <v>13461</v>
      </c>
      <c r="N1690" s="898">
        <v>1</v>
      </c>
      <c r="O1690" s="898">
        <v>12</v>
      </c>
      <c r="P1690" s="899">
        <f t="shared" si="63"/>
        <v>23076</v>
      </c>
    </row>
    <row r="1691" spans="1:16" x14ac:dyDescent="0.2">
      <c r="A1691" s="916" t="s">
        <v>5035</v>
      </c>
      <c r="B1691" s="943" t="s">
        <v>3092</v>
      </c>
      <c r="C1691" s="916" t="s">
        <v>5598</v>
      </c>
      <c r="D1691" s="943" t="s">
        <v>5040</v>
      </c>
      <c r="E1691" s="1144">
        <v>5500</v>
      </c>
      <c r="F1691" s="943" t="s">
        <v>6465</v>
      </c>
      <c r="G1691" s="1245" t="s">
        <v>6466</v>
      </c>
      <c r="H1691" s="1245" t="s">
        <v>517</v>
      </c>
      <c r="I1691" s="1147"/>
      <c r="J1691" s="943"/>
      <c r="K1691" s="944">
        <v>1</v>
      </c>
      <c r="L1691" s="898">
        <v>7</v>
      </c>
      <c r="M1691" s="899">
        <f t="shared" si="62"/>
        <v>38500</v>
      </c>
      <c r="N1691" s="898">
        <v>1</v>
      </c>
      <c r="O1691" s="898">
        <v>12</v>
      </c>
      <c r="P1691" s="899">
        <f t="shared" si="63"/>
        <v>66000</v>
      </c>
    </row>
    <row r="1692" spans="1:16" ht="24" x14ac:dyDescent="0.2">
      <c r="A1692" s="916" t="s">
        <v>5035</v>
      </c>
      <c r="B1692" s="943" t="s">
        <v>3092</v>
      </c>
      <c r="C1692" s="916" t="s">
        <v>5598</v>
      </c>
      <c r="D1692" s="943" t="s">
        <v>5040</v>
      </c>
      <c r="E1692" s="1144">
        <v>1923</v>
      </c>
      <c r="F1692" s="943" t="s">
        <v>6467</v>
      </c>
      <c r="G1692" s="1245" t="s">
        <v>6468</v>
      </c>
      <c r="H1692" s="1245" t="s">
        <v>5043</v>
      </c>
      <c r="I1692" s="1147"/>
      <c r="J1692" s="943"/>
      <c r="K1692" s="944">
        <v>1</v>
      </c>
      <c r="L1692" s="898">
        <v>7</v>
      </c>
      <c r="M1692" s="899">
        <f t="shared" si="62"/>
        <v>13461</v>
      </c>
      <c r="N1692" s="898">
        <v>1</v>
      </c>
      <c r="O1692" s="898">
        <v>12</v>
      </c>
      <c r="P1692" s="899">
        <f t="shared" si="63"/>
        <v>23076</v>
      </c>
    </row>
    <row r="1693" spans="1:16" ht="24" x14ac:dyDescent="0.2">
      <c r="A1693" s="916" t="s">
        <v>5035</v>
      </c>
      <c r="B1693" s="943" t="s">
        <v>3092</v>
      </c>
      <c r="C1693" s="916" t="s">
        <v>5598</v>
      </c>
      <c r="D1693" s="943" t="s">
        <v>5040</v>
      </c>
      <c r="E1693" s="1144">
        <v>1923</v>
      </c>
      <c r="F1693" s="943" t="s">
        <v>6469</v>
      </c>
      <c r="G1693" s="1245" t="s">
        <v>6470</v>
      </c>
      <c r="H1693" s="1245" t="s">
        <v>5043</v>
      </c>
      <c r="I1693" s="1147"/>
      <c r="J1693" s="943"/>
      <c r="K1693" s="944">
        <v>1</v>
      </c>
      <c r="L1693" s="898">
        <v>7</v>
      </c>
      <c r="M1693" s="899">
        <f t="shared" si="62"/>
        <v>13461</v>
      </c>
      <c r="N1693" s="898">
        <v>1</v>
      </c>
      <c r="O1693" s="898">
        <v>12</v>
      </c>
      <c r="P1693" s="899">
        <f t="shared" si="63"/>
        <v>23076</v>
      </c>
    </row>
    <row r="1694" spans="1:16" x14ac:dyDescent="0.2">
      <c r="A1694" s="916" t="s">
        <v>5035</v>
      </c>
      <c r="B1694" s="943" t="s">
        <v>3092</v>
      </c>
      <c r="C1694" s="916" t="s">
        <v>5598</v>
      </c>
      <c r="D1694" s="943" t="s">
        <v>5040</v>
      </c>
      <c r="E1694" s="1144">
        <v>5500</v>
      </c>
      <c r="F1694" s="943" t="s">
        <v>6471</v>
      </c>
      <c r="G1694" s="1245" t="s">
        <v>6472</v>
      </c>
      <c r="H1694" s="1245" t="s">
        <v>3482</v>
      </c>
      <c r="I1694" s="1147"/>
      <c r="J1694" s="943"/>
      <c r="K1694" s="944">
        <v>1</v>
      </c>
      <c r="L1694" s="898">
        <v>7</v>
      </c>
      <c r="M1694" s="899">
        <f t="shared" si="62"/>
        <v>38500</v>
      </c>
      <c r="N1694" s="898">
        <v>1</v>
      </c>
      <c r="O1694" s="898">
        <v>12</v>
      </c>
      <c r="P1694" s="899">
        <f t="shared" si="63"/>
        <v>66000</v>
      </c>
    </row>
    <row r="1695" spans="1:16" ht="24" x14ac:dyDescent="0.2">
      <c r="A1695" s="916" t="s">
        <v>5035</v>
      </c>
      <c r="B1695" s="943" t="s">
        <v>3092</v>
      </c>
      <c r="C1695" s="916" t="s">
        <v>5598</v>
      </c>
      <c r="D1695" s="943" t="s">
        <v>5040</v>
      </c>
      <c r="E1695" s="1144">
        <v>1200</v>
      </c>
      <c r="F1695" s="943" t="s">
        <v>6473</v>
      </c>
      <c r="G1695" s="1245" t="s">
        <v>6474</v>
      </c>
      <c r="H1695" s="1245" t="s">
        <v>5657</v>
      </c>
      <c r="I1695" s="1147"/>
      <c r="J1695" s="943"/>
      <c r="K1695" s="944">
        <v>1</v>
      </c>
      <c r="L1695" s="898">
        <v>7</v>
      </c>
      <c r="M1695" s="899">
        <f t="shared" si="62"/>
        <v>8400</v>
      </c>
      <c r="N1695" s="898">
        <v>1</v>
      </c>
      <c r="O1695" s="898">
        <v>12</v>
      </c>
      <c r="P1695" s="899">
        <f t="shared" si="63"/>
        <v>14400</v>
      </c>
    </row>
    <row r="1696" spans="1:16" ht="24" x14ac:dyDescent="0.2">
      <c r="A1696" s="916" t="s">
        <v>5035</v>
      </c>
      <c r="B1696" s="943" t="s">
        <v>3092</v>
      </c>
      <c r="C1696" s="916" t="s">
        <v>5598</v>
      </c>
      <c r="D1696" s="943" t="s">
        <v>5040</v>
      </c>
      <c r="E1696" s="1144">
        <v>1923</v>
      </c>
      <c r="F1696" s="943" t="s">
        <v>6475</v>
      </c>
      <c r="G1696" s="1245" t="s">
        <v>6476</v>
      </c>
      <c r="H1696" s="1245" t="s">
        <v>580</v>
      </c>
      <c r="I1696" s="1147"/>
      <c r="J1696" s="943"/>
      <c r="K1696" s="944">
        <v>1</v>
      </c>
      <c r="L1696" s="898">
        <v>7</v>
      </c>
      <c r="M1696" s="899">
        <f t="shared" si="62"/>
        <v>13461</v>
      </c>
      <c r="N1696" s="898">
        <v>1</v>
      </c>
      <c r="O1696" s="898">
        <v>12</v>
      </c>
      <c r="P1696" s="899">
        <f t="shared" si="63"/>
        <v>23076</v>
      </c>
    </row>
    <row r="1697" spans="1:16" ht="24" x14ac:dyDescent="0.2">
      <c r="A1697" s="916" t="s">
        <v>5035</v>
      </c>
      <c r="B1697" s="943" t="s">
        <v>3092</v>
      </c>
      <c r="C1697" s="916" t="s">
        <v>5598</v>
      </c>
      <c r="D1697" s="943" t="s">
        <v>5040</v>
      </c>
      <c r="E1697" s="1144">
        <v>1923</v>
      </c>
      <c r="F1697" s="943" t="s">
        <v>6477</v>
      </c>
      <c r="G1697" s="1245" t="s">
        <v>6478</v>
      </c>
      <c r="H1697" s="1245" t="s">
        <v>5043</v>
      </c>
      <c r="I1697" s="1147"/>
      <c r="J1697" s="943"/>
      <c r="K1697" s="944">
        <v>1</v>
      </c>
      <c r="L1697" s="898">
        <v>7</v>
      </c>
      <c r="M1697" s="899">
        <f t="shared" si="62"/>
        <v>13461</v>
      </c>
      <c r="N1697" s="898">
        <v>1</v>
      </c>
      <c r="O1697" s="898">
        <v>12</v>
      </c>
      <c r="P1697" s="899">
        <f t="shared" si="63"/>
        <v>23076</v>
      </c>
    </row>
    <row r="1698" spans="1:16" x14ac:dyDescent="0.2">
      <c r="A1698" s="916" t="s">
        <v>5035</v>
      </c>
      <c r="B1698" s="943" t="s">
        <v>3092</v>
      </c>
      <c r="C1698" s="916" t="s">
        <v>5598</v>
      </c>
      <c r="D1698" s="943" t="s">
        <v>5040</v>
      </c>
      <c r="E1698" s="1144">
        <v>1200</v>
      </c>
      <c r="F1698" s="943" t="s">
        <v>6479</v>
      </c>
      <c r="G1698" s="1245" t="s">
        <v>6480</v>
      </c>
      <c r="H1698" s="1245" t="s">
        <v>5796</v>
      </c>
      <c r="I1698" s="1147"/>
      <c r="J1698" s="943"/>
      <c r="K1698" s="944">
        <v>1</v>
      </c>
      <c r="L1698" s="898">
        <v>7</v>
      </c>
      <c r="M1698" s="899">
        <f t="shared" si="62"/>
        <v>8400</v>
      </c>
      <c r="N1698" s="898">
        <v>1</v>
      </c>
      <c r="O1698" s="898">
        <v>12</v>
      </c>
      <c r="P1698" s="899">
        <f t="shared" si="63"/>
        <v>14400</v>
      </c>
    </row>
    <row r="1699" spans="1:16" x14ac:dyDescent="0.2">
      <c r="A1699" s="916" t="s">
        <v>5035</v>
      </c>
      <c r="B1699" s="943" t="s">
        <v>3092</v>
      </c>
      <c r="C1699" s="916" t="s">
        <v>5598</v>
      </c>
      <c r="D1699" s="943" t="s">
        <v>5040</v>
      </c>
      <c r="E1699" s="1144">
        <v>2931</v>
      </c>
      <c r="F1699" s="943" t="s">
        <v>6481</v>
      </c>
      <c r="G1699" s="1245" t="s">
        <v>6482</v>
      </c>
      <c r="H1699" s="1245" t="s">
        <v>5219</v>
      </c>
      <c r="I1699" s="1147"/>
      <c r="J1699" s="943"/>
      <c r="K1699" s="944">
        <v>1</v>
      </c>
      <c r="L1699" s="898">
        <v>7</v>
      </c>
      <c r="M1699" s="899">
        <f t="shared" si="62"/>
        <v>20517</v>
      </c>
      <c r="N1699" s="898">
        <v>1</v>
      </c>
      <c r="O1699" s="898">
        <v>12</v>
      </c>
      <c r="P1699" s="899">
        <f t="shared" si="63"/>
        <v>35172</v>
      </c>
    </row>
    <row r="1700" spans="1:16" x14ac:dyDescent="0.2">
      <c r="A1700" s="916" t="s">
        <v>5035</v>
      </c>
      <c r="B1700" s="943" t="s">
        <v>3092</v>
      </c>
      <c r="C1700" s="916" t="s">
        <v>5598</v>
      </c>
      <c r="D1700" s="943" t="s">
        <v>5040</v>
      </c>
      <c r="E1700" s="1144">
        <v>5500</v>
      </c>
      <c r="F1700" s="943" t="s">
        <v>6483</v>
      </c>
      <c r="G1700" s="1245" t="s">
        <v>6484</v>
      </c>
      <c r="H1700" s="1245" t="s">
        <v>5112</v>
      </c>
      <c r="I1700" s="1147"/>
      <c r="J1700" s="943"/>
      <c r="K1700" s="944">
        <v>1</v>
      </c>
      <c r="L1700" s="898">
        <v>7</v>
      </c>
      <c r="M1700" s="899">
        <f t="shared" ref="M1700:M1716" si="64">+L1700*E1700</f>
        <v>38500</v>
      </c>
      <c r="N1700" s="898">
        <v>1</v>
      </c>
      <c r="O1700" s="898">
        <v>12</v>
      </c>
      <c r="P1700" s="899">
        <f t="shared" ref="P1700:P1716" si="65">+O1700*E1700</f>
        <v>66000</v>
      </c>
    </row>
    <row r="1701" spans="1:16" ht="24" x14ac:dyDescent="0.2">
      <c r="A1701" s="916" t="s">
        <v>5035</v>
      </c>
      <c r="B1701" s="943" t="s">
        <v>3092</v>
      </c>
      <c r="C1701" s="916" t="s">
        <v>5598</v>
      </c>
      <c r="D1701" s="943" t="s">
        <v>5040</v>
      </c>
      <c r="E1701" s="1144">
        <v>1200</v>
      </c>
      <c r="F1701" s="943" t="s">
        <v>6485</v>
      </c>
      <c r="G1701" s="1245" t="s">
        <v>6486</v>
      </c>
      <c r="H1701" s="1245" t="s">
        <v>5657</v>
      </c>
      <c r="I1701" s="1147"/>
      <c r="J1701" s="943"/>
      <c r="K1701" s="944">
        <v>1</v>
      </c>
      <c r="L1701" s="898">
        <v>7</v>
      </c>
      <c r="M1701" s="899">
        <f t="shared" si="64"/>
        <v>8400</v>
      </c>
      <c r="N1701" s="898">
        <v>1</v>
      </c>
      <c r="O1701" s="898">
        <v>12</v>
      </c>
      <c r="P1701" s="899">
        <f t="shared" si="65"/>
        <v>14400</v>
      </c>
    </row>
    <row r="1702" spans="1:16" ht="24" x14ac:dyDescent="0.2">
      <c r="A1702" s="916" t="s">
        <v>5035</v>
      </c>
      <c r="B1702" s="943" t="s">
        <v>3092</v>
      </c>
      <c r="C1702" s="916" t="s">
        <v>5598</v>
      </c>
      <c r="D1702" s="943" t="s">
        <v>491</v>
      </c>
      <c r="E1702" s="1144">
        <v>1171</v>
      </c>
      <c r="F1702" s="943" t="s">
        <v>6487</v>
      </c>
      <c r="G1702" s="1245" t="s">
        <v>6488</v>
      </c>
      <c r="H1702" s="1245" t="s">
        <v>4186</v>
      </c>
      <c r="I1702" s="1147"/>
      <c r="J1702" s="943"/>
      <c r="K1702" s="944">
        <v>1</v>
      </c>
      <c r="L1702" s="898">
        <v>7</v>
      </c>
      <c r="M1702" s="899">
        <f t="shared" si="64"/>
        <v>8197</v>
      </c>
      <c r="N1702" s="898">
        <v>1</v>
      </c>
      <c r="O1702" s="898">
        <v>12</v>
      </c>
      <c r="P1702" s="899">
        <f t="shared" si="65"/>
        <v>14052</v>
      </c>
    </row>
    <row r="1703" spans="1:16" ht="24" x14ac:dyDescent="0.2">
      <c r="A1703" s="916" t="s">
        <v>5035</v>
      </c>
      <c r="B1703" s="943" t="s">
        <v>3092</v>
      </c>
      <c r="C1703" s="916" t="s">
        <v>5598</v>
      </c>
      <c r="D1703" s="943" t="s">
        <v>5040</v>
      </c>
      <c r="E1703" s="1144">
        <v>2931</v>
      </c>
      <c r="F1703" s="943" t="s">
        <v>6489</v>
      </c>
      <c r="G1703" s="1245" t="s">
        <v>6490</v>
      </c>
      <c r="H1703" s="1245" t="s">
        <v>566</v>
      </c>
      <c r="I1703" s="1147"/>
      <c r="J1703" s="943"/>
      <c r="K1703" s="944">
        <v>1</v>
      </c>
      <c r="L1703" s="898">
        <v>7</v>
      </c>
      <c r="M1703" s="899">
        <f t="shared" si="64"/>
        <v>20517</v>
      </c>
      <c r="N1703" s="898">
        <v>1</v>
      </c>
      <c r="O1703" s="898">
        <v>12</v>
      </c>
      <c r="P1703" s="899">
        <f t="shared" si="65"/>
        <v>35172</v>
      </c>
    </row>
    <row r="1704" spans="1:16" ht="24" x14ac:dyDescent="0.2">
      <c r="A1704" s="916" t="s">
        <v>5035</v>
      </c>
      <c r="B1704" s="943" t="s">
        <v>3092</v>
      </c>
      <c r="C1704" s="916" t="s">
        <v>5598</v>
      </c>
      <c r="D1704" s="943" t="s">
        <v>491</v>
      </c>
      <c r="E1704" s="1144">
        <v>1200</v>
      </c>
      <c r="F1704" s="943" t="s">
        <v>6491</v>
      </c>
      <c r="G1704" s="1245" t="s">
        <v>6492</v>
      </c>
      <c r="H1704" s="1245" t="s">
        <v>3112</v>
      </c>
      <c r="I1704" s="1147"/>
      <c r="J1704" s="943"/>
      <c r="K1704" s="944">
        <v>1</v>
      </c>
      <c r="L1704" s="898">
        <v>7</v>
      </c>
      <c r="M1704" s="899">
        <f t="shared" si="64"/>
        <v>8400</v>
      </c>
      <c r="N1704" s="898">
        <v>1</v>
      </c>
      <c r="O1704" s="898">
        <v>12</v>
      </c>
      <c r="P1704" s="899">
        <f t="shared" si="65"/>
        <v>14400</v>
      </c>
    </row>
    <row r="1705" spans="1:16" x14ac:dyDescent="0.2">
      <c r="A1705" s="916" t="s">
        <v>5035</v>
      </c>
      <c r="B1705" s="943" t="s">
        <v>3092</v>
      </c>
      <c r="C1705" s="916" t="s">
        <v>5598</v>
      </c>
      <c r="D1705" s="943" t="s">
        <v>5040</v>
      </c>
      <c r="E1705" s="1144">
        <v>7000</v>
      </c>
      <c r="F1705" s="943" t="s">
        <v>6493</v>
      </c>
      <c r="G1705" s="1245" t="s">
        <v>6494</v>
      </c>
      <c r="H1705" s="1245" t="s">
        <v>5077</v>
      </c>
      <c r="I1705" s="1147"/>
      <c r="J1705" s="943"/>
      <c r="K1705" s="944">
        <v>1</v>
      </c>
      <c r="L1705" s="898">
        <v>7</v>
      </c>
      <c r="M1705" s="899">
        <f t="shared" si="64"/>
        <v>49000</v>
      </c>
      <c r="N1705" s="898">
        <v>1</v>
      </c>
      <c r="O1705" s="898">
        <v>12</v>
      </c>
      <c r="P1705" s="899">
        <f t="shared" si="65"/>
        <v>84000</v>
      </c>
    </row>
    <row r="1706" spans="1:16" ht="24" x14ac:dyDescent="0.2">
      <c r="A1706" s="916" t="s">
        <v>5035</v>
      </c>
      <c r="B1706" s="943" t="s">
        <v>3092</v>
      </c>
      <c r="C1706" s="916" t="s">
        <v>5598</v>
      </c>
      <c r="D1706" s="943" t="s">
        <v>5040</v>
      </c>
      <c r="E1706" s="1144">
        <v>2050</v>
      </c>
      <c r="F1706" s="943" t="s">
        <v>6495</v>
      </c>
      <c r="G1706" s="1245" t="s">
        <v>6496</v>
      </c>
      <c r="H1706" s="1245" t="s">
        <v>5133</v>
      </c>
      <c r="I1706" s="1147"/>
      <c r="J1706" s="943"/>
      <c r="K1706" s="944">
        <v>1</v>
      </c>
      <c r="L1706" s="898">
        <v>7</v>
      </c>
      <c r="M1706" s="899">
        <f t="shared" si="64"/>
        <v>14350</v>
      </c>
      <c r="N1706" s="898">
        <v>1</v>
      </c>
      <c r="O1706" s="898">
        <v>12</v>
      </c>
      <c r="P1706" s="899">
        <f t="shared" si="65"/>
        <v>24600</v>
      </c>
    </row>
    <row r="1707" spans="1:16" x14ac:dyDescent="0.2">
      <c r="A1707" s="916" t="s">
        <v>5035</v>
      </c>
      <c r="B1707" s="943" t="s">
        <v>3092</v>
      </c>
      <c r="C1707" s="916" t="s">
        <v>5598</v>
      </c>
      <c r="D1707" s="943" t="s">
        <v>5040</v>
      </c>
      <c r="E1707" s="1144">
        <v>2931</v>
      </c>
      <c r="F1707" s="943" t="s">
        <v>6497</v>
      </c>
      <c r="G1707" s="1245" t="s">
        <v>6498</v>
      </c>
      <c r="H1707" s="1245" t="s">
        <v>471</v>
      </c>
      <c r="I1707" s="1147"/>
      <c r="J1707" s="943"/>
      <c r="K1707" s="944">
        <v>1</v>
      </c>
      <c r="L1707" s="898">
        <v>7</v>
      </c>
      <c r="M1707" s="899">
        <f t="shared" si="64"/>
        <v>20517</v>
      </c>
      <c r="N1707" s="898">
        <v>1</v>
      </c>
      <c r="O1707" s="898">
        <v>12</v>
      </c>
      <c r="P1707" s="899">
        <f t="shared" si="65"/>
        <v>35172</v>
      </c>
    </row>
    <row r="1708" spans="1:16" ht="24" x14ac:dyDescent="0.2">
      <c r="A1708" s="916" t="s">
        <v>5035</v>
      </c>
      <c r="B1708" s="943" t="s">
        <v>3092</v>
      </c>
      <c r="C1708" s="916" t="s">
        <v>5598</v>
      </c>
      <c r="D1708" s="943" t="s">
        <v>5040</v>
      </c>
      <c r="E1708" s="1144">
        <v>1923</v>
      </c>
      <c r="F1708" s="943" t="s">
        <v>6499</v>
      </c>
      <c r="G1708" s="1245" t="s">
        <v>6500</v>
      </c>
      <c r="H1708" s="1245" t="s">
        <v>5043</v>
      </c>
      <c r="I1708" s="1147"/>
      <c r="J1708" s="943"/>
      <c r="K1708" s="944">
        <v>1</v>
      </c>
      <c r="L1708" s="898">
        <v>7</v>
      </c>
      <c r="M1708" s="899">
        <f t="shared" si="64"/>
        <v>13461</v>
      </c>
      <c r="N1708" s="898">
        <v>1</v>
      </c>
      <c r="O1708" s="898">
        <v>12</v>
      </c>
      <c r="P1708" s="899">
        <f t="shared" si="65"/>
        <v>23076</v>
      </c>
    </row>
    <row r="1709" spans="1:16" ht="24" x14ac:dyDescent="0.2">
      <c r="A1709" s="916" t="s">
        <v>5035</v>
      </c>
      <c r="B1709" s="943" t="s">
        <v>3092</v>
      </c>
      <c r="C1709" s="916" t="s">
        <v>6501</v>
      </c>
      <c r="D1709" s="943" t="s">
        <v>5040</v>
      </c>
      <c r="E1709" s="1144">
        <v>3000</v>
      </c>
      <c r="F1709" s="943" t="s">
        <v>6502</v>
      </c>
      <c r="G1709" s="1245" t="s">
        <v>6503</v>
      </c>
      <c r="H1709" s="1245" t="s">
        <v>5043</v>
      </c>
      <c r="I1709" s="1147"/>
      <c r="J1709" s="943"/>
      <c r="K1709" s="944">
        <v>1</v>
      </c>
      <c r="L1709" s="898">
        <v>7</v>
      </c>
      <c r="M1709" s="899">
        <f t="shared" si="64"/>
        <v>21000</v>
      </c>
      <c r="N1709" s="898">
        <v>1</v>
      </c>
      <c r="O1709" s="898">
        <v>12</v>
      </c>
      <c r="P1709" s="899">
        <f t="shared" si="65"/>
        <v>36000</v>
      </c>
    </row>
    <row r="1710" spans="1:16" ht="24" x14ac:dyDescent="0.2">
      <c r="A1710" s="916" t="s">
        <v>5035</v>
      </c>
      <c r="B1710" s="943" t="s">
        <v>3092</v>
      </c>
      <c r="C1710" s="916" t="s">
        <v>6501</v>
      </c>
      <c r="D1710" s="943" t="s">
        <v>5040</v>
      </c>
      <c r="E1710" s="1144">
        <v>3000</v>
      </c>
      <c r="F1710" s="943" t="s">
        <v>6504</v>
      </c>
      <c r="G1710" s="1245" t="s">
        <v>6505</v>
      </c>
      <c r="H1710" s="1245" t="s">
        <v>5043</v>
      </c>
      <c r="I1710" s="1147"/>
      <c r="J1710" s="943"/>
      <c r="K1710" s="944">
        <v>1</v>
      </c>
      <c r="L1710" s="898">
        <v>7</v>
      </c>
      <c r="M1710" s="899">
        <f t="shared" si="64"/>
        <v>21000</v>
      </c>
      <c r="N1710" s="898">
        <v>1</v>
      </c>
      <c r="O1710" s="898">
        <v>12</v>
      </c>
      <c r="P1710" s="899">
        <f t="shared" si="65"/>
        <v>36000</v>
      </c>
    </row>
    <row r="1711" spans="1:16" ht="24" x14ac:dyDescent="0.2">
      <c r="A1711" s="916" t="s">
        <v>5035</v>
      </c>
      <c r="B1711" s="943" t="s">
        <v>3092</v>
      </c>
      <c r="C1711" s="916" t="s">
        <v>6501</v>
      </c>
      <c r="D1711" s="943" t="s">
        <v>5040</v>
      </c>
      <c r="E1711" s="1144">
        <v>7000</v>
      </c>
      <c r="F1711" s="943" t="s">
        <v>6506</v>
      </c>
      <c r="G1711" s="1245" t="s">
        <v>6507</v>
      </c>
      <c r="H1711" s="1245" t="s">
        <v>5077</v>
      </c>
      <c r="I1711" s="1147"/>
      <c r="J1711" s="943"/>
      <c r="K1711" s="944">
        <v>1</v>
      </c>
      <c r="L1711" s="898">
        <v>7</v>
      </c>
      <c r="M1711" s="899">
        <f t="shared" si="64"/>
        <v>49000</v>
      </c>
      <c r="N1711" s="898">
        <v>1</v>
      </c>
      <c r="O1711" s="898">
        <v>12</v>
      </c>
      <c r="P1711" s="899">
        <f t="shared" si="65"/>
        <v>84000</v>
      </c>
    </row>
    <row r="1712" spans="1:16" ht="24" x14ac:dyDescent="0.2">
      <c r="A1712" s="916" t="s">
        <v>5035</v>
      </c>
      <c r="B1712" s="943" t="s">
        <v>3092</v>
      </c>
      <c r="C1712" s="916" t="s">
        <v>6501</v>
      </c>
      <c r="D1712" s="943" t="s">
        <v>5040</v>
      </c>
      <c r="E1712" s="1144">
        <v>3000</v>
      </c>
      <c r="F1712" s="943" t="s">
        <v>6508</v>
      </c>
      <c r="G1712" s="1245" t="s">
        <v>6509</v>
      </c>
      <c r="H1712" s="1245" t="s">
        <v>5043</v>
      </c>
      <c r="I1712" s="1147"/>
      <c r="J1712" s="943"/>
      <c r="K1712" s="944">
        <v>1</v>
      </c>
      <c r="L1712" s="898">
        <v>7</v>
      </c>
      <c r="M1712" s="899">
        <f t="shared" si="64"/>
        <v>21000</v>
      </c>
      <c r="N1712" s="898">
        <v>1</v>
      </c>
      <c r="O1712" s="898">
        <v>12</v>
      </c>
      <c r="P1712" s="899">
        <f t="shared" si="65"/>
        <v>36000</v>
      </c>
    </row>
    <row r="1713" spans="1:16" ht="24" x14ac:dyDescent="0.2">
      <c r="A1713" s="916" t="s">
        <v>5035</v>
      </c>
      <c r="B1713" s="943" t="s">
        <v>3092</v>
      </c>
      <c r="C1713" s="916" t="s">
        <v>6501</v>
      </c>
      <c r="D1713" s="943" t="s">
        <v>5040</v>
      </c>
      <c r="E1713" s="1144">
        <v>7000</v>
      </c>
      <c r="F1713" s="943" t="s">
        <v>6510</v>
      </c>
      <c r="G1713" s="1245" t="s">
        <v>6511</v>
      </c>
      <c r="H1713" s="1245" t="s">
        <v>5077</v>
      </c>
      <c r="I1713" s="1147"/>
      <c r="J1713" s="943"/>
      <c r="K1713" s="944">
        <v>1</v>
      </c>
      <c r="L1713" s="898">
        <v>7</v>
      </c>
      <c r="M1713" s="899">
        <f t="shared" si="64"/>
        <v>49000</v>
      </c>
      <c r="N1713" s="898">
        <v>1</v>
      </c>
      <c r="O1713" s="898">
        <v>12</v>
      </c>
      <c r="P1713" s="899">
        <f t="shared" si="65"/>
        <v>84000</v>
      </c>
    </row>
    <row r="1714" spans="1:16" ht="24" x14ac:dyDescent="0.2">
      <c r="A1714" s="916" t="s">
        <v>5035</v>
      </c>
      <c r="B1714" s="943" t="s">
        <v>3092</v>
      </c>
      <c r="C1714" s="916" t="s">
        <v>6501</v>
      </c>
      <c r="D1714" s="943" t="s">
        <v>5040</v>
      </c>
      <c r="E1714" s="1144">
        <v>3000</v>
      </c>
      <c r="F1714" s="943" t="s">
        <v>6512</v>
      </c>
      <c r="G1714" s="1245" t="s">
        <v>6513</v>
      </c>
      <c r="H1714" s="1245" t="s">
        <v>5043</v>
      </c>
      <c r="I1714" s="1147"/>
      <c r="J1714" s="943"/>
      <c r="K1714" s="944">
        <v>1</v>
      </c>
      <c r="L1714" s="898">
        <v>7</v>
      </c>
      <c r="M1714" s="899">
        <f t="shared" si="64"/>
        <v>21000</v>
      </c>
      <c r="N1714" s="898">
        <v>1</v>
      </c>
      <c r="O1714" s="898">
        <v>12</v>
      </c>
      <c r="P1714" s="899">
        <f t="shared" si="65"/>
        <v>36000</v>
      </c>
    </row>
    <row r="1715" spans="1:16" ht="24" x14ac:dyDescent="0.2">
      <c r="A1715" s="916" t="s">
        <v>5035</v>
      </c>
      <c r="B1715" s="943" t="s">
        <v>3092</v>
      </c>
      <c r="C1715" s="916" t="s">
        <v>6501</v>
      </c>
      <c r="D1715" s="943" t="s">
        <v>5040</v>
      </c>
      <c r="E1715" s="1144">
        <v>3000</v>
      </c>
      <c r="F1715" s="943" t="s">
        <v>6514</v>
      </c>
      <c r="G1715" s="1245" t="s">
        <v>6515</v>
      </c>
      <c r="H1715" s="1245" t="s">
        <v>5043</v>
      </c>
      <c r="I1715" s="1147"/>
      <c r="J1715" s="943"/>
      <c r="K1715" s="944">
        <v>1</v>
      </c>
      <c r="L1715" s="898">
        <v>7</v>
      </c>
      <c r="M1715" s="899">
        <f t="shared" si="64"/>
        <v>21000</v>
      </c>
      <c r="N1715" s="898">
        <v>1</v>
      </c>
      <c r="O1715" s="898">
        <v>12</v>
      </c>
      <c r="P1715" s="899">
        <f t="shared" si="65"/>
        <v>36000</v>
      </c>
    </row>
    <row r="1716" spans="1:16" ht="24" x14ac:dyDescent="0.2">
      <c r="A1716" s="916" t="s">
        <v>5035</v>
      </c>
      <c r="B1716" s="943" t="s">
        <v>3092</v>
      </c>
      <c r="C1716" s="916" t="s">
        <v>6501</v>
      </c>
      <c r="D1716" s="943" t="s">
        <v>5040</v>
      </c>
      <c r="E1716" s="1144">
        <v>3000</v>
      </c>
      <c r="F1716" s="943" t="s">
        <v>6516</v>
      </c>
      <c r="G1716" s="1245" t="s">
        <v>6517</v>
      </c>
      <c r="H1716" s="1245" t="s">
        <v>5043</v>
      </c>
      <c r="I1716" s="1147"/>
      <c r="J1716" s="943"/>
      <c r="K1716" s="944">
        <v>1</v>
      </c>
      <c r="L1716" s="898">
        <v>7</v>
      </c>
      <c r="M1716" s="899">
        <f t="shared" si="64"/>
        <v>21000</v>
      </c>
      <c r="N1716" s="898">
        <v>1</v>
      </c>
      <c r="O1716" s="898">
        <v>12</v>
      </c>
      <c r="P1716" s="899">
        <f t="shared" si="65"/>
        <v>36000</v>
      </c>
    </row>
    <row r="1717" spans="1:16" x14ac:dyDescent="0.2">
      <c r="A1717" s="1543" t="s">
        <v>169</v>
      </c>
      <c r="B1717" s="1543"/>
      <c r="C1717" s="1231"/>
      <c r="D1717" s="1230"/>
      <c r="E1717" s="1232">
        <f>SUM(E994:E1716)</f>
        <v>1655167.6500000006</v>
      </c>
      <c r="F1717" s="1230"/>
      <c r="G1717" s="1230"/>
      <c r="H1717" s="1230"/>
      <c r="I1717" s="1233"/>
      <c r="J1717" s="1233"/>
      <c r="K1717" s="1368"/>
      <c r="L1717" s="1234"/>
      <c r="M1717" s="1235">
        <f>SUM(M994:M1716)</f>
        <v>13486552.899999999</v>
      </c>
      <c r="N1717" s="1230"/>
      <c r="O1717" s="1230"/>
      <c r="P1717" s="1235">
        <f>SUM(P994:P1716)</f>
        <v>19862011.799999997</v>
      </c>
    </row>
    <row r="1718" spans="1:16" x14ac:dyDescent="0.2">
      <c r="A1718" s="63"/>
      <c r="C1718" s="63"/>
      <c r="E1718" s="63"/>
      <c r="I1718" s="63"/>
      <c r="J1718" s="63"/>
      <c r="L1718" s="63"/>
      <c r="M1718" s="63"/>
      <c r="P1718" s="63"/>
    </row>
    <row r="1719" spans="1:16" x14ac:dyDescent="0.2">
      <c r="A1719" s="63"/>
      <c r="C1719" s="63"/>
      <c r="E1719" s="63"/>
      <c r="I1719" s="63"/>
      <c r="J1719" s="63"/>
      <c r="L1719" s="63"/>
      <c r="M1719" s="63"/>
      <c r="P1719" s="63"/>
    </row>
    <row r="1720" spans="1:16" x14ac:dyDescent="0.2">
      <c r="A1720" s="1546" t="s">
        <v>495</v>
      </c>
      <c r="B1720" s="1546"/>
      <c r="C1720" s="1546"/>
      <c r="D1720" s="1546"/>
      <c r="E1720" s="1232"/>
      <c r="F1720" s="1230"/>
      <c r="G1720" s="1230"/>
      <c r="H1720" s="1230"/>
      <c r="I1720" s="1233"/>
      <c r="J1720" s="1233"/>
      <c r="K1720" s="1368"/>
      <c r="L1720" s="1234"/>
      <c r="M1720" s="1235"/>
      <c r="N1720" s="1230"/>
      <c r="O1720" s="1230"/>
      <c r="P1720" s="1235"/>
    </row>
    <row r="1721" spans="1:16" x14ac:dyDescent="0.2">
      <c r="A1721" s="1543" t="s">
        <v>3075</v>
      </c>
      <c r="B1721" s="1543"/>
      <c r="C1721" s="1543"/>
      <c r="D1721" s="1543"/>
      <c r="E1721" s="1543"/>
      <c r="F1721" s="1543" t="s">
        <v>3076</v>
      </c>
      <c r="G1721" s="1543"/>
      <c r="H1721" s="1543"/>
      <c r="I1721" s="1543"/>
      <c r="J1721" s="1543"/>
      <c r="K1721" s="1544" t="s">
        <v>3077</v>
      </c>
      <c r="L1721" s="1544"/>
      <c r="M1721" s="1544"/>
      <c r="N1721" s="1544" t="s">
        <v>3078</v>
      </c>
      <c r="O1721" s="1544"/>
      <c r="P1721" s="1544"/>
    </row>
    <row r="1722" spans="1:16" ht="90" customHeight="1" x14ac:dyDescent="0.2">
      <c r="A1722" s="1237" t="s">
        <v>2829</v>
      </c>
      <c r="B1722" s="1239" t="s">
        <v>3079</v>
      </c>
      <c r="C1722" s="1237" t="s">
        <v>3080</v>
      </c>
      <c r="D1722" s="1239" t="s">
        <v>3081</v>
      </c>
      <c r="E1722" s="1240" t="s">
        <v>3082</v>
      </c>
      <c r="F1722" s="1239" t="s">
        <v>3083</v>
      </c>
      <c r="G1722" s="1239" t="s">
        <v>3084</v>
      </c>
      <c r="H1722" s="1239" t="s">
        <v>3085</v>
      </c>
      <c r="I1722" s="1239" t="s">
        <v>3086</v>
      </c>
      <c r="J1722" s="1239" t="s">
        <v>3087</v>
      </c>
      <c r="K1722" s="1369" t="s">
        <v>3088</v>
      </c>
      <c r="L1722" s="1241" t="s">
        <v>3089</v>
      </c>
      <c r="M1722" s="1242" t="s">
        <v>3090</v>
      </c>
      <c r="N1722" s="1241" t="s">
        <v>3088</v>
      </c>
      <c r="O1722" s="1241" t="s">
        <v>3089</v>
      </c>
      <c r="P1722" s="1242" t="s">
        <v>3090</v>
      </c>
    </row>
    <row r="1723" spans="1:16" x14ac:dyDescent="0.2">
      <c r="A1723" s="916"/>
      <c r="B1723" s="898"/>
      <c r="C1723" s="1248" t="s">
        <v>398</v>
      </c>
      <c r="D1723" s="898"/>
      <c r="E1723" s="1144"/>
      <c r="F1723" s="898"/>
      <c r="G1723" s="898"/>
      <c r="H1723" s="898"/>
      <c r="I1723" s="943"/>
      <c r="J1723" s="943"/>
      <c r="K1723" s="944"/>
      <c r="L1723" s="1249"/>
      <c r="M1723" s="899"/>
      <c r="N1723" s="1249"/>
      <c r="O1723" s="1249"/>
      <c r="P1723" s="899"/>
    </row>
    <row r="1724" spans="1:16" ht="36" x14ac:dyDescent="0.2">
      <c r="A1724" s="916" t="s">
        <v>6518</v>
      </c>
      <c r="B1724" s="898" t="s">
        <v>4291</v>
      </c>
      <c r="C1724" s="916" t="s">
        <v>398</v>
      </c>
      <c r="D1724" s="898" t="s">
        <v>5433</v>
      </c>
      <c r="E1724" s="1144">
        <v>2500</v>
      </c>
      <c r="F1724" s="898" t="s">
        <v>6519</v>
      </c>
      <c r="G1724" s="1245" t="s">
        <v>6520</v>
      </c>
      <c r="H1724" s="898" t="s">
        <v>5433</v>
      </c>
      <c r="I1724" s="943" t="s">
        <v>4004</v>
      </c>
      <c r="J1724" s="943" t="s">
        <v>3575</v>
      </c>
      <c r="K1724" s="944">
        <v>12</v>
      </c>
      <c r="L1724" s="1275">
        <v>12</v>
      </c>
      <c r="M1724" s="1246">
        <f t="shared" ref="M1724:M1787" si="66">+E1724*12</f>
        <v>30000</v>
      </c>
      <c r="N1724" s="1275">
        <v>12</v>
      </c>
      <c r="O1724" s="1275">
        <v>8</v>
      </c>
      <c r="P1724" s="899">
        <f t="shared" ref="P1724:P1787" si="67">+E1724*8</f>
        <v>20000</v>
      </c>
    </row>
    <row r="1725" spans="1:16" ht="36" x14ac:dyDescent="0.2">
      <c r="A1725" s="916" t="s">
        <v>6518</v>
      </c>
      <c r="B1725" s="898" t="s">
        <v>4291</v>
      </c>
      <c r="C1725" s="916" t="s">
        <v>398</v>
      </c>
      <c r="D1725" s="898" t="s">
        <v>5433</v>
      </c>
      <c r="E1725" s="1144">
        <v>2800</v>
      </c>
      <c r="F1725" s="898" t="s">
        <v>6521</v>
      </c>
      <c r="G1725" s="1245" t="s">
        <v>6522</v>
      </c>
      <c r="H1725" s="898" t="s">
        <v>5433</v>
      </c>
      <c r="I1725" s="943" t="s">
        <v>4004</v>
      </c>
      <c r="J1725" s="943" t="s">
        <v>3575</v>
      </c>
      <c r="K1725" s="944">
        <v>12</v>
      </c>
      <c r="L1725" s="1275">
        <v>12</v>
      </c>
      <c r="M1725" s="1246">
        <f t="shared" si="66"/>
        <v>33600</v>
      </c>
      <c r="N1725" s="1275">
        <v>12</v>
      </c>
      <c r="O1725" s="1275">
        <v>8</v>
      </c>
      <c r="P1725" s="899">
        <f t="shared" si="67"/>
        <v>22400</v>
      </c>
    </row>
    <row r="1726" spans="1:16" ht="36" x14ac:dyDescent="0.2">
      <c r="A1726" s="916" t="s">
        <v>6518</v>
      </c>
      <c r="B1726" s="898" t="s">
        <v>4291</v>
      </c>
      <c r="C1726" s="916" t="s">
        <v>398</v>
      </c>
      <c r="D1726" s="898" t="s">
        <v>5433</v>
      </c>
      <c r="E1726" s="1144">
        <v>3000</v>
      </c>
      <c r="F1726" s="898" t="s">
        <v>6523</v>
      </c>
      <c r="G1726" s="1245" t="s">
        <v>6524</v>
      </c>
      <c r="H1726" s="898" t="s">
        <v>5433</v>
      </c>
      <c r="I1726" s="943" t="s">
        <v>4004</v>
      </c>
      <c r="J1726" s="943" t="s">
        <v>3575</v>
      </c>
      <c r="K1726" s="944">
        <v>12</v>
      </c>
      <c r="L1726" s="1275">
        <v>12</v>
      </c>
      <c r="M1726" s="1246">
        <f t="shared" si="66"/>
        <v>36000</v>
      </c>
      <c r="N1726" s="1275">
        <v>12</v>
      </c>
      <c r="O1726" s="1275">
        <v>8</v>
      </c>
      <c r="P1726" s="899">
        <f t="shared" si="67"/>
        <v>24000</v>
      </c>
    </row>
    <row r="1727" spans="1:16" ht="36" x14ac:dyDescent="0.2">
      <c r="A1727" s="916" t="s">
        <v>6518</v>
      </c>
      <c r="B1727" s="898" t="s">
        <v>4291</v>
      </c>
      <c r="C1727" s="916" t="s">
        <v>398</v>
      </c>
      <c r="D1727" s="898" t="s">
        <v>3160</v>
      </c>
      <c r="E1727" s="1144">
        <v>4200</v>
      </c>
      <c r="F1727" s="898" t="s">
        <v>6525</v>
      </c>
      <c r="G1727" s="1245" t="s">
        <v>6526</v>
      </c>
      <c r="H1727" s="898" t="s">
        <v>5433</v>
      </c>
      <c r="I1727" s="943" t="s">
        <v>4004</v>
      </c>
      <c r="J1727" s="943" t="s">
        <v>3575</v>
      </c>
      <c r="K1727" s="944">
        <v>12</v>
      </c>
      <c r="L1727" s="1275">
        <v>12</v>
      </c>
      <c r="M1727" s="1246">
        <f t="shared" si="66"/>
        <v>50400</v>
      </c>
      <c r="N1727" s="1275">
        <v>12</v>
      </c>
      <c r="O1727" s="1275">
        <v>8</v>
      </c>
      <c r="P1727" s="899">
        <f t="shared" si="67"/>
        <v>33600</v>
      </c>
    </row>
    <row r="1728" spans="1:16" ht="36" x14ac:dyDescent="0.2">
      <c r="A1728" s="916" t="s">
        <v>6518</v>
      </c>
      <c r="B1728" s="898" t="s">
        <v>4291</v>
      </c>
      <c r="C1728" s="916" t="s">
        <v>398</v>
      </c>
      <c r="D1728" s="898" t="s">
        <v>3100</v>
      </c>
      <c r="E1728" s="1144">
        <v>2500</v>
      </c>
      <c r="F1728" s="898" t="s">
        <v>6527</v>
      </c>
      <c r="G1728" s="1245" t="s">
        <v>6528</v>
      </c>
      <c r="H1728" s="898" t="s">
        <v>5433</v>
      </c>
      <c r="I1728" s="943" t="s">
        <v>4004</v>
      </c>
      <c r="J1728" s="943" t="s">
        <v>3575</v>
      </c>
      <c r="K1728" s="944">
        <v>12</v>
      </c>
      <c r="L1728" s="1275">
        <v>12</v>
      </c>
      <c r="M1728" s="1246">
        <f t="shared" si="66"/>
        <v>30000</v>
      </c>
      <c r="N1728" s="1275">
        <v>12</v>
      </c>
      <c r="O1728" s="1275">
        <v>8</v>
      </c>
      <c r="P1728" s="899">
        <f t="shared" si="67"/>
        <v>20000</v>
      </c>
    </row>
    <row r="1729" spans="1:16" ht="36" x14ac:dyDescent="0.2">
      <c r="A1729" s="916" t="s">
        <v>6518</v>
      </c>
      <c r="B1729" s="898" t="s">
        <v>4291</v>
      </c>
      <c r="C1729" s="916" t="s">
        <v>398</v>
      </c>
      <c r="D1729" s="898" t="s">
        <v>3100</v>
      </c>
      <c r="E1729" s="1144">
        <v>2500</v>
      </c>
      <c r="F1729" s="898" t="s">
        <v>6529</v>
      </c>
      <c r="G1729" s="1245" t="s">
        <v>6530</v>
      </c>
      <c r="H1729" s="1245" t="s">
        <v>3552</v>
      </c>
      <c r="I1729" s="943" t="s">
        <v>4004</v>
      </c>
      <c r="J1729" s="943" t="s">
        <v>3575</v>
      </c>
      <c r="K1729" s="944">
        <v>12</v>
      </c>
      <c r="L1729" s="1275">
        <v>12</v>
      </c>
      <c r="M1729" s="1246">
        <f t="shared" si="66"/>
        <v>30000</v>
      </c>
      <c r="N1729" s="1275">
        <v>12</v>
      </c>
      <c r="O1729" s="1275">
        <v>8</v>
      </c>
      <c r="P1729" s="899">
        <f t="shared" si="67"/>
        <v>20000</v>
      </c>
    </row>
    <row r="1730" spans="1:16" ht="36" x14ac:dyDescent="0.2">
      <c r="A1730" s="916" t="s">
        <v>6518</v>
      </c>
      <c r="B1730" s="898" t="s">
        <v>4291</v>
      </c>
      <c r="C1730" s="916" t="s">
        <v>398</v>
      </c>
      <c r="D1730" s="898" t="s">
        <v>3115</v>
      </c>
      <c r="E1730" s="1144">
        <v>2500</v>
      </c>
      <c r="F1730" s="898" t="s">
        <v>6531</v>
      </c>
      <c r="G1730" s="1245" t="s">
        <v>6532</v>
      </c>
      <c r="H1730" s="1245" t="s">
        <v>4881</v>
      </c>
      <c r="I1730" s="943" t="s">
        <v>4004</v>
      </c>
      <c r="J1730" s="943" t="s">
        <v>3575</v>
      </c>
      <c r="K1730" s="944">
        <v>12</v>
      </c>
      <c r="L1730" s="1275">
        <v>12</v>
      </c>
      <c r="M1730" s="1246">
        <f t="shared" si="66"/>
        <v>30000</v>
      </c>
      <c r="N1730" s="1275">
        <v>12</v>
      </c>
      <c r="O1730" s="1275">
        <v>8</v>
      </c>
      <c r="P1730" s="899">
        <f t="shared" si="67"/>
        <v>20000</v>
      </c>
    </row>
    <row r="1731" spans="1:16" ht="36" x14ac:dyDescent="0.2">
      <c r="A1731" s="916" t="s">
        <v>6518</v>
      </c>
      <c r="B1731" s="898" t="s">
        <v>4291</v>
      </c>
      <c r="C1731" s="916" t="s">
        <v>398</v>
      </c>
      <c r="D1731" s="898" t="s">
        <v>3112</v>
      </c>
      <c r="E1731" s="1144">
        <v>2500</v>
      </c>
      <c r="F1731" s="898" t="s">
        <v>6533</v>
      </c>
      <c r="G1731" s="1245" t="s">
        <v>6534</v>
      </c>
      <c r="H1731" s="1245" t="s">
        <v>3552</v>
      </c>
      <c r="I1731" s="943" t="s">
        <v>4004</v>
      </c>
      <c r="J1731" s="943" t="s">
        <v>3575</v>
      </c>
      <c r="K1731" s="944">
        <v>12</v>
      </c>
      <c r="L1731" s="1275">
        <v>12</v>
      </c>
      <c r="M1731" s="1246">
        <f t="shared" si="66"/>
        <v>30000</v>
      </c>
      <c r="N1731" s="1275">
        <v>12</v>
      </c>
      <c r="O1731" s="1275">
        <v>8</v>
      </c>
      <c r="P1731" s="899">
        <f t="shared" si="67"/>
        <v>20000</v>
      </c>
    </row>
    <row r="1732" spans="1:16" ht="36" x14ac:dyDescent="0.2">
      <c r="A1732" s="916" t="s">
        <v>6518</v>
      </c>
      <c r="B1732" s="898" t="s">
        <v>4291</v>
      </c>
      <c r="C1732" s="916" t="s">
        <v>398</v>
      </c>
      <c r="D1732" s="898" t="s">
        <v>3129</v>
      </c>
      <c r="E1732" s="1144">
        <v>2500</v>
      </c>
      <c r="F1732" s="898" t="s">
        <v>6535</v>
      </c>
      <c r="G1732" s="1245" t="s">
        <v>6536</v>
      </c>
      <c r="H1732" s="1245" t="s">
        <v>3552</v>
      </c>
      <c r="I1732" s="943" t="s">
        <v>4004</v>
      </c>
      <c r="J1732" s="943" t="s">
        <v>3575</v>
      </c>
      <c r="K1732" s="944">
        <v>12</v>
      </c>
      <c r="L1732" s="1275">
        <v>12</v>
      </c>
      <c r="M1732" s="1246">
        <f t="shared" si="66"/>
        <v>30000</v>
      </c>
      <c r="N1732" s="1275">
        <v>12</v>
      </c>
      <c r="O1732" s="1275">
        <v>8</v>
      </c>
      <c r="P1732" s="899">
        <f t="shared" si="67"/>
        <v>20000</v>
      </c>
    </row>
    <row r="1733" spans="1:16" ht="36" x14ac:dyDescent="0.2">
      <c r="A1733" s="916" t="s">
        <v>6518</v>
      </c>
      <c r="B1733" s="898" t="s">
        <v>4291</v>
      </c>
      <c r="C1733" s="916" t="s">
        <v>398</v>
      </c>
      <c r="D1733" s="898" t="s">
        <v>3112</v>
      </c>
      <c r="E1733" s="1144">
        <v>1100</v>
      </c>
      <c r="F1733" s="898" t="s">
        <v>6537</v>
      </c>
      <c r="G1733" s="1245" t="s">
        <v>6538</v>
      </c>
      <c r="H1733" s="1245" t="s">
        <v>6539</v>
      </c>
      <c r="I1733" s="1147" t="s">
        <v>3292</v>
      </c>
      <c r="J1733" s="943" t="s">
        <v>6540</v>
      </c>
      <c r="K1733" s="944">
        <v>12</v>
      </c>
      <c r="L1733" s="1275">
        <v>12</v>
      </c>
      <c r="M1733" s="1246">
        <f t="shared" si="66"/>
        <v>13200</v>
      </c>
      <c r="N1733" s="1275">
        <v>12</v>
      </c>
      <c r="O1733" s="1275">
        <v>8</v>
      </c>
      <c r="P1733" s="899">
        <f t="shared" si="67"/>
        <v>8800</v>
      </c>
    </row>
    <row r="1734" spans="1:16" ht="36" x14ac:dyDescent="0.2">
      <c r="A1734" s="916" t="s">
        <v>6518</v>
      </c>
      <c r="B1734" s="898" t="s">
        <v>4291</v>
      </c>
      <c r="C1734" s="916" t="s">
        <v>398</v>
      </c>
      <c r="D1734" s="898" t="s">
        <v>3112</v>
      </c>
      <c r="E1734" s="1144">
        <v>1100</v>
      </c>
      <c r="F1734" s="898" t="s">
        <v>6541</v>
      </c>
      <c r="G1734" s="1245" t="s">
        <v>6542</v>
      </c>
      <c r="H1734" s="1245" t="s">
        <v>6539</v>
      </c>
      <c r="I1734" s="1147" t="s">
        <v>3292</v>
      </c>
      <c r="J1734" s="943" t="s">
        <v>6540</v>
      </c>
      <c r="K1734" s="944">
        <v>12</v>
      </c>
      <c r="L1734" s="1275">
        <v>12</v>
      </c>
      <c r="M1734" s="1246">
        <f t="shared" si="66"/>
        <v>13200</v>
      </c>
      <c r="N1734" s="1275">
        <v>12</v>
      </c>
      <c r="O1734" s="1275">
        <v>8</v>
      </c>
      <c r="P1734" s="899">
        <f t="shared" si="67"/>
        <v>8800</v>
      </c>
    </row>
    <row r="1735" spans="1:16" ht="36" x14ac:dyDescent="0.2">
      <c r="A1735" s="916" t="s">
        <v>6518</v>
      </c>
      <c r="B1735" s="898" t="s">
        <v>4291</v>
      </c>
      <c r="C1735" s="916" t="s">
        <v>398</v>
      </c>
      <c r="D1735" s="898" t="s">
        <v>3112</v>
      </c>
      <c r="E1735" s="1144">
        <v>1100</v>
      </c>
      <c r="F1735" s="898" t="s">
        <v>6543</v>
      </c>
      <c r="G1735" s="1245" t="s">
        <v>6544</v>
      </c>
      <c r="H1735" s="1245" t="s">
        <v>6545</v>
      </c>
      <c r="I1735" s="1147" t="s">
        <v>3292</v>
      </c>
      <c r="J1735" s="943" t="s">
        <v>6540</v>
      </c>
      <c r="K1735" s="944">
        <v>12</v>
      </c>
      <c r="L1735" s="1275">
        <v>12</v>
      </c>
      <c r="M1735" s="1246">
        <f t="shared" si="66"/>
        <v>13200</v>
      </c>
      <c r="N1735" s="1275">
        <v>12</v>
      </c>
      <c r="O1735" s="1275">
        <v>8</v>
      </c>
      <c r="P1735" s="899">
        <f t="shared" si="67"/>
        <v>8800</v>
      </c>
    </row>
    <row r="1736" spans="1:16" ht="36" x14ac:dyDescent="0.2">
      <c r="A1736" s="916" t="s">
        <v>6518</v>
      </c>
      <c r="B1736" s="898" t="s">
        <v>4291</v>
      </c>
      <c r="C1736" s="916" t="s">
        <v>398</v>
      </c>
      <c r="D1736" s="898" t="s">
        <v>3112</v>
      </c>
      <c r="E1736" s="1144">
        <v>1100</v>
      </c>
      <c r="F1736" s="898" t="s">
        <v>6546</v>
      </c>
      <c r="G1736" s="1245" t="s">
        <v>6547</v>
      </c>
      <c r="H1736" s="1245" t="s">
        <v>6548</v>
      </c>
      <c r="I1736" s="1147" t="s">
        <v>3292</v>
      </c>
      <c r="J1736" s="943" t="s">
        <v>6540</v>
      </c>
      <c r="K1736" s="944">
        <v>12</v>
      </c>
      <c r="L1736" s="1275">
        <v>12</v>
      </c>
      <c r="M1736" s="1246">
        <f t="shared" si="66"/>
        <v>13200</v>
      </c>
      <c r="N1736" s="1275">
        <v>12</v>
      </c>
      <c r="O1736" s="1275">
        <v>8</v>
      </c>
      <c r="P1736" s="899">
        <f t="shared" si="67"/>
        <v>8800</v>
      </c>
    </row>
    <row r="1737" spans="1:16" ht="36" x14ac:dyDescent="0.2">
      <c r="A1737" s="916" t="s">
        <v>6518</v>
      </c>
      <c r="B1737" s="898" t="s">
        <v>4291</v>
      </c>
      <c r="C1737" s="916" t="s">
        <v>398</v>
      </c>
      <c r="D1737" s="898" t="s">
        <v>3112</v>
      </c>
      <c r="E1737" s="1144">
        <v>1100</v>
      </c>
      <c r="F1737" s="898" t="s">
        <v>6549</v>
      </c>
      <c r="G1737" s="1245" t="s">
        <v>6550</v>
      </c>
      <c r="H1737" s="1245" t="s">
        <v>6539</v>
      </c>
      <c r="I1737" s="1147" t="s">
        <v>3292</v>
      </c>
      <c r="J1737" s="943" t="s">
        <v>6540</v>
      </c>
      <c r="K1737" s="944">
        <v>12</v>
      </c>
      <c r="L1737" s="1275">
        <v>12</v>
      </c>
      <c r="M1737" s="1246">
        <f t="shared" si="66"/>
        <v>13200</v>
      </c>
      <c r="N1737" s="1275">
        <v>12</v>
      </c>
      <c r="O1737" s="1275">
        <v>8</v>
      </c>
      <c r="P1737" s="899">
        <f t="shared" si="67"/>
        <v>8800</v>
      </c>
    </row>
    <row r="1738" spans="1:16" ht="36" x14ac:dyDescent="0.2">
      <c r="A1738" s="916" t="s">
        <v>6518</v>
      </c>
      <c r="B1738" s="898" t="s">
        <v>4291</v>
      </c>
      <c r="C1738" s="916" t="s">
        <v>398</v>
      </c>
      <c r="D1738" s="898" t="s">
        <v>3112</v>
      </c>
      <c r="E1738" s="1144">
        <v>1100</v>
      </c>
      <c r="F1738" s="898" t="s">
        <v>6551</v>
      </c>
      <c r="G1738" s="1245" t="s">
        <v>6552</v>
      </c>
      <c r="H1738" s="1245" t="s">
        <v>6553</v>
      </c>
      <c r="I1738" s="1147" t="s">
        <v>3292</v>
      </c>
      <c r="J1738" s="943" t="s">
        <v>6540</v>
      </c>
      <c r="K1738" s="944">
        <v>12</v>
      </c>
      <c r="L1738" s="1275">
        <v>12</v>
      </c>
      <c r="M1738" s="1246">
        <f t="shared" si="66"/>
        <v>13200</v>
      </c>
      <c r="N1738" s="1275">
        <v>12</v>
      </c>
      <c r="O1738" s="1275">
        <v>8</v>
      </c>
      <c r="P1738" s="899">
        <f t="shared" si="67"/>
        <v>8800</v>
      </c>
    </row>
    <row r="1739" spans="1:16" ht="36" x14ac:dyDescent="0.2">
      <c r="A1739" s="916" t="s">
        <v>6518</v>
      </c>
      <c r="B1739" s="898" t="s">
        <v>4291</v>
      </c>
      <c r="C1739" s="916" t="s">
        <v>398</v>
      </c>
      <c r="D1739" s="898" t="s">
        <v>3112</v>
      </c>
      <c r="E1739" s="1144">
        <v>1100</v>
      </c>
      <c r="F1739" s="898" t="s">
        <v>6554</v>
      </c>
      <c r="G1739" s="1245" t="s">
        <v>6555</v>
      </c>
      <c r="H1739" s="1245" t="s">
        <v>3134</v>
      </c>
      <c r="I1739" s="1147" t="s">
        <v>3292</v>
      </c>
      <c r="J1739" s="943" t="s">
        <v>6540</v>
      </c>
      <c r="K1739" s="944">
        <v>12</v>
      </c>
      <c r="L1739" s="1275">
        <v>12</v>
      </c>
      <c r="M1739" s="1246">
        <f t="shared" si="66"/>
        <v>13200</v>
      </c>
      <c r="N1739" s="1275">
        <v>12</v>
      </c>
      <c r="O1739" s="1275">
        <v>8</v>
      </c>
      <c r="P1739" s="899">
        <f t="shared" si="67"/>
        <v>8800</v>
      </c>
    </row>
    <row r="1740" spans="1:16" ht="36" x14ac:dyDescent="0.2">
      <c r="A1740" s="916" t="s">
        <v>6518</v>
      </c>
      <c r="B1740" s="898" t="s">
        <v>4291</v>
      </c>
      <c r="C1740" s="916" t="s">
        <v>398</v>
      </c>
      <c r="D1740" s="898" t="s">
        <v>3112</v>
      </c>
      <c r="E1740" s="1144">
        <v>1100</v>
      </c>
      <c r="F1740" s="898" t="s">
        <v>6556</v>
      </c>
      <c r="G1740" s="1245" t="s">
        <v>6557</v>
      </c>
      <c r="H1740" s="1245" t="s">
        <v>3134</v>
      </c>
      <c r="I1740" s="1147" t="s">
        <v>3292</v>
      </c>
      <c r="J1740" s="943" t="s">
        <v>6540</v>
      </c>
      <c r="K1740" s="944">
        <v>12</v>
      </c>
      <c r="L1740" s="1275">
        <v>12</v>
      </c>
      <c r="M1740" s="1246">
        <f t="shared" si="66"/>
        <v>13200</v>
      </c>
      <c r="N1740" s="1275">
        <v>12</v>
      </c>
      <c r="O1740" s="1275">
        <v>8</v>
      </c>
      <c r="P1740" s="899">
        <f t="shared" si="67"/>
        <v>8800</v>
      </c>
    </row>
    <row r="1741" spans="1:16" ht="36" x14ac:dyDescent="0.2">
      <c r="A1741" s="916" t="s">
        <v>6518</v>
      </c>
      <c r="B1741" s="898" t="s">
        <v>4291</v>
      </c>
      <c r="C1741" s="916" t="s">
        <v>398</v>
      </c>
      <c r="D1741" s="898" t="s">
        <v>3112</v>
      </c>
      <c r="E1741" s="1144">
        <v>1100</v>
      </c>
      <c r="F1741" s="898" t="s">
        <v>6558</v>
      </c>
      <c r="G1741" s="1245" t="s">
        <v>6559</v>
      </c>
      <c r="H1741" s="1245" t="s">
        <v>6539</v>
      </c>
      <c r="I1741" s="1147" t="s">
        <v>3292</v>
      </c>
      <c r="J1741" s="943" t="s">
        <v>6540</v>
      </c>
      <c r="K1741" s="944">
        <v>12</v>
      </c>
      <c r="L1741" s="1275">
        <v>12</v>
      </c>
      <c r="M1741" s="1246">
        <f t="shared" si="66"/>
        <v>13200</v>
      </c>
      <c r="N1741" s="1275">
        <v>12</v>
      </c>
      <c r="O1741" s="1275">
        <v>8</v>
      </c>
      <c r="P1741" s="899">
        <f t="shared" si="67"/>
        <v>8800</v>
      </c>
    </row>
    <row r="1742" spans="1:16" ht="36" x14ac:dyDescent="0.2">
      <c r="A1742" s="916" t="s">
        <v>6518</v>
      </c>
      <c r="B1742" s="898" t="s">
        <v>4291</v>
      </c>
      <c r="C1742" s="916" t="s">
        <v>398</v>
      </c>
      <c r="D1742" s="898" t="s">
        <v>3112</v>
      </c>
      <c r="E1742" s="1144">
        <v>1100</v>
      </c>
      <c r="F1742" s="898" t="s">
        <v>6560</v>
      </c>
      <c r="G1742" s="1245" t="s">
        <v>6561</v>
      </c>
      <c r="H1742" s="1245" t="s">
        <v>6539</v>
      </c>
      <c r="I1742" s="1147" t="s">
        <v>3292</v>
      </c>
      <c r="J1742" s="943" t="s">
        <v>6540</v>
      </c>
      <c r="K1742" s="944">
        <v>12</v>
      </c>
      <c r="L1742" s="1275">
        <v>12</v>
      </c>
      <c r="M1742" s="1246">
        <f t="shared" si="66"/>
        <v>13200</v>
      </c>
      <c r="N1742" s="1275">
        <v>12</v>
      </c>
      <c r="O1742" s="1275">
        <v>8</v>
      </c>
      <c r="P1742" s="899">
        <f t="shared" si="67"/>
        <v>8800</v>
      </c>
    </row>
    <row r="1743" spans="1:16" ht="36" x14ac:dyDescent="0.2">
      <c r="A1743" s="916" t="s">
        <v>6518</v>
      </c>
      <c r="B1743" s="898" t="s">
        <v>4291</v>
      </c>
      <c r="C1743" s="916" t="s">
        <v>398</v>
      </c>
      <c r="D1743" s="898" t="s">
        <v>3112</v>
      </c>
      <c r="E1743" s="1144">
        <v>1100</v>
      </c>
      <c r="F1743" s="898" t="s">
        <v>6562</v>
      </c>
      <c r="G1743" s="1245" t="s">
        <v>6563</v>
      </c>
      <c r="H1743" s="1245" t="s">
        <v>6539</v>
      </c>
      <c r="I1743" s="1147" t="s">
        <v>3292</v>
      </c>
      <c r="J1743" s="943" t="s">
        <v>6540</v>
      </c>
      <c r="K1743" s="944">
        <v>12</v>
      </c>
      <c r="L1743" s="1275">
        <v>12</v>
      </c>
      <c r="M1743" s="1246">
        <f t="shared" si="66"/>
        <v>13200</v>
      </c>
      <c r="N1743" s="1275">
        <v>12</v>
      </c>
      <c r="O1743" s="1275">
        <v>8</v>
      </c>
      <c r="P1743" s="899">
        <f t="shared" si="67"/>
        <v>8800</v>
      </c>
    </row>
    <row r="1744" spans="1:16" ht="36" x14ac:dyDescent="0.2">
      <c r="A1744" s="916" t="s">
        <v>6518</v>
      </c>
      <c r="B1744" s="898" t="s">
        <v>4291</v>
      </c>
      <c r="C1744" s="916" t="s">
        <v>398</v>
      </c>
      <c r="D1744" s="898" t="s">
        <v>3112</v>
      </c>
      <c r="E1744" s="1144">
        <v>1100</v>
      </c>
      <c r="F1744" s="898" t="s">
        <v>6564</v>
      </c>
      <c r="G1744" s="1245" t="s">
        <v>6565</v>
      </c>
      <c r="H1744" s="1245" t="s">
        <v>4881</v>
      </c>
      <c r="I1744" s="1147" t="s">
        <v>3292</v>
      </c>
      <c r="J1744" s="943" t="s">
        <v>6540</v>
      </c>
      <c r="K1744" s="944">
        <v>12</v>
      </c>
      <c r="L1744" s="1275">
        <v>12</v>
      </c>
      <c r="M1744" s="1246">
        <f t="shared" si="66"/>
        <v>13200</v>
      </c>
      <c r="N1744" s="1275">
        <v>12</v>
      </c>
      <c r="O1744" s="1275">
        <v>8</v>
      </c>
      <c r="P1744" s="899">
        <f t="shared" si="67"/>
        <v>8800</v>
      </c>
    </row>
    <row r="1745" spans="1:16" ht="36" x14ac:dyDescent="0.2">
      <c r="A1745" s="916" t="s">
        <v>6518</v>
      </c>
      <c r="B1745" s="898" t="s">
        <v>4291</v>
      </c>
      <c r="C1745" s="916" t="s">
        <v>398</v>
      </c>
      <c r="D1745" s="898" t="s">
        <v>3112</v>
      </c>
      <c r="E1745" s="1144">
        <v>1100</v>
      </c>
      <c r="F1745" s="898" t="s">
        <v>6566</v>
      </c>
      <c r="G1745" s="1245" t="s">
        <v>6567</v>
      </c>
      <c r="H1745" s="1245" t="s">
        <v>6545</v>
      </c>
      <c r="I1745" s="1147" t="s">
        <v>3292</v>
      </c>
      <c r="J1745" s="943" t="s">
        <v>6540</v>
      </c>
      <c r="K1745" s="944">
        <v>12</v>
      </c>
      <c r="L1745" s="1275">
        <v>12</v>
      </c>
      <c r="M1745" s="1246">
        <f t="shared" si="66"/>
        <v>13200</v>
      </c>
      <c r="N1745" s="1275">
        <v>12</v>
      </c>
      <c r="O1745" s="1275">
        <v>8</v>
      </c>
      <c r="P1745" s="899">
        <f t="shared" si="67"/>
        <v>8800</v>
      </c>
    </row>
    <row r="1746" spans="1:16" ht="36" x14ac:dyDescent="0.2">
      <c r="A1746" s="916" t="s">
        <v>6518</v>
      </c>
      <c r="B1746" s="898" t="s">
        <v>4291</v>
      </c>
      <c r="C1746" s="916" t="s">
        <v>398</v>
      </c>
      <c r="D1746" s="898" t="s">
        <v>3112</v>
      </c>
      <c r="E1746" s="1144">
        <v>1100</v>
      </c>
      <c r="F1746" s="898" t="s">
        <v>6568</v>
      </c>
      <c r="G1746" s="1245" t="s">
        <v>6569</v>
      </c>
      <c r="H1746" s="1245" t="s">
        <v>6539</v>
      </c>
      <c r="I1746" s="1147" t="s">
        <v>3292</v>
      </c>
      <c r="J1746" s="943" t="s">
        <v>6540</v>
      </c>
      <c r="K1746" s="944">
        <v>12</v>
      </c>
      <c r="L1746" s="1275">
        <v>12</v>
      </c>
      <c r="M1746" s="1246">
        <f t="shared" si="66"/>
        <v>13200</v>
      </c>
      <c r="N1746" s="1275">
        <v>12</v>
      </c>
      <c r="O1746" s="1275">
        <v>8</v>
      </c>
      <c r="P1746" s="899">
        <f t="shared" si="67"/>
        <v>8800</v>
      </c>
    </row>
    <row r="1747" spans="1:16" ht="36" x14ac:dyDescent="0.2">
      <c r="A1747" s="916" t="s">
        <v>6518</v>
      </c>
      <c r="B1747" s="898" t="s">
        <v>4291</v>
      </c>
      <c r="C1747" s="916" t="s">
        <v>398</v>
      </c>
      <c r="D1747" s="898" t="s">
        <v>3112</v>
      </c>
      <c r="E1747" s="1144">
        <v>1100</v>
      </c>
      <c r="F1747" s="898" t="s">
        <v>6570</v>
      </c>
      <c r="G1747" s="1245" t="s">
        <v>6571</v>
      </c>
      <c r="H1747" s="1245" t="s">
        <v>6572</v>
      </c>
      <c r="I1747" s="1147" t="s">
        <v>3292</v>
      </c>
      <c r="J1747" s="943" t="s">
        <v>6540</v>
      </c>
      <c r="K1747" s="944">
        <v>12</v>
      </c>
      <c r="L1747" s="1275">
        <v>12</v>
      </c>
      <c r="M1747" s="1246">
        <f t="shared" si="66"/>
        <v>13200</v>
      </c>
      <c r="N1747" s="1275">
        <v>12</v>
      </c>
      <c r="O1747" s="1275">
        <v>8</v>
      </c>
      <c r="P1747" s="899">
        <f t="shared" si="67"/>
        <v>8800</v>
      </c>
    </row>
    <row r="1748" spans="1:16" ht="36" x14ac:dyDescent="0.2">
      <c r="A1748" s="916" t="s">
        <v>6518</v>
      </c>
      <c r="B1748" s="898" t="s">
        <v>4291</v>
      </c>
      <c r="C1748" s="916" t="s">
        <v>398</v>
      </c>
      <c r="D1748" s="898" t="s">
        <v>3112</v>
      </c>
      <c r="E1748" s="1144">
        <v>1100</v>
      </c>
      <c r="F1748" s="898" t="s">
        <v>6573</v>
      </c>
      <c r="G1748" s="1245" t="s">
        <v>6574</v>
      </c>
      <c r="H1748" s="1245" t="s">
        <v>4881</v>
      </c>
      <c r="I1748" s="1147" t="s">
        <v>3292</v>
      </c>
      <c r="J1748" s="943" t="s">
        <v>6540</v>
      </c>
      <c r="K1748" s="944">
        <v>12</v>
      </c>
      <c r="L1748" s="1275">
        <v>12</v>
      </c>
      <c r="M1748" s="1246">
        <f t="shared" si="66"/>
        <v>13200</v>
      </c>
      <c r="N1748" s="1275">
        <v>12</v>
      </c>
      <c r="O1748" s="1275">
        <v>8</v>
      </c>
      <c r="P1748" s="899">
        <f t="shared" si="67"/>
        <v>8800</v>
      </c>
    </row>
    <row r="1749" spans="1:16" ht="36" x14ac:dyDescent="0.2">
      <c r="A1749" s="916" t="s">
        <v>6518</v>
      </c>
      <c r="B1749" s="898" t="s">
        <v>4291</v>
      </c>
      <c r="C1749" s="916" t="s">
        <v>398</v>
      </c>
      <c r="D1749" s="898" t="s">
        <v>3112</v>
      </c>
      <c r="E1749" s="1144">
        <v>1100</v>
      </c>
      <c r="F1749" s="898" t="s">
        <v>6575</v>
      </c>
      <c r="G1749" s="1245" t="s">
        <v>6576</v>
      </c>
      <c r="H1749" s="1245" t="s">
        <v>6539</v>
      </c>
      <c r="I1749" s="1147" t="s">
        <v>3292</v>
      </c>
      <c r="J1749" s="943" t="s">
        <v>6540</v>
      </c>
      <c r="K1749" s="944">
        <v>12</v>
      </c>
      <c r="L1749" s="1275">
        <v>12</v>
      </c>
      <c r="M1749" s="1246">
        <f t="shared" si="66"/>
        <v>13200</v>
      </c>
      <c r="N1749" s="1275">
        <v>12</v>
      </c>
      <c r="O1749" s="1275">
        <v>8</v>
      </c>
      <c r="P1749" s="899">
        <f t="shared" si="67"/>
        <v>8800</v>
      </c>
    </row>
    <row r="1750" spans="1:16" ht="36" x14ac:dyDescent="0.2">
      <c r="A1750" s="916" t="s">
        <v>6518</v>
      </c>
      <c r="B1750" s="898" t="s">
        <v>4291</v>
      </c>
      <c r="C1750" s="916" t="s">
        <v>398</v>
      </c>
      <c r="D1750" s="898" t="s">
        <v>3112</v>
      </c>
      <c r="E1750" s="1144">
        <v>1100</v>
      </c>
      <c r="F1750" s="898" t="s">
        <v>6577</v>
      </c>
      <c r="G1750" s="1245" t="s">
        <v>6578</v>
      </c>
      <c r="H1750" s="1245" t="s">
        <v>6539</v>
      </c>
      <c r="I1750" s="1147" t="s">
        <v>3292</v>
      </c>
      <c r="J1750" s="943" t="s">
        <v>6540</v>
      </c>
      <c r="K1750" s="944">
        <v>12</v>
      </c>
      <c r="L1750" s="1275">
        <v>12</v>
      </c>
      <c r="M1750" s="1246">
        <f t="shared" si="66"/>
        <v>13200</v>
      </c>
      <c r="N1750" s="1275">
        <v>12</v>
      </c>
      <c r="O1750" s="1275">
        <v>8</v>
      </c>
      <c r="P1750" s="899">
        <f t="shared" si="67"/>
        <v>8800</v>
      </c>
    </row>
    <row r="1751" spans="1:16" ht="36" x14ac:dyDescent="0.2">
      <c r="A1751" s="916" t="s">
        <v>6518</v>
      </c>
      <c r="B1751" s="898" t="s">
        <v>4291</v>
      </c>
      <c r="C1751" s="916" t="s">
        <v>398</v>
      </c>
      <c r="D1751" s="898" t="s">
        <v>3112</v>
      </c>
      <c r="E1751" s="1144">
        <v>1100</v>
      </c>
      <c r="F1751" s="898" t="s">
        <v>6579</v>
      </c>
      <c r="G1751" s="1245" t="s">
        <v>6580</v>
      </c>
      <c r="H1751" s="1245" t="s">
        <v>6539</v>
      </c>
      <c r="I1751" s="1147" t="s">
        <v>3292</v>
      </c>
      <c r="J1751" s="943" t="s">
        <v>6540</v>
      </c>
      <c r="K1751" s="944">
        <v>12</v>
      </c>
      <c r="L1751" s="1275">
        <v>12</v>
      </c>
      <c r="M1751" s="1246">
        <f t="shared" si="66"/>
        <v>13200</v>
      </c>
      <c r="N1751" s="1275">
        <v>12</v>
      </c>
      <c r="O1751" s="1275">
        <v>8</v>
      </c>
      <c r="P1751" s="899">
        <f t="shared" si="67"/>
        <v>8800</v>
      </c>
    </row>
    <row r="1752" spans="1:16" ht="36" x14ac:dyDescent="0.2">
      <c r="A1752" s="916" t="s">
        <v>6518</v>
      </c>
      <c r="B1752" s="898" t="s">
        <v>4291</v>
      </c>
      <c r="C1752" s="916" t="s">
        <v>398</v>
      </c>
      <c r="D1752" s="898" t="s">
        <v>3112</v>
      </c>
      <c r="E1752" s="1144">
        <v>1100</v>
      </c>
      <c r="F1752" s="898" t="s">
        <v>6581</v>
      </c>
      <c r="G1752" s="1245" t="s">
        <v>6582</v>
      </c>
      <c r="H1752" s="1245" t="s">
        <v>6583</v>
      </c>
      <c r="I1752" s="1147" t="s">
        <v>3292</v>
      </c>
      <c r="J1752" s="943" t="s">
        <v>6540</v>
      </c>
      <c r="K1752" s="944">
        <v>12</v>
      </c>
      <c r="L1752" s="1275">
        <v>12</v>
      </c>
      <c r="M1752" s="1246">
        <f t="shared" si="66"/>
        <v>13200</v>
      </c>
      <c r="N1752" s="1275">
        <v>12</v>
      </c>
      <c r="O1752" s="1275">
        <v>8</v>
      </c>
      <c r="P1752" s="899">
        <f t="shared" si="67"/>
        <v>8800</v>
      </c>
    </row>
    <row r="1753" spans="1:16" ht="36" x14ac:dyDescent="0.2">
      <c r="A1753" s="916" t="s">
        <v>6518</v>
      </c>
      <c r="B1753" s="898" t="s">
        <v>4291</v>
      </c>
      <c r="C1753" s="916" t="s">
        <v>398</v>
      </c>
      <c r="D1753" s="898" t="s">
        <v>3112</v>
      </c>
      <c r="E1753" s="1144">
        <v>1100</v>
      </c>
      <c r="F1753" s="898" t="s">
        <v>6584</v>
      </c>
      <c r="G1753" s="1245" t="s">
        <v>6585</v>
      </c>
      <c r="H1753" s="1245" t="s">
        <v>3134</v>
      </c>
      <c r="I1753" s="1147" t="s">
        <v>3292</v>
      </c>
      <c r="J1753" s="943" t="s">
        <v>6540</v>
      </c>
      <c r="K1753" s="944">
        <v>12</v>
      </c>
      <c r="L1753" s="1275">
        <v>12</v>
      </c>
      <c r="M1753" s="1246">
        <f t="shared" si="66"/>
        <v>13200</v>
      </c>
      <c r="N1753" s="1275">
        <v>12</v>
      </c>
      <c r="O1753" s="1275">
        <v>8</v>
      </c>
      <c r="P1753" s="899">
        <f t="shared" si="67"/>
        <v>8800</v>
      </c>
    </row>
    <row r="1754" spans="1:16" ht="36" x14ac:dyDescent="0.2">
      <c r="A1754" s="916" t="s">
        <v>6518</v>
      </c>
      <c r="B1754" s="898" t="s">
        <v>4291</v>
      </c>
      <c r="C1754" s="916" t="s">
        <v>398</v>
      </c>
      <c r="D1754" s="898" t="s">
        <v>3112</v>
      </c>
      <c r="E1754" s="1144">
        <v>1100</v>
      </c>
      <c r="F1754" s="898" t="s">
        <v>6586</v>
      </c>
      <c r="G1754" s="1245" t="s">
        <v>6587</v>
      </c>
      <c r="H1754" s="1245" t="s">
        <v>6539</v>
      </c>
      <c r="I1754" s="1147" t="s">
        <v>3292</v>
      </c>
      <c r="J1754" s="943" t="s">
        <v>6540</v>
      </c>
      <c r="K1754" s="944">
        <v>12</v>
      </c>
      <c r="L1754" s="1275">
        <v>12</v>
      </c>
      <c r="M1754" s="1246">
        <f t="shared" si="66"/>
        <v>13200</v>
      </c>
      <c r="N1754" s="1275">
        <v>12</v>
      </c>
      <c r="O1754" s="1275">
        <v>8</v>
      </c>
      <c r="P1754" s="899">
        <f t="shared" si="67"/>
        <v>8800</v>
      </c>
    </row>
    <row r="1755" spans="1:16" ht="36" x14ac:dyDescent="0.2">
      <c r="A1755" s="916" t="s">
        <v>6518</v>
      </c>
      <c r="B1755" s="898" t="s">
        <v>4291</v>
      </c>
      <c r="C1755" s="916" t="s">
        <v>398</v>
      </c>
      <c r="D1755" s="898" t="s">
        <v>3112</v>
      </c>
      <c r="E1755" s="1144">
        <v>1100</v>
      </c>
      <c r="F1755" s="898" t="s">
        <v>6588</v>
      </c>
      <c r="G1755" s="1245" t="s">
        <v>6589</v>
      </c>
      <c r="H1755" s="1245" t="s">
        <v>6539</v>
      </c>
      <c r="I1755" s="1147" t="s">
        <v>3292</v>
      </c>
      <c r="J1755" s="943" t="s">
        <v>6540</v>
      </c>
      <c r="K1755" s="944">
        <v>12</v>
      </c>
      <c r="L1755" s="1275">
        <v>12</v>
      </c>
      <c r="M1755" s="1246">
        <f t="shared" si="66"/>
        <v>13200</v>
      </c>
      <c r="N1755" s="1275">
        <v>12</v>
      </c>
      <c r="O1755" s="1275">
        <v>8</v>
      </c>
      <c r="P1755" s="899">
        <f t="shared" si="67"/>
        <v>8800</v>
      </c>
    </row>
    <row r="1756" spans="1:16" ht="36" x14ac:dyDescent="0.2">
      <c r="A1756" s="916" t="s">
        <v>6518</v>
      </c>
      <c r="B1756" s="898" t="s">
        <v>4291</v>
      </c>
      <c r="C1756" s="916" t="s">
        <v>398</v>
      </c>
      <c r="D1756" s="898" t="s">
        <v>3112</v>
      </c>
      <c r="E1756" s="1144">
        <v>1100</v>
      </c>
      <c r="F1756" s="898" t="s">
        <v>6590</v>
      </c>
      <c r="G1756" s="1245" t="s">
        <v>6591</v>
      </c>
      <c r="H1756" s="1245" t="s">
        <v>3650</v>
      </c>
      <c r="I1756" s="1147" t="s">
        <v>3292</v>
      </c>
      <c r="J1756" s="943" t="s">
        <v>6540</v>
      </c>
      <c r="K1756" s="944">
        <v>12</v>
      </c>
      <c r="L1756" s="1275">
        <v>12</v>
      </c>
      <c r="M1756" s="1246">
        <f t="shared" si="66"/>
        <v>13200</v>
      </c>
      <c r="N1756" s="1275">
        <v>12</v>
      </c>
      <c r="O1756" s="1275">
        <v>8</v>
      </c>
      <c r="P1756" s="899">
        <f t="shared" si="67"/>
        <v>8800</v>
      </c>
    </row>
    <row r="1757" spans="1:16" ht="36" x14ac:dyDescent="0.2">
      <c r="A1757" s="916" t="s">
        <v>6518</v>
      </c>
      <c r="B1757" s="898" t="s">
        <v>4291</v>
      </c>
      <c r="C1757" s="916" t="s">
        <v>398</v>
      </c>
      <c r="D1757" s="898" t="s">
        <v>3112</v>
      </c>
      <c r="E1757" s="1144">
        <v>1100</v>
      </c>
      <c r="F1757" s="898" t="s">
        <v>6592</v>
      </c>
      <c r="G1757" s="1245" t="s">
        <v>6593</v>
      </c>
      <c r="H1757" s="1245" t="s">
        <v>3650</v>
      </c>
      <c r="I1757" s="1147" t="s">
        <v>3292</v>
      </c>
      <c r="J1757" s="943" t="s">
        <v>6540</v>
      </c>
      <c r="K1757" s="944">
        <v>12</v>
      </c>
      <c r="L1757" s="1275">
        <v>12</v>
      </c>
      <c r="M1757" s="1246">
        <f t="shared" si="66"/>
        <v>13200</v>
      </c>
      <c r="N1757" s="1275">
        <v>12</v>
      </c>
      <c r="O1757" s="1275">
        <v>8</v>
      </c>
      <c r="P1757" s="899">
        <f t="shared" si="67"/>
        <v>8800</v>
      </c>
    </row>
    <row r="1758" spans="1:16" ht="36" x14ac:dyDescent="0.2">
      <c r="A1758" s="916" t="s">
        <v>6518</v>
      </c>
      <c r="B1758" s="898" t="s">
        <v>4291</v>
      </c>
      <c r="C1758" s="916" t="s">
        <v>398</v>
      </c>
      <c r="D1758" s="898" t="s">
        <v>3112</v>
      </c>
      <c r="E1758" s="1144">
        <v>1100</v>
      </c>
      <c r="F1758" s="898" t="s">
        <v>6594</v>
      </c>
      <c r="G1758" s="1245" t="s">
        <v>6595</v>
      </c>
      <c r="H1758" s="1245" t="s">
        <v>3650</v>
      </c>
      <c r="I1758" s="1147" t="s">
        <v>3292</v>
      </c>
      <c r="J1758" s="943" t="s">
        <v>6540</v>
      </c>
      <c r="K1758" s="944">
        <v>12</v>
      </c>
      <c r="L1758" s="1275">
        <v>12</v>
      </c>
      <c r="M1758" s="1246">
        <f t="shared" si="66"/>
        <v>13200</v>
      </c>
      <c r="N1758" s="1275">
        <v>12</v>
      </c>
      <c r="O1758" s="1275">
        <v>8</v>
      </c>
      <c r="P1758" s="899">
        <f t="shared" si="67"/>
        <v>8800</v>
      </c>
    </row>
    <row r="1759" spans="1:16" ht="36" x14ac:dyDescent="0.2">
      <c r="A1759" s="916" t="s">
        <v>6518</v>
      </c>
      <c r="B1759" s="898" t="s">
        <v>4291</v>
      </c>
      <c r="C1759" s="916" t="s">
        <v>398</v>
      </c>
      <c r="D1759" s="898" t="s">
        <v>3112</v>
      </c>
      <c r="E1759" s="1144">
        <v>1100</v>
      </c>
      <c r="F1759" s="898" t="s">
        <v>6596</v>
      </c>
      <c r="G1759" s="1245" t="s">
        <v>6597</v>
      </c>
      <c r="H1759" s="1245" t="s">
        <v>3650</v>
      </c>
      <c r="I1759" s="1147" t="s">
        <v>3292</v>
      </c>
      <c r="J1759" s="943" t="s">
        <v>6540</v>
      </c>
      <c r="K1759" s="944">
        <v>12</v>
      </c>
      <c r="L1759" s="1275">
        <v>12</v>
      </c>
      <c r="M1759" s="1246">
        <f t="shared" si="66"/>
        <v>13200</v>
      </c>
      <c r="N1759" s="1275">
        <v>12</v>
      </c>
      <c r="O1759" s="1275">
        <v>8</v>
      </c>
      <c r="P1759" s="899">
        <f t="shared" si="67"/>
        <v>8800</v>
      </c>
    </row>
    <row r="1760" spans="1:16" ht="36" x14ac:dyDescent="0.2">
      <c r="A1760" s="916" t="s">
        <v>6518</v>
      </c>
      <c r="B1760" s="898" t="s">
        <v>4291</v>
      </c>
      <c r="C1760" s="916" t="s">
        <v>398</v>
      </c>
      <c r="D1760" s="898" t="s">
        <v>3112</v>
      </c>
      <c r="E1760" s="1144">
        <v>1400</v>
      </c>
      <c r="F1760" s="898" t="s">
        <v>6598</v>
      </c>
      <c r="G1760" s="1245" t="s">
        <v>6599</v>
      </c>
      <c r="H1760" s="1245" t="s">
        <v>3650</v>
      </c>
      <c r="I1760" s="1147" t="s">
        <v>3292</v>
      </c>
      <c r="J1760" s="943" t="s">
        <v>6540</v>
      </c>
      <c r="K1760" s="944">
        <v>12</v>
      </c>
      <c r="L1760" s="1275">
        <v>12</v>
      </c>
      <c r="M1760" s="1246">
        <f t="shared" si="66"/>
        <v>16800</v>
      </c>
      <c r="N1760" s="1275">
        <v>12</v>
      </c>
      <c r="O1760" s="1275">
        <v>8</v>
      </c>
      <c r="P1760" s="899">
        <f t="shared" si="67"/>
        <v>11200</v>
      </c>
    </row>
    <row r="1761" spans="1:16" ht="36" x14ac:dyDescent="0.2">
      <c r="A1761" s="916" t="s">
        <v>6518</v>
      </c>
      <c r="B1761" s="898" t="s">
        <v>4291</v>
      </c>
      <c r="C1761" s="916" t="s">
        <v>398</v>
      </c>
      <c r="D1761" s="898" t="s">
        <v>3100</v>
      </c>
      <c r="E1761" s="1144">
        <v>1100</v>
      </c>
      <c r="F1761" s="898" t="s">
        <v>6600</v>
      </c>
      <c r="G1761" s="1245" t="s">
        <v>6601</v>
      </c>
      <c r="H1761" s="1245" t="s">
        <v>6602</v>
      </c>
      <c r="I1761" s="1147" t="s">
        <v>3292</v>
      </c>
      <c r="J1761" s="943" t="s">
        <v>6540</v>
      </c>
      <c r="K1761" s="944">
        <v>12</v>
      </c>
      <c r="L1761" s="1275">
        <v>12</v>
      </c>
      <c r="M1761" s="1246">
        <f t="shared" si="66"/>
        <v>13200</v>
      </c>
      <c r="N1761" s="1275">
        <v>12</v>
      </c>
      <c r="O1761" s="1275">
        <v>8</v>
      </c>
      <c r="P1761" s="899">
        <f t="shared" si="67"/>
        <v>8800</v>
      </c>
    </row>
    <row r="1762" spans="1:16" ht="36" x14ac:dyDescent="0.2">
      <c r="A1762" s="916" t="s">
        <v>6518</v>
      </c>
      <c r="B1762" s="898" t="s">
        <v>4291</v>
      </c>
      <c r="C1762" s="916" t="s">
        <v>398</v>
      </c>
      <c r="D1762" s="898" t="s">
        <v>3100</v>
      </c>
      <c r="E1762" s="1144">
        <v>1100</v>
      </c>
      <c r="F1762" s="898" t="s">
        <v>6603</v>
      </c>
      <c r="G1762" s="1245" t="s">
        <v>6604</v>
      </c>
      <c r="H1762" s="1245" t="s">
        <v>3134</v>
      </c>
      <c r="I1762" s="1147" t="s">
        <v>3292</v>
      </c>
      <c r="J1762" s="943" t="s">
        <v>6540</v>
      </c>
      <c r="K1762" s="944">
        <v>12</v>
      </c>
      <c r="L1762" s="1275">
        <v>12</v>
      </c>
      <c r="M1762" s="1246">
        <f t="shared" si="66"/>
        <v>13200</v>
      </c>
      <c r="N1762" s="1275">
        <v>12</v>
      </c>
      <c r="O1762" s="1275">
        <v>8</v>
      </c>
      <c r="P1762" s="899">
        <f t="shared" si="67"/>
        <v>8800</v>
      </c>
    </row>
    <row r="1763" spans="1:16" ht="36" x14ac:dyDescent="0.2">
      <c r="A1763" s="916" t="s">
        <v>6518</v>
      </c>
      <c r="B1763" s="898" t="s">
        <v>4291</v>
      </c>
      <c r="C1763" s="916" t="s">
        <v>398</v>
      </c>
      <c r="D1763" s="898" t="s">
        <v>6605</v>
      </c>
      <c r="E1763" s="1144">
        <v>1100</v>
      </c>
      <c r="F1763" s="898" t="s">
        <v>6606</v>
      </c>
      <c r="G1763" s="1245" t="s">
        <v>6607</v>
      </c>
      <c r="H1763" s="1245" t="s">
        <v>6539</v>
      </c>
      <c r="I1763" s="1147" t="s">
        <v>3292</v>
      </c>
      <c r="J1763" s="943" t="s">
        <v>6540</v>
      </c>
      <c r="K1763" s="944">
        <v>12</v>
      </c>
      <c r="L1763" s="1275">
        <v>12</v>
      </c>
      <c r="M1763" s="1246">
        <f t="shared" si="66"/>
        <v>13200</v>
      </c>
      <c r="N1763" s="1275">
        <v>12</v>
      </c>
      <c r="O1763" s="1275">
        <v>8</v>
      </c>
      <c r="P1763" s="899">
        <f t="shared" si="67"/>
        <v>8800</v>
      </c>
    </row>
    <row r="1764" spans="1:16" ht="36" x14ac:dyDescent="0.2">
      <c r="A1764" s="916" t="s">
        <v>6518</v>
      </c>
      <c r="B1764" s="898" t="s">
        <v>4291</v>
      </c>
      <c r="C1764" s="916" t="s">
        <v>398</v>
      </c>
      <c r="D1764" s="898" t="s">
        <v>4801</v>
      </c>
      <c r="E1764" s="1144">
        <v>1100</v>
      </c>
      <c r="F1764" s="898" t="s">
        <v>6608</v>
      </c>
      <c r="G1764" s="1245" t="s">
        <v>6609</v>
      </c>
      <c r="H1764" s="1245"/>
      <c r="I1764" s="1147"/>
      <c r="J1764" s="943" t="s">
        <v>3615</v>
      </c>
      <c r="K1764" s="944">
        <v>12</v>
      </c>
      <c r="L1764" s="1275">
        <v>12</v>
      </c>
      <c r="M1764" s="1246">
        <f t="shared" si="66"/>
        <v>13200</v>
      </c>
      <c r="N1764" s="1275">
        <v>12</v>
      </c>
      <c r="O1764" s="1275">
        <v>8</v>
      </c>
      <c r="P1764" s="899">
        <f t="shared" si="67"/>
        <v>8800</v>
      </c>
    </row>
    <row r="1765" spans="1:16" ht="36" x14ac:dyDescent="0.2">
      <c r="A1765" s="916" t="s">
        <v>6518</v>
      </c>
      <c r="B1765" s="898" t="s">
        <v>4291</v>
      </c>
      <c r="C1765" s="916" t="s">
        <v>398</v>
      </c>
      <c r="D1765" s="898" t="s">
        <v>3134</v>
      </c>
      <c r="E1765" s="1144">
        <v>1100</v>
      </c>
      <c r="F1765" s="898" t="s">
        <v>6610</v>
      </c>
      <c r="G1765" s="1245" t="s">
        <v>6611</v>
      </c>
      <c r="H1765" s="1245" t="s">
        <v>3134</v>
      </c>
      <c r="I1765" s="1147" t="s">
        <v>3292</v>
      </c>
      <c r="J1765" s="943" t="s">
        <v>6540</v>
      </c>
      <c r="K1765" s="944">
        <v>12</v>
      </c>
      <c r="L1765" s="1275">
        <v>12</v>
      </c>
      <c r="M1765" s="1246">
        <f t="shared" si="66"/>
        <v>13200</v>
      </c>
      <c r="N1765" s="1275">
        <v>12</v>
      </c>
      <c r="O1765" s="1275">
        <v>8</v>
      </c>
      <c r="P1765" s="899">
        <f t="shared" si="67"/>
        <v>8800</v>
      </c>
    </row>
    <row r="1766" spans="1:16" ht="36" x14ac:dyDescent="0.2">
      <c r="A1766" s="916" t="s">
        <v>6518</v>
      </c>
      <c r="B1766" s="898" t="s">
        <v>4291</v>
      </c>
      <c r="C1766" s="916" t="s">
        <v>398</v>
      </c>
      <c r="D1766" s="898" t="s">
        <v>3134</v>
      </c>
      <c r="E1766" s="1144">
        <v>1100</v>
      </c>
      <c r="F1766" s="898" t="s">
        <v>6612</v>
      </c>
      <c r="G1766" s="1245" t="s">
        <v>6613</v>
      </c>
      <c r="H1766" s="1245" t="s">
        <v>3134</v>
      </c>
      <c r="I1766" s="1147" t="s">
        <v>3292</v>
      </c>
      <c r="J1766" s="943" t="s">
        <v>6540</v>
      </c>
      <c r="K1766" s="944">
        <v>12</v>
      </c>
      <c r="L1766" s="1275">
        <v>12</v>
      </c>
      <c r="M1766" s="1246">
        <f t="shared" si="66"/>
        <v>13200</v>
      </c>
      <c r="N1766" s="1275">
        <v>12</v>
      </c>
      <c r="O1766" s="1275">
        <v>8</v>
      </c>
      <c r="P1766" s="899">
        <f t="shared" si="67"/>
        <v>8800</v>
      </c>
    </row>
    <row r="1767" spans="1:16" ht="36" x14ac:dyDescent="0.2">
      <c r="A1767" s="916" t="s">
        <v>6518</v>
      </c>
      <c r="B1767" s="898" t="s">
        <v>4291</v>
      </c>
      <c r="C1767" s="916" t="s">
        <v>398</v>
      </c>
      <c r="D1767" s="898" t="s">
        <v>3134</v>
      </c>
      <c r="E1767" s="1144">
        <v>1100</v>
      </c>
      <c r="F1767" s="898" t="s">
        <v>6614</v>
      </c>
      <c r="G1767" s="1245" t="s">
        <v>6615</v>
      </c>
      <c r="H1767" s="1245" t="s">
        <v>3134</v>
      </c>
      <c r="I1767" s="1147" t="s">
        <v>3292</v>
      </c>
      <c r="J1767" s="943" t="s">
        <v>6540</v>
      </c>
      <c r="K1767" s="944">
        <v>12</v>
      </c>
      <c r="L1767" s="1275">
        <v>12</v>
      </c>
      <c r="M1767" s="1246">
        <f t="shared" si="66"/>
        <v>13200</v>
      </c>
      <c r="N1767" s="1275">
        <v>12</v>
      </c>
      <c r="O1767" s="1275">
        <v>8</v>
      </c>
      <c r="P1767" s="899">
        <f t="shared" si="67"/>
        <v>8800</v>
      </c>
    </row>
    <row r="1768" spans="1:16" ht="36" x14ac:dyDescent="0.2">
      <c r="A1768" s="916" t="s">
        <v>6518</v>
      </c>
      <c r="B1768" s="898" t="s">
        <v>4291</v>
      </c>
      <c r="C1768" s="916" t="s">
        <v>398</v>
      </c>
      <c r="D1768" s="898" t="s">
        <v>3134</v>
      </c>
      <c r="E1768" s="1144">
        <v>1100</v>
      </c>
      <c r="F1768" s="898" t="s">
        <v>6616</v>
      </c>
      <c r="G1768" s="1245" t="s">
        <v>6617</v>
      </c>
      <c r="H1768" s="1245" t="s">
        <v>3134</v>
      </c>
      <c r="I1768" s="1147" t="s">
        <v>3292</v>
      </c>
      <c r="J1768" s="943" t="s">
        <v>6540</v>
      </c>
      <c r="K1768" s="944">
        <v>12</v>
      </c>
      <c r="L1768" s="1275">
        <v>12</v>
      </c>
      <c r="M1768" s="1246">
        <f t="shared" si="66"/>
        <v>13200</v>
      </c>
      <c r="N1768" s="1275">
        <v>12</v>
      </c>
      <c r="O1768" s="1275">
        <v>8</v>
      </c>
      <c r="P1768" s="899">
        <f t="shared" si="67"/>
        <v>8800</v>
      </c>
    </row>
    <row r="1769" spans="1:16" ht="36" x14ac:dyDescent="0.2">
      <c r="A1769" s="916" t="s">
        <v>6518</v>
      </c>
      <c r="B1769" s="898" t="s">
        <v>4291</v>
      </c>
      <c r="C1769" s="916" t="s">
        <v>398</v>
      </c>
      <c r="D1769" s="898" t="s">
        <v>3134</v>
      </c>
      <c r="E1769" s="1144">
        <v>1100</v>
      </c>
      <c r="F1769" s="898" t="s">
        <v>6618</v>
      </c>
      <c r="G1769" s="1245" t="s">
        <v>6619</v>
      </c>
      <c r="H1769" s="1245" t="s">
        <v>3134</v>
      </c>
      <c r="I1769" s="1147" t="s">
        <v>3292</v>
      </c>
      <c r="J1769" s="943" t="s">
        <v>6540</v>
      </c>
      <c r="K1769" s="944">
        <v>12</v>
      </c>
      <c r="L1769" s="1275">
        <v>12</v>
      </c>
      <c r="M1769" s="1246">
        <f t="shared" si="66"/>
        <v>13200</v>
      </c>
      <c r="N1769" s="1275">
        <v>12</v>
      </c>
      <c r="O1769" s="1275">
        <v>8</v>
      </c>
      <c r="P1769" s="899">
        <f t="shared" si="67"/>
        <v>8800</v>
      </c>
    </row>
    <row r="1770" spans="1:16" ht="36" x14ac:dyDescent="0.2">
      <c r="A1770" s="916" t="s">
        <v>6518</v>
      </c>
      <c r="B1770" s="898" t="s">
        <v>4291</v>
      </c>
      <c r="C1770" s="916" t="s">
        <v>398</v>
      </c>
      <c r="D1770" s="898" t="s">
        <v>3134</v>
      </c>
      <c r="E1770" s="1144">
        <v>1100</v>
      </c>
      <c r="F1770" s="898" t="s">
        <v>6620</v>
      </c>
      <c r="G1770" s="1245" t="s">
        <v>6621</v>
      </c>
      <c r="H1770" s="1245" t="s">
        <v>3134</v>
      </c>
      <c r="I1770" s="1147" t="s">
        <v>3292</v>
      </c>
      <c r="J1770" s="943" t="s">
        <v>6540</v>
      </c>
      <c r="K1770" s="944">
        <v>12</v>
      </c>
      <c r="L1770" s="1275">
        <v>12</v>
      </c>
      <c r="M1770" s="1246">
        <f t="shared" si="66"/>
        <v>13200</v>
      </c>
      <c r="N1770" s="1275">
        <v>12</v>
      </c>
      <c r="O1770" s="1275">
        <v>8</v>
      </c>
      <c r="P1770" s="899">
        <f t="shared" si="67"/>
        <v>8800</v>
      </c>
    </row>
    <row r="1771" spans="1:16" ht="36" x14ac:dyDescent="0.2">
      <c r="A1771" s="916" t="s">
        <v>6518</v>
      </c>
      <c r="B1771" s="898" t="s">
        <v>4291</v>
      </c>
      <c r="C1771" s="916" t="s">
        <v>398</v>
      </c>
      <c r="D1771" s="898" t="s">
        <v>3134</v>
      </c>
      <c r="E1771" s="1144">
        <v>1100</v>
      </c>
      <c r="F1771" s="898" t="s">
        <v>6622</v>
      </c>
      <c r="G1771" s="1245" t="s">
        <v>6623</v>
      </c>
      <c r="H1771" s="1245" t="s">
        <v>3134</v>
      </c>
      <c r="I1771" s="1147" t="s">
        <v>3292</v>
      </c>
      <c r="J1771" s="943" t="s">
        <v>6540</v>
      </c>
      <c r="K1771" s="944">
        <v>12</v>
      </c>
      <c r="L1771" s="1275">
        <v>12</v>
      </c>
      <c r="M1771" s="1246">
        <f t="shared" si="66"/>
        <v>13200</v>
      </c>
      <c r="N1771" s="1275">
        <v>12</v>
      </c>
      <c r="O1771" s="1275">
        <v>8</v>
      </c>
      <c r="P1771" s="899">
        <f t="shared" si="67"/>
        <v>8800</v>
      </c>
    </row>
    <row r="1772" spans="1:16" ht="36" x14ac:dyDescent="0.2">
      <c r="A1772" s="916" t="s">
        <v>6518</v>
      </c>
      <c r="B1772" s="898" t="s">
        <v>4291</v>
      </c>
      <c r="C1772" s="916" t="s">
        <v>398</v>
      </c>
      <c r="D1772" s="898" t="s">
        <v>3134</v>
      </c>
      <c r="E1772" s="1144">
        <v>1100</v>
      </c>
      <c r="F1772" s="898" t="s">
        <v>6624</v>
      </c>
      <c r="G1772" s="1245" t="s">
        <v>6625</v>
      </c>
      <c r="H1772" s="1245" t="s">
        <v>3134</v>
      </c>
      <c r="I1772" s="1147" t="s">
        <v>3292</v>
      </c>
      <c r="J1772" s="943" t="s">
        <v>6540</v>
      </c>
      <c r="K1772" s="944">
        <v>12</v>
      </c>
      <c r="L1772" s="1275">
        <v>12</v>
      </c>
      <c r="M1772" s="1246">
        <f t="shared" si="66"/>
        <v>13200</v>
      </c>
      <c r="N1772" s="1275">
        <v>12</v>
      </c>
      <c r="O1772" s="1275">
        <v>8</v>
      </c>
      <c r="P1772" s="899">
        <f t="shared" si="67"/>
        <v>8800</v>
      </c>
    </row>
    <row r="1773" spans="1:16" ht="36" x14ac:dyDescent="0.2">
      <c r="A1773" s="916" t="s">
        <v>6518</v>
      </c>
      <c r="B1773" s="898" t="s">
        <v>4291</v>
      </c>
      <c r="C1773" s="916" t="s">
        <v>398</v>
      </c>
      <c r="D1773" s="898" t="s">
        <v>3134</v>
      </c>
      <c r="E1773" s="1144">
        <v>1100</v>
      </c>
      <c r="F1773" s="898" t="s">
        <v>6626</v>
      </c>
      <c r="G1773" s="1245" t="s">
        <v>6627</v>
      </c>
      <c r="H1773" s="1245" t="s">
        <v>3134</v>
      </c>
      <c r="I1773" s="1147" t="s">
        <v>3292</v>
      </c>
      <c r="J1773" s="943" t="s">
        <v>6540</v>
      </c>
      <c r="K1773" s="944">
        <v>12</v>
      </c>
      <c r="L1773" s="1275">
        <v>12</v>
      </c>
      <c r="M1773" s="1246">
        <f t="shared" si="66"/>
        <v>13200</v>
      </c>
      <c r="N1773" s="1275">
        <v>12</v>
      </c>
      <c r="O1773" s="1275">
        <v>8</v>
      </c>
      <c r="P1773" s="899">
        <f t="shared" si="67"/>
        <v>8800</v>
      </c>
    </row>
    <row r="1774" spans="1:16" ht="36" x14ac:dyDescent="0.2">
      <c r="A1774" s="916" t="s">
        <v>6518</v>
      </c>
      <c r="B1774" s="898" t="s">
        <v>4291</v>
      </c>
      <c r="C1774" s="916" t="s">
        <v>398</v>
      </c>
      <c r="D1774" s="898" t="s">
        <v>5109</v>
      </c>
      <c r="E1774" s="1144">
        <v>1100</v>
      </c>
      <c r="F1774" s="898" t="s">
        <v>6628</v>
      </c>
      <c r="G1774" s="1245" t="s">
        <v>6629</v>
      </c>
      <c r="H1774" s="898" t="s">
        <v>5109</v>
      </c>
      <c r="I1774" s="1147" t="s">
        <v>3292</v>
      </c>
      <c r="J1774" s="943" t="s">
        <v>6540</v>
      </c>
      <c r="K1774" s="944">
        <v>12</v>
      </c>
      <c r="L1774" s="1275">
        <v>12</v>
      </c>
      <c r="M1774" s="1246">
        <f t="shared" si="66"/>
        <v>13200</v>
      </c>
      <c r="N1774" s="1275">
        <v>12</v>
      </c>
      <c r="O1774" s="1275">
        <v>8</v>
      </c>
      <c r="P1774" s="899">
        <f t="shared" si="67"/>
        <v>8800</v>
      </c>
    </row>
    <row r="1775" spans="1:16" ht="36" x14ac:dyDescent="0.2">
      <c r="A1775" s="916" t="s">
        <v>6518</v>
      </c>
      <c r="B1775" s="898" t="s">
        <v>4291</v>
      </c>
      <c r="C1775" s="916" t="s">
        <v>398</v>
      </c>
      <c r="D1775" s="898" t="s">
        <v>5109</v>
      </c>
      <c r="E1775" s="1144">
        <v>1100</v>
      </c>
      <c r="F1775" s="898" t="s">
        <v>6630</v>
      </c>
      <c r="G1775" s="1245" t="s">
        <v>6631</v>
      </c>
      <c r="H1775" s="898" t="s">
        <v>5109</v>
      </c>
      <c r="I1775" s="1147" t="s">
        <v>3292</v>
      </c>
      <c r="J1775" s="943" t="s">
        <v>6540</v>
      </c>
      <c r="K1775" s="944">
        <v>12</v>
      </c>
      <c r="L1775" s="1275">
        <v>12</v>
      </c>
      <c r="M1775" s="1246">
        <f t="shared" si="66"/>
        <v>13200</v>
      </c>
      <c r="N1775" s="1275">
        <v>12</v>
      </c>
      <c r="O1775" s="1275">
        <v>8</v>
      </c>
      <c r="P1775" s="899">
        <f t="shared" si="67"/>
        <v>8800</v>
      </c>
    </row>
    <row r="1776" spans="1:16" ht="36" x14ac:dyDescent="0.2">
      <c r="A1776" s="916" t="s">
        <v>6518</v>
      </c>
      <c r="B1776" s="898" t="s">
        <v>4291</v>
      </c>
      <c r="C1776" s="916" t="s">
        <v>398</v>
      </c>
      <c r="D1776" s="898" t="s">
        <v>5109</v>
      </c>
      <c r="E1776" s="1144">
        <v>1100</v>
      </c>
      <c r="F1776" s="898" t="s">
        <v>6632</v>
      </c>
      <c r="G1776" s="1245" t="s">
        <v>6633</v>
      </c>
      <c r="H1776" s="898" t="s">
        <v>5109</v>
      </c>
      <c r="I1776" s="1147" t="s">
        <v>3292</v>
      </c>
      <c r="J1776" s="943" t="s">
        <v>6540</v>
      </c>
      <c r="K1776" s="944">
        <v>12</v>
      </c>
      <c r="L1776" s="1275">
        <v>12</v>
      </c>
      <c r="M1776" s="1246">
        <f t="shared" si="66"/>
        <v>13200</v>
      </c>
      <c r="N1776" s="1275">
        <v>12</v>
      </c>
      <c r="O1776" s="1275">
        <v>8</v>
      </c>
      <c r="P1776" s="899">
        <f t="shared" si="67"/>
        <v>8800</v>
      </c>
    </row>
    <row r="1777" spans="1:16" ht="36" x14ac:dyDescent="0.2">
      <c r="A1777" s="916" t="s">
        <v>6518</v>
      </c>
      <c r="B1777" s="898" t="s">
        <v>4291</v>
      </c>
      <c r="C1777" s="916" t="s">
        <v>398</v>
      </c>
      <c r="D1777" s="898" t="s">
        <v>583</v>
      </c>
      <c r="E1777" s="1144">
        <v>1100</v>
      </c>
      <c r="F1777" s="898" t="s">
        <v>6634</v>
      </c>
      <c r="G1777" s="1245" t="s">
        <v>6635</v>
      </c>
      <c r="H1777" s="1245"/>
      <c r="I1777" s="1147"/>
      <c r="J1777" s="943" t="s">
        <v>3615</v>
      </c>
      <c r="K1777" s="944">
        <v>12</v>
      </c>
      <c r="L1777" s="1275">
        <v>12</v>
      </c>
      <c r="M1777" s="1246">
        <f t="shared" si="66"/>
        <v>13200</v>
      </c>
      <c r="N1777" s="1275">
        <v>12</v>
      </c>
      <c r="O1777" s="1275">
        <v>8</v>
      </c>
      <c r="P1777" s="899">
        <f t="shared" si="67"/>
        <v>8800</v>
      </c>
    </row>
    <row r="1778" spans="1:16" ht="36" x14ac:dyDescent="0.2">
      <c r="A1778" s="916" t="s">
        <v>6518</v>
      </c>
      <c r="B1778" s="898" t="s">
        <v>4291</v>
      </c>
      <c r="C1778" s="916" t="s">
        <v>398</v>
      </c>
      <c r="D1778" s="898" t="s">
        <v>5095</v>
      </c>
      <c r="E1778" s="1144">
        <v>1300</v>
      </c>
      <c r="F1778" s="898" t="s">
        <v>6636</v>
      </c>
      <c r="G1778" s="1245" t="s">
        <v>6637</v>
      </c>
      <c r="H1778" s="1245"/>
      <c r="I1778" s="1147"/>
      <c r="J1778" s="943" t="s">
        <v>3615</v>
      </c>
      <c r="K1778" s="944">
        <v>12</v>
      </c>
      <c r="L1778" s="1275">
        <v>12</v>
      </c>
      <c r="M1778" s="1246">
        <f t="shared" si="66"/>
        <v>15600</v>
      </c>
      <c r="N1778" s="1275">
        <v>12</v>
      </c>
      <c r="O1778" s="1275">
        <v>8</v>
      </c>
      <c r="P1778" s="899">
        <f t="shared" si="67"/>
        <v>10400</v>
      </c>
    </row>
    <row r="1779" spans="1:16" ht="36" x14ac:dyDescent="0.2">
      <c r="A1779" s="916" t="s">
        <v>6518</v>
      </c>
      <c r="B1779" s="898" t="s">
        <v>4291</v>
      </c>
      <c r="C1779" s="916" t="s">
        <v>398</v>
      </c>
      <c r="D1779" s="898" t="s">
        <v>5095</v>
      </c>
      <c r="E1779" s="1144">
        <v>1300</v>
      </c>
      <c r="F1779" s="898" t="s">
        <v>6638</v>
      </c>
      <c r="G1779" s="1245" t="s">
        <v>6639</v>
      </c>
      <c r="H1779" s="1245"/>
      <c r="I1779" s="1147"/>
      <c r="J1779" s="943" t="s">
        <v>3615</v>
      </c>
      <c r="K1779" s="944">
        <v>12</v>
      </c>
      <c r="L1779" s="1275">
        <v>12</v>
      </c>
      <c r="M1779" s="1246">
        <f t="shared" si="66"/>
        <v>15600</v>
      </c>
      <c r="N1779" s="1275">
        <v>12</v>
      </c>
      <c r="O1779" s="1275">
        <v>8</v>
      </c>
      <c r="P1779" s="899">
        <f t="shared" si="67"/>
        <v>10400</v>
      </c>
    </row>
    <row r="1780" spans="1:16" ht="36" x14ac:dyDescent="0.2">
      <c r="A1780" s="916" t="s">
        <v>6518</v>
      </c>
      <c r="B1780" s="898" t="s">
        <v>4291</v>
      </c>
      <c r="C1780" s="916" t="s">
        <v>398</v>
      </c>
      <c r="D1780" s="898" t="s">
        <v>5095</v>
      </c>
      <c r="E1780" s="1144">
        <v>1300</v>
      </c>
      <c r="F1780" s="898" t="s">
        <v>6640</v>
      </c>
      <c r="G1780" s="1245" t="s">
        <v>6641</v>
      </c>
      <c r="H1780" s="1245"/>
      <c r="I1780" s="1147"/>
      <c r="J1780" s="943" t="s">
        <v>3615</v>
      </c>
      <c r="K1780" s="944">
        <v>12</v>
      </c>
      <c r="L1780" s="1275">
        <v>12</v>
      </c>
      <c r="M1780" s="1246">
        <f t="shared" si="66"/>
        <v>15600</v>
      </c>
      <c r="N1780" s="1275">
        <v>12</v>
      </c>
      <c r="O1780" s="1275">
        <v>8</v>
      </c>
      <c r="P1780" s="899">
        <f t="shared" si="67"/>
        <v>10400</v>
      </c>
    </row>
    <row r="1781" spans="1:16" ht="36" x14ac:dyDescent="0.2">
      <c r="A1781" s="916" t="s">
        <v>6518</v>
      </c>
      <c r="B1781" s="898" t="s">
        <v>4291</v>
      </c>
      <c r="C1781" s="916" t="s">
        <v>398</v>
      </c>
      <c r="D1781" s="898" t="s">
        <v>5095</v>
      </c>
      <c r="E1781" s="1144">
        <v>1300</v>
      </c>
      <c r="F1781" s="898" t="s">
        <v>6642</v>
      </c>
      <c r="G1781" s="1245" t="s">
        <v>6643</v>
      </c>
      <c r="H1781" s="1245"/>
      <c r="I1781" s="1147"/>
      <c r="J1781" s="943" t="s">
        <v>3615</v>
      </c>
      <c r="K1781" s="944">
        <v>12</v>
      </c>
      <c r="L1781" s="1275">
        <v>12</v>
      </c>
      <c r="M1781" s="1246">
        <f t="shared" si="66"/>
        <v>15600</v>
      </c>
      <c r="N1781" s="1275">
        <v>12</v>
      </c>
      <c r="O1781" s="1275">
        <v>8</v>
      </c>
      <c r="P1781" s="899">
        <f t="shared" si="67"/>
        <v>10400</v>
      </c>
    </row>
    <row r="1782" spans="1:16" ht="36" x14ac:dyDescent="0.2">
      <c r="A1782" s="916" t="s">
        <v>6518</v>
      </c>
      <c r="B1782" s="898" t="s">
        <v>4291</v>
      </c>
      <c r="C1782" s="916" t="s">
        <v>398</v>
      </c>
      <c r="D1782" s="898" t="s">
        <v>5095</v>
      </c>
      <c r="E1782" s="1144">
        <v>1300</v>
      </c>
      <c r="F1782" s="898" t="s">
        <v>6644</v>
      </c>
      <c r="G1782" s="1245" t="s">
        <v>6645</v>
      </c>
      <c r="H1782" s="1245"/>
      <c r="I1782" s="1147"/>
      <c r="J1782" s="943" t="s">
        <v>3615</v>
      </c>
      <c r="K1782" s="944">
        <v>12</v>
      </c>
      <c r="L1782" s="1275">
        <v>12</v>
      </c>
      <c r="M1782" s="1246">
        <f t="shared" si="66"/>
        <v>15600</v>
      </c>
      <c r="N1782" s="1275">
        <v>12</v>
      </c>
      <c r="O1782" s="1275">
        <v>8</v>
      </c>
      <c r="P1782" s="899">
        <f t="shared" si="67"/>
        <v>10400</v>
      </c>
    </row>
    <row r="1783" spans="1:16" ht="36" x14ac:dyDescent="0.2">
      <c r="A1783" s="916" t="s">
        <v>6518</v>
      </c>
      <c r="B1783" s="898" t="s">
        <v>4291</v>
      </c>
      <c r="C1783" s="916" t="s">
        <v>398</v>
      </c>
      <c r="D1783" s="898" t="s">
        <v>5095</v>
      </c>
      <c r="E1783" s="1144">
        <v>1300</v>
      </c>
      <c r="F1783" s="898" t="s">
        <v>6646</v>
      </c>
      <c r="G1783" s="1245" t="s">
        <v>6647</v>
      </c>
      <c r="H1783" s="1245"/>
      <c r="I1783" s="1147"/>
      <c r="J1783" s="943" t="s">
        <v>3615</v>
      </c>
      <c r="K1783" s="944">
        <v>12</v>
      </c>
      <c r="L1783" s="1275">
        <v>12</v>
      </c>
      <c r="M1783" s="1246">
        <f t="shared" si="66"/>
        <v>15600</v>
      </c>
      <c r="N1783" s="1275">
        <v>12</v>
      </c>
      <c r="O1783" s="1275">
        <v>8</v>
      </c>
      <c r="P1783" s="899">
        <f t="shared" si="67"/>
        <v>10400</v>
      </c>
    </row>
    <row r="1784" spans="1:16" ht="36" x14ac:dyDescent="0.2">
      <c r="A1784" s="916" t="s">
        <v>6518</v>
      </c>
      <c r="B1784" s="898" t="s">
        <v>4291</v>
      </c>
      <c r="C1784" s="916" t="s">
        <v>398</v>
      </c>
      <c r="D1784" s="898" t="s">
        <v>5095</v>
      </c>
      <c r="E1784" s="1144">
        <v>1300</v>
      </c>
      <c r="F1784" s="898" t="s">
        <v>6648</v>
      </c>
      <c r="G1784" s="1245" t="s">
        <v>6649</v>
      </c>
      <c r="H1784" s="1245"/>
      <c r="I1784" s="1147"/>
      <c r="J1784" s="943" t="s">
        <v>3615</v>
      </c>
      <c r="K1784" s="944">
        <v>12</v>
      </c>
      <c r="L1784" s="1275">
        <v>12</v>
      </c>
      <c r="M1784" s="1246">
        <f t="shared" si="66"/>
        <v>15600</v>
      </c>
      <c r="N1784" s="1275">
        <v>12</v>
      </c>
      <c r="O1784" s="1275">
        <v>8</v>
      </c>
      <c r="P1784" s="899">
        <f t="shared" si="67"/>
        <v>10400</v>
      </c>
    </row>
    <row r="1785" spans="1:16" ht="36" x14ac:dyDescent="0.2">
      <c r="A1785" s="916" t="s">
        <v>6518</v>
      </c>
      <c r="B1785" s="898" t="s">
        <v>4291</v>
      </c>
      <c r="C1785" s="916" t="s">
        <v>398</v>
      </c>
      <c r="D1785" s="898" t="s">
        <v>5095</v>
      </c>
      <c r="E1785" s="1144">
        <v>1300</v>
      </c>
      <c r="F1785" s="898" t="s">
        <v>6650</v>
      </c>
      <c r="G1785" s="1245" t="s">
        <v>6651</v>
      </c>
      <c r="H1785" s="1245"/>
      <c r="I1785" s="1147"/>
      <c r="J1785" s="943" t="s">
        <v>3615</v>
      </c>
      <c r="K1785" s="944">
        <v>12</v>
      </c>
      <c r="L1785" s="1275">
        <v>12</v>
      </c>
      <c r="M1785" s="1246">
        <f t="shared" si="66"/>
        <v>15600</v>
      </c>
      <c r="N1785" s="1275">
        <v>12</v>
      </c>
      <c r="O1785" s="1275">
        <v>8</v>
      </c>
      <c r="P1785" s="899">
        <f t="shared" si="67"/>
        <v>10400</v>
      </c>
    </row>
    <row r="1786" spans="1:16" ht="36" x14ac:dyDescent="0.2">
      <c r="A1786" s="916" t="s">
        <v>6518</v>
      </c>
      <c r="B1786" s="898" t="s">
        <v>4291</v>
      </c>
      <c r="C1786" s="916" t="s">
        <v>398</v>
      </c>
      <c r="D1786" s="898" t="s">
        <v>5095</v>
      </c>
      <c r="E1786" s="1144">
        <v>1300</v>
      </c>
      <c r="F1786" s="898" t="s">
        <v>6652</v>
      </c>
      <c r="G1786" s="1245" t="s">
        <v>6653</v>
      </c>
      <c r="H1786" s="1245"/>
      <c r="I1786" s="1147"/>
      <c r="J1786" s="943" t="s">
        <v>3615</v>
      </c>
      <c r="K1786" s="944">
        <v>12</v>
      </c>
      <c r="L1786" s="1275">
        <v>12</v>
      </c>
      <c r="M1786" s="1246">
        <f t="shared" si="66"/>
        <v>15600</v>
      </c>
      <c r="N1786" s="1275">
        <v>12</v>
      </c>
      <c r="O1786" s="1275">
        <v>8</v>
      </c>
      <c r="P1786" s="899">
        <f t="shared" si="67"/>
        <v>10400</v>
      </c>
    </row>
    <row r="1787" spans="1:16" ht="36" x14ac:dyDescent="0.2">
      <c r="A1787" s="916" t="s">
        <v>6518</v>
      </c>
      <c r="B1787" s="898" t="s">
        <v>4291</v>
      </c>
      <c r="C1787" s="916" t="s">
        <v>398</v>
      </c>
      <c r="D1787" s="898" t="s">
        <v>5095</v>
      </c>
      <c r="E1787" s="1144">
        <v>1300</v>
      </c>
      <c r="F1787" s="898" t="s">
        <v>6654</v>
      </c>
      <c r="G1787" s="1245" t="s">
        <v>6655</v>
      </c>
      <c r="H1787" s="1245"/>
      <c r="I1787" s="1147"/>
      <c r="J1787" s="943" t="s">
        <v>3615</v>
      </c>
      <c r="K1787" s="944">
        <v>12</v>
      </c>
      <c r="L1787" s="1275">
        <v>12</v>
      </c>
      <c r="M1787" s="1246">
        <f t="shared" si="66"/>
        <v>15600</v>
      </c>
      <c r="N1787" s="1275">
        <v>12</v>
      </c>
      <c r="O1787" s="1275">
        <v>8</v>
      </c>
      <c r="P1787" s="899">
        <f t="shared" si="67"/>
        <v>10400</v>
      </c>
    </row>
    <row r="1788" spans="1:16" ht="36" x14ac:dyDescent="0.2">
      <c r="A1788" s="916" t="s">
        <v>6518</v>
      </c>
      <c r="B1788" s="898" t="s">
        <v>4291</v>
      </c>
      <c r="C1788" s="916" t="s">
        <v>398</v>
      </c>
      <c r="D1788" s="898" t="s">
        <v>517</v>
      </c>
      <c r="E1788" s="1144">
        <v>2000</v>
      </c>
      <c r="F1788" s="898" t="s">
        <v>6656</v>
      </c>
      <c r="G1788" s="1245" t="s">
        <v>6657</v>
      </c>
      <c r="H1788" s="1245" t="s">
        <v>517</v>
      </c>
      <c r="I1788" s="943" t="s">
        <v>4004</v>
      </c>
      <c r="J1788" s="943" t="s">
        <v>3575</v>
      </c>
      <c r="K1788" s="944">
        <v>12</v>
      </c>
      <c r="L1788" s="1275">
        <v>12</v>
      </c>
      <c r="M1788" s="1246">
        <f t="shared" ref="M1788:M1851" si="68">+E1788*12</f>
        <v>24000</v>
      </c>
      <c r="N1788" s="1275">
        <v>12</v>
      </c>
      <c r="O1788" s="1275">
        <v>8</v>
      </c>
      <c r="P1788" s="899">
        <f t="shared" ref="P1788:P1851" si="69">+E1788*8</f>
        <v>16000</v>
      </c>
    </row>
    <row r="1789" spans="1:16" ht="36" x14ac:dyDescent="0.2">
      <c r="A1789" s="916" t="s">
        <v>6518</v>
      </c>
      <c r="B1789" s="898" t="s">
        <v>4291</v>
      </c>
      <c r="C1789" s="916" t="s">
        <v>398</v>
      </c>
      <c r="D1789" s="898" t="s">
        <v>517</v>
      </c>
      <c r="E1789" s="1144">
        <v>2000</v>
      </c>
      <c r="F1789" s="898" t="s">
        <v>6658</v>
      </c>
      <c r="G1789" s="1245" t="s">
        <v>6659</v>
      </c>
      <c r="H1789" s="1245" t="s">
        <v>517</v>
      </c>
      <c r="I1789" s="943" t="s">
        <v>4004</v>
      </c>
      <c r="J1789" s="943" t="s">
        <v>3575</v>
      </c>
      <c r="K1789" s="944">
        <v>12</v>
      </c>
      <c r="L1789" s="1275">
        <v>12</v>
      </c>
      <c r="M1789" s="1246">
        <f t="shared" si="68"/>
        <v>24000</v>
      </c>
      <c r="N1789" s="1275">
        <v>12</v>
      </c>
      <c r="O1789" s="1275">
        <v>8</v>
      </c>
      <c r="P1789" s="899">
        <f t="shared" si="69"/>
        <v>16000</v>
      </c>
    </row>
    <row r="1790" spans="1:16" ht="36" x14ac:dyDescent="0.2">
      <c r="A1790" s="916" t="s">
        <v>6518</v>
      </c>
      <c r="B1790" s="898" t="s">
        <v>4291</v>
      </c>
      <c r="C1790" s="916" t="s">
        <v>398</v>
      </c>
      <c r="D1790" s="898" t="s">
        <v>517</v>
      </c>
      <c r="E1790" s="1144">
        <v>2000</v>
      </c>
      <c r="F1790" s="898" t="s">
        <v>6660</v>
      </c>
      <c r="G1790" s="1245" t="s">
        <v>6661</v>
      </c>
      <c r="H1790" s="1245" t="s">
        <v>517</v>
      </c>
      <c r="I1790" s="943" t="s">
        <v>4004</v>
      </c>
      <c r="J1790" s="943" t="s">
        <v>3575</v>
      </c>
      <c r="K1790" s="944">
        <v>12</v>
      </c>
      <c r="L1790" s="1275">
        <v>12</v>
      </c>
      <c r="M1790" s="1246">
        <f t="shared" si="68"/>
        <v>24000</v>
      </c>
      <c r="N1790" s="1275">
        <v>12</v>
      </c>
      <c r="O1790" s="1275">
        <v>8</v>
      </c>
      <c r="P1790" s="899">
        <f t="shared" si="69"/>
        <v>16000</v>
      </c>
    </row>
    <row r="1791" spans="1:16" ht="36" x14ac:dyDescent="0.2">
      <c r="A1791" s="916" t="s">
        <v>6518</v>
      </c>
      <c r="B1791" s="898" t="s">
        <v>4291</v>
      </c>
      <c r="C1791" s="916" t="s">
        <v>398</v>
      </c>
      <c r="D1791" s="898" t="s">
        <v>517</v>
      </c>
      <c r="E1791" s="1144">
        <v>2000</v>
      </c>
      <c r="F1791" s="898" t="s">
        <v>6662</v>
      </c>
      <c r="G1791" s="1245" t="s">
        <v>6663</v>
      </c>
      <c r="H1791" s="1245" t="s">
        <v>517</v>
      </c>
      <c r="I1791" s="943" t="s">
        <v>4004</v>
      </c>
      <c r="J1791" s="943" t="s">
        <v>3575</v>
      </c>
      <c r="K1791" s="944">
        <v>12</v>
      </c>
      <c r="L1791" s="1275">
        <v>12</v>
      </c>
      <c r="M1791" s="1246">
        <f t="shared" si="68"/>
        <v>24000</v>
      </c>
      <c r="N1791" s="1275">
        <v>12</v>
      </c>
      <c r="O1791" s="1275">
        <v>8</v>
      </c>
      <c r="P1791" s="899">
        <f t="shared" si="69"/>
        <v>16000</v>
      </c>
    </row>
    <row r="1792" spans="1:16" ht="36" x14ac:dyDescent="0.2">
      <c r="A1792" s="916" t="s">
        <v>6518</v>
      </c>
      <c r="B1792" s="898" t="s">
        <v>4291</v>
      </c>
      <c r="C1792" s="916" t="s">
        <v>398</v>
      </c>
      <c r="D1792" s="898" t="s">
        <v>517</v>
      </c>
      <c r="E1792" s="1144">
        <v>2000</v>
      </c>
      <c r="F1792" s="898" t="s">
        <v>6664</v>
      </c>
      <c r="G1792" s="1245" t="s">
        <v>6665</v>
      </c>
      <c r="H1792" s="1245" t="s">
        <v>517</v>
      </c>
      <c r="I1792" s="943" t="s">
        <v>4004</v>
      </c>
      <c r="J1792" s="943" t="s">
        <v>3575</v>
      </c>
      <c r="K1792" s="944">
        <v>12</v>
      </c>
      <c r="L1792" s="1275">
        <v>12</v>
      </c>
      <c r="M1792" s="1246">
        <f t="shared" si="68"/>
        <v>24000</v>
      </c>
      <c r="N1792" s="1275">
        <v>12</v>
      </c>
      <c r="O1792" s="1275">
        <v>8</v>
      </c>
      <c r="P1792" s="899">
        <f t="shared" si="69"/>
        <v>16000</v>
      </c>
    </row>
    <row r="1793" spans="1:16" ht="36" x14ac:dyDescent="0.2">
      <c r="A1793" s="916" t="s">
        <v>6518</v>
      </c>
      <c r="B1793" s="898" t="s">
        <v>4291</v>
      </c>
      <c r="C1793" s="916" t="s">
        <v>398</v>
      </c>
      <c r="D1793" s="898" t="s">
        <v>517</v>
      </c>
      <c r="E1793" s="1144">
        <v>2000</v>
      </c>
      <c r="F1793" s="898" t="s">
        <v>6666</v>
      </c>
      <c r="G1793" s="1245" t="s">
        <v>6667</v>
      </c>
      <c r="H1793" s="1245" t="s">
        <v>517</v>
      </c>
      <c r="I1793" s="943" t="s">
        <v>4004</v>
      </c>
      <c r="J1793" s="943" t="s">
        <v>3575</v>
      </c>
      <c r="K1793" s="944">
        <v>12</v>
      </c>
      <c r="L1793" s="1275">
        <v>12</v>
      </c>
      <c r="M1793" s="1246">
        <f t="shared" si="68"/>
        <v>24000</v>
      </c>
      <c r="N1793" s="1275">
        <v>12</v>
      </c>
      <c r="O1793" s="1275">
        <v>8</v>
      </c>
      <c r="P1793" s="899">
        <f t="shared" si="69"/>
        <v>16000</v>
      </c>
    </row>
    <row r="1794" spans="1:16" ht="36" x14ac:dyDescent="0.2">
      <c r="A1794" s="916" t="s">
        <v>6518</v>
      </c>
      <c r="B1794" s="898" t="s">
        <v>4291</v>
      </c>
      <c r="C1794" s="916" t="s">
        <v>398</v>
      </c>
      <c r="D1794" s="898" t="s">
        <v>517</v>
      </c>
      <c r="E1794" s="1144">
        <v>2000</v>
      </c>
      <c r="F1794" s="898" t="s">
        <v>6668</v>
      </c>
      <c r="G1794" s="1245" t="s">
        <v>6669</v>
      </c>
      <c r="H1794" s="1245" t="s">
        <v>517</v>
      </c>
      <c r="I1794" s="943" t="s">
        <v>4004</v>
      </c>
      <c r="J1794" s="943" t="s">
        <v>3575</v>
      </c>
      <c r="K1794" s="944">
        <v>12</v>
      </c>
      <c r="L1794" s="1275">
        <v>12</v>
      </c>
      <c r="M1794" s="1246">
        <f t="shared" si="68"/>
        <v>24000</v>
      </c>
      <c r="N1794" s="1275">
        <v>12</v>
      </c>
      <c r="O1794" s="1275">
        <v>8</v>
      </c>
      <c r="P1794" s="899">
        <f t="shared" si="69"/>
        <v>16000</v>
      </c>
    </row>
    <row r="1795" spans="1:16" ht="36" x14ac:dyDescent="0.2">
      <c r="A1795" s="916" t="s">
        <v>6518</v>
      </c>
      <c r="B1795" s="898" t="s">
        <v>4291</v>
      </c>
      <c r="C1795" s="916" t="s">
        <v>398</v>
      </c>
      <c r="D1795" s="898" t="s">
        <v>517</v>
      </c>
      <c r="E1795" s="1144">
        <v>2000</v>
      </c>
      <c r="F1795" s="898" t="s">
        <v>6670</v>
      </c>
      <c r="G1795" s="1245" t="s">
        <v>6671</v>
      </c>
      <c r="H1795" s="1245" t="s">
        <v>517</v>
      </c>
      <c r="I1795" s="943" t="s">
        <v>4004</v>
      </c>
      <c r="J1795" s="943" t="s">
        <v>3575</v>
      </c>
      <c r="K1795" s="944">
        <v>12</v>
      </c>
      <c r="L1795" s="1275">
        <v>12</v>
      </c>
      <c r="M1795" s="1246">
        <f t="shared" si="68"/>
        <v>24000</v>
      </c>
      <c r="N1795" s="1275">
        <v>12</v>
      </c>
      <c r="O1795" s="1275">
        <v>8</v>
      </c>
      <c r="P1795" s="899">
        <f t="shared" si="69"/>
        <v>16000</v>
      </c>
    </row>
    <row r="1796" spans="1:16" ht="36" x14ac:dyDescent="0.2">
      <c r="A1796" s="916" t="s">
        <v>6518</v>
      </c>
      <c r="B1796" s="898" t="s">
        <v>4291</v>
      </c>
      <c r="C1796" s="916" t="s">
        <v>398</v>
      </c>
      <c r="D1796" s="898" t="s">
        <v>517</v>
      </c>
      <c r="E1796" s="1144">
        <v>2000</v>
      </c>
      <c r="F1796" s="898" t="s">
        <v>6672</v>
      </c>
      <c r="G1796" s="1245" t="s">
        <v>6673</v>
      </c>
      <c r="H1796" s="1245" t="s">
        <v>517</v>
      </c>
      <c r="I1796" s="943" t="s">
        <v>4004</v>
      </c>
      <c r="J1796" s="943" t="s">
        <v>3575</v>
      </c>
      <c r="K1796" s="944">
        <v>12</v>
      </c>
      <c r="L1796" s="1275">
        <v>12</v>
      </c>
      <c r="M1796" s="1246">
        <f t="shared" si="68"/>
        <v>24000</v>
      </c>
      <c r="N1796" s="1275">
        <v>12</v>
      </c>
      <c r="O1796" s="1275">
        <v>8</v>
      </c>
      <c r="P1796" s="899">
        <f t="shared" si="69"/>
        <v>16000</v>
      </c>
    </row>
    <row r="1797" spans="1:16" ht="36" x14ac:dyDescent="0.2">
      <c r="A1797" s="916" t="s">
        <v>6518</v>
      </c>
      <c r="B1797" s="898" t="s">
        <v>4291</v>
      </c>
      <c r="C1797" s="916" t="s">
        <v>398</v>
      </c>
      <c r="D1797" s="898" t="s">
        <v>517</v>
      </c>
      <c r="E1797" s="1144">
        <v>2000</v>
      </c>
      <c r="F1797" s="898" t="s">
        <v>6674</v>
      </c>
      <c r="G1797" s="1245" t="s">
        <v>6675</v>
      </c>
      <c r="H1797" s="1245" t="s">
        <v>517</v>
      </c>
      <c r="I1797" s="943" t="s">
        <v>4004</v>
      </c>
      <c r="J1797" s="943" t="s">
        <v>3575</v>
      </c>
      <c r="K1797" s="944">
        <v>12</v>
      </c>
      <c r="L1797" s="1275">
        <v>12</v>
      </c>
      <c r="M1797" s="1246">
        <f t="shared" si="68"/>
        <v>24000</v>
      </c>
      <c r="N1797" s="1275">
        <v>12</v>
      </c>
      <c r="O1797" s="1275">
        <v>8</v>
      </c>
      <c r="P1797" s="899">
        <f t="shared" si="69"/>
        <v>16000</v>
      </c>
    </row>
    <row r="1798" spans="1:16" ht="36" x14ac:dyDescent="0.2">
      <c r="A1798" s="916" t="s">
        <v>6518</v>
      </c>
      <c r="B1798" s="898" t="s">
        <v>4291</v>
      </c>
      <c r="C1798" s="916" t="s">
        <v>398</v>
      </c>
      <c r="D1798" s="898" t="s">
        <v>517</v>
      </c>
      <c r="E1798" s="1144">
        <v>2000</v>
      </c>
      <c r="F1798" s="898" t="s">
        <v>6676</v>
      </c>
      <c r="G1798" s="1245" t="s">
        <v>6677</v>
      </c>
      <c r="H1798" s="1245" t="s">
        <v>517</v>
      </c>
      <c r="I1798" s="943" t="s">
        <v>4004</v>
      </c>
      <c r="J1798" s="943" t="s">
        <v>3575</v>
      </c>
      <c r="K1798" s="944">
        <v>12</v>
      </c>
      <c r="L1798" s="1275">
        <v>12</v>
      </c>
      <c r="M1798" s="1246">
        <f t="shared" si="68"/>
        <v>24000</v>
      </c>
      <c r="N1798" s="1275">
        <v>12</v>
      </c>
      <c r="O1798" s="1275">
        <v>8</v>
      </c>
      <c r="P1798" s="899">
        <f t="shared" si="69"/>
        <v>16000</v>
      </c>
    </row>
    <row r="1799" spans="1:16" ht="36" x14ac:dyDescent="0.2">
      <c r="A1799" s="916" t="s">
        <v>6518</v>
      </c>
      <c r="B1799" s="898" t="s">
        <v>4291</v>
      </c>
      <c r="C1799" s="916" t="s">
        <v>398</v>
      </c>
      <c r="D1799" s="898" t="s">
        <v>517</v>
      </c>
      <c r="E1799" s="1144">
        <v>2000</v>
      </c>
      <c r="F1799" s="898" t="s">
        <v>6678</v>
      </c>
      <c r="G1799" s="1245" t="s">
        <v>6679</v>
      </c>
      <c r="H1799" s="1245" t="s">
        <v>517</v>
      </c>
      <c r="I1799" s="943" t="s">
        <v>4004</v>
      </c>
      <c r="J1799" s="943" t="s">
        <v>3575</v>
      </c>
      <c r="K1799" s="944">
        <v>12</v>
      </c>
      <c r="L1799" s="1275">
        <v>12</v>
      </c>
      <c r="M1799" s="1246">
        <f t="shared" si="68"/>
        <v>24000</v>
      </c>
      <c r="N1799" s="1275">
        <v>12</v>
      </c>
      <c r="O1799" s="1275">
        <v>8</v>
      </c>
      <c r="P1799" s="899">
        <f t="shared" si="69"/>
        <v>16000</v>
      </c>
    </row>
    <row r="1800" spans="1:16" ht="36" x14ac:dyDescent="0.2">
      <c r="A1800" s="916" t="s">
        <v>6518</v>
      </c>
      <c r="B1800" s="898" t="s">
        <v>4291</v>
      </c>
      <c r="C1800" s="916" t="s">
        <v>398</v>
      </c>
      <c r="D1800" s="898" t="s">
        <v>517</v>
      </c>
      <c r="E1800" s="1144">
        <v>2000</v>
      </c>
      <c r="F1800" s="898" t="s">
        <v>6680</v>
      </c>
      <c r="G1800" s="1245" t="s">
        <v>6681</v>
      </c>
      <c r="H1800" s="1245" t="s">
        <v>517</v>
      </c>
      <c r="I1800" s="943" t="s">
        <v>4004</v>
      </c>
      <c r="J1800" s="943" t="s">
        <v>3575</v>
      </c>
      <c r="K1800" s="944">
        <v>12</v>
      </c>
      <c r="L1800" s="1275">
        <v>12</v>
      </c>
      <c r="M1800" s="1246">
        <f t="shared" si="68"/>
        <v>24000</v>
      </c>
      <c r="N1800" s="1275">
        <v>12</v>
      </c>
      <c r="O1800" s="1275">
        <v>8</v>
      </c>
      <c r="P1800" s="899">
        <f t="shared" si="69"/>
        <v>16000</v>
      </c>
    </row>
    <row r="1801" spans="1:16" ht="36" x14ac:dyDescent="0.2">
      <c r="A1801" s="916" t="s">
        <v>6518</v>
      </c>
      <c r="B1801" s="898" t="s">
        <v>4291</v>
      </c>
      <c r="C1801" s="916" t="s">
        <v>398</v>
      </c>
      <c r="D1801" s="898" t="s">
        <v>517</v>
      </c>
      <c r="E1801" s="1144">
        <v>2000</v>
      </c>
      <c r="F1801" s="898" t="s">
        <v>6682</v>
      </c>
      <c r="G1801" s="1245" t="s">
        <v>6683</v>
      </c>
      <c r="H1801" s="1245" t="s">
        <v>517</v>
      </c>
      <c r="I1801" s="943" t="s">
        <v>4004</v>
      </c>
      <c r="J1801" s="943" t="s">
        <v>3575</v>
      </c>
      <c r="K1801" s="944">
        <v>12</v>
      </c>
      <c r="L1801" s="1275">
        <v>12</v>
      </c>
      <c r="M1801" s="1246">
        <f t="shared" si="68"/>
        <v>24000</v>
      </c>
      <c r="N1801" s="1275">
        <v>12</v>
      </c>
      <c r="O1801" s="1275">
        <v>8</v>
      </c>
      <c r="P1801" s="899">
        <f t="shared" si="69"/>
        <v>16000</v>
      </c>
    </row>
    <row r="1802" spans="1:16" ht="36" x14ac:dyDescent="0.2">
      <c r="A1802" s="916" t="s">
        <v>6518</v>
      </c>
      <c r="B1802" s="898" t="s">
        <v>4291</v>
      </c>
      <c r="C1802" s="916" t="s">
        <v>398</v>
      </c>
      <c r="D1802" s="898" t="s">
        <v>517</v>
      </c>
      <c r="E1802" s="1144">
        <v>2000</v>
      </c>
      <c r="F1802" s="898" t="s">
        <v>6684</v>
      </c>
      <c r="G1802" s="1245" t="s">
        <v>6685</v>
      </c>
      <c r="H1802" s="1245" t="s">
        <v>517</v>
      </c>
      <c r="I1802" s="943" t="s">
        <v>4004</v>
      </c>
      <c r="J1802" s="943" t="s">
        <v>3575</v>
      </c>
      <c r="K1802" s="944">
        <v>12</v>
      </c>
      <c r="L1802" s="1275">
        <v>12</v>
      </c>
      <c r="M1802" s="1246">
        <f t="shared" si="68"/>
        <v>24000</v>
      </c>
      <c r="N1802" s="1275">
        <v>12</v>
      </c>
      <c r="O1802" s="1275">
        <v>8</v>
      </c>
      <c r="P1802" s="899">
        <f t="shared" si="69"/>
        <v>16000</v>
      </c>
    </row>
    <row r="1803" spans="1:16" ht="36" x14ac:dyDescent="0.2">
      <c r="A1803" s="916" t="s">
        <v>6518</v>
      </c>
      <c r="B1803" s="898" t="s">
        <v>4291</v>
      </c>
      <c r="C1803" s="916" t="s">
        <v>398</v>
      </c>
      <c r="D1803" s="898" t="s">
        <v>517</v>
      </c>
      <c r="E1803" s="1144">
        <v>2000</v>
      </c>
      <c r="F1803" s="898" t="s">
        <v>6686</v>
      </c>
      <c r="G1803" s="1245" t="s">
        <v>6687</v>
      </c>
      <c r="H1803" s="1245" t="s">
        <v>517</v>
      </c>
      <c r="I1803" s="943" t="s">
        <v>4004</v>
      </c>
      <c r="J1803" s="943" t="s">
        <v>3575</v>
      </c>
      <c r="K1803" s="944">
        <v>12</v>
      </c>
      <c r="L1803" s="1275">
        <v>12</v>
      </c>
      <c r="M1803" s="1246">
        <f t="shared" si="68"/>
        <v>24000</v>
      </c>
      <c r="N1803" s="1275">
        <v>12</v>
      </c>
      <c r="O1803" s="1275">
        <v>8</v>
      </c>
      <c r="P1803" s="899">
        <f t="shared" si="69"/>
        <v>16000</v>
      </c>
    </row>
    <row r="1804" spans="1:16" ht="36" x14ac:dyDescent="0.2">
      <c r="A1804" s="916" t="s">
        <v>6518</v>
      </c>
      <c r="B1804" s="898" t="s">
        <v>4291</v>
      </c>
      <c r="C1804" s="916" t="s">
        <v>398</v>
      </c>
      <c r="D1804" s="898" t="s">
        <v>517</v>
      </c>
      <c r="E1804" s="1144">
        <v>2000</v>
      </c>
      <c r="F1804" s="898" t="s">
        <v>6688</v>
      </c>
      <c r="G1804" s="1245" t="s">
        <v>6689</v>
      </c>
      <c r="H1804" s="1245" t="s">
        <v>517</v>
      </c>
      <c r="I1804" s="943" t="s">
        <v>4004</v>
      </c>
      <c r="J1804" s="943" t="s">
        <v>3575</v>
      </c>
      <c r="K1804" s="944">
        <v>12</v>
      </c>
      <c r="L1804" s="1275">
        <v>12</v>
      </c>
      <c r="M1804" s="1246">
        <f t="shared" si="68"/>
        <v>24000</v>
      </c>
      <c r="N1804" s="1275">
        <v>12</v>
      </c>
      <c r="O1804" s="1275">
        <v>8</v>
      </c>
      <c r="P1804" s="899">
        <f t="shared" si="69"/>
        <v>16000</v>
      </c>
    </row>
    <row r="1805" spans="1:16" ht="36" x14ac:dyDescent="0.2">
      <c r="A1805" s="916" t="s">
        <v>6518</v>
      </c>
      <c r="B1805" s="898" t="s">
        <v>4291</v>
      </c>
      <c r="C1805" s="916" t="s">
        <v>398</v>
      </c>
      <c r="D1805" s="898" t="s">
        <v>517</v>
      </c>
      <c r="E1805" s="1144">
        <v>2000</v>
      </c>
      <c r="F1805" s="898" t="s">
        <v>6690</v>
      </c>
      <c r="G1805" s="1245" t="s">
        <v>6691</v>
      </c>
      <c r="H1805" s="1245" t="s">
        <v>517</v>
      </c>
      <c r="I1805" s="943" t="s">
        <v>4004</v>
      </c>
      <c r="J1805" s="943" t="s">
        <v>3575</v>
      </c>
      <c r="K1805" s="944">
        <v>12</v>
      </c>
      <c r="L1805" s="1275">
        <v>12</v>
      </c>
      <c r="M1805" s="1246">
        <f t="shared" si="68"/>
        <v>24000</v>
      </c>
      <c r="N1805" s="1275">
        <v>12</v>
      </c>
      <c r="O1805" s="1275">
        <v>8</v>
      </c>
      <c r="P1805" s="899">
        <f t="shared" si="69"/>
        <v>16000</v>
      </c>
    </row>
    <row r="1806" spans="1:16" ht="36" x14ac:dyDescent="0.2">
      <c r="A1806" s="916" t="s">
        <v>6518</v>
      </c>
      <c r="B1806" s="898" t="s">
        <v>4291</v>
      </c>
      <c r="C1806" s="916" t="s">
        <v>398</v>
      </c>
      <c r="D1806" s="898" t="s">
        <v>517</v>
      </c>
      <c r="E1806" s="1144">
        <v>2000</v>
      </c>
      <c r="F1806" s="898" t="s">
        <v>6692</v>
      </c>
      <c r="G1806" s="1245" t="s">
        <v>6693</v>
      </c>
      <c r="H1806" s="1245" t="s">
        <v>517</v>
      </c>
      <c r="I1806" s="943" t="s">
        <v>4004</v>
      </c>
      <c r="J1806" s="943" t="s">
        <v>3575</v>
      </c>
      <c r="K1806" s="944">
        <v>12</v>
      </c>
      <c r="L1806" s="1275">
        <v>12</v>
      </c>
      <c r="M1806" s="1246">
        <f t="shared" si="68"/>
        <v>24000</v>
      </c>
      <c r="N1806" s="1275">
        <v>12</v>
      </c>
      <c r="O1806" s="1275">
        <v>8</v>
      </c>
      <c r="P1806" s="899">
        <f t="shared" si="69"/>
        <v>16000</v>
      </c>
    </row>
    <row r="1807" spans="1:16" ht="36" x14ac:dyDescent="0.2">
      <c r="A1807" s="916" t="s">
        <v>6518</v>
      </c>
      <c r="B1807" s="898" t="s">
        <v>4291</v>
      </c>
      <c r="C1807" s="916" t="s">
        <v>398</v>
      </c>
      <c r="D1807" s="898" t="s">
        <v>517</v>
      </c>
      <c r="E1807" s="1144">
        <v>2000</v>
      </c>
      <c r="F1807" s="898" t="s">
        <v>6694</v>
      </c>
      <c r="G1807" s="1245" t="s">
        <v>6695</v>
      </c>
      <c r="H1807" s="1245" t="s">
        <v>517</v>
      </c>
      <c r="I1807" s="943" t="s">
        <v>4004</v>
      </c>
      <c r="J1807" s="943" t="s">
        <v>3575</v>
      </c>
      <c r="K1807" s="944">
        <v>12</v>
      </c>
      <c r="L1807" s="1275">
        <v>12</v>
      </c>
      <c r="M1807" s="1246">
        <f t="shared" si="68"/>
        <v>24000</v>
      </c>
      <c r="N1807" s="1275">
        <v>12</v>
      </c>
      <c r="O1807" s="1275">
        <v>8</v>
      </c>
      <c r="P1807" s="899">
        <f t="shared" si="69"/>
        <v>16000</v>
      </c>
    </row>
    <row r="1808" spans="1:16" ht="36" x14ac:dyDescent="0.2">
      <c r="A1808" s="916" t="s">
        <v>6518</v>
      </c>
      <c r="B1808" s="898" t="s">
        <v>4291</v>
      </c>
      <c r="C1808" s="916" t="s">
        <v>398</v>
      </c>
      <c r="D1808" s="898" t="s">
        <v>517</v>
      </c>
      <c r="E1808" s="1144">
        <v>2000</v>
      </c>
      <c r="F1808" s="898" t="s">
        <v>6696</v>
      </c>
      <c r="G1808" s="1245" t="s">
        <v>6697</v>
      </c>
      <c r="H1808" s="1245" t="s">
        <v>517</v>
      </c>
      <c r="I1808" s="943" t="s">
        <v>4004</v>
      </c>
      <c r="J1808" s="943" t="s">
        <v>3575</v>
      </c>
      <c r="K1808" s="944">
        <v>12</v>
      </c>
      <c r="L1808" s="1275">
        <v>12</v>
      </c>
      <c r="M1808" s="1246">
        <f t="shared" si="68"/>
        <v>24000</v>
      </c>
      <c r="N1808" s="1275">
        <v>12</v>
      </c>
      <c r="O1808" s="1275">
        <v>8</v>
      </c>
      <c r="P1808" s="899">
        <f t="shared" si="69"/>
        <v>16000</v>
      </c>
    </row>
    <row r="1809" spans="1:16" ht="36" x14ac:dyDescent="0.2">
      <c r="A1809" s="916" t="s">
        <v>6518</v>
      </c>
      <c r="B1809" s="898" t="s">
        <v>4291</v>
      </c>
      <c r="C1809" s="916" t="s">
        <v>398</v>
      </c>
      <c r="D1809" s="898" t="s">
        <v>517</v>
      </c>
      <c r="E1809" s="1144">
        <v>2000</v>
      </c>
      <c r="F1809" s="898" t="s">
        <v>6698</v>
      </c>
      <c r="G1809" s="1245" t="s">
        <v>6699</v>
      </c>
      <c r="H1809" s="1245" t="s">
        <v>517</v>
      </c>
      <c r="I1809" s="943" t="s">
        <v>4004</v>
      </c>
      <c r="J1809" s="943" t="s">
        <v>3575</v>
      </c>
      <c r="K1809" s="944">
        <v>12</v>
      </c>
      <c r="L1809" s="1275">
        <v>12</v>
      </c>
      <c r="M1809" s="1246">
        <f t="shared" si="68"/>
        <v>24000</v>
      </c>
      <c r="N1809" s="1275">
        <v>12</v>
      </c>
      <c r="O1809" s="1275">
        <v>8</v>
      </c>
      <c r="P1809" s="899">
        <f t="shared" si="69"/>
        <v>16000</v>
      </c>
    </row>
    <row r="1810" spans="1:16" ht="36" x14ac:dyDescent="0.2">
      <c r="A1810" s="916" t="s">
        <v>6518</v>
      </c>
      <c r="B1810" s="898" t="s">
        <v>4291</v>
      </c>
      <c r="C1810" s="916" t="s">
        <v>398</v>
      </c>
      <c r="D1810" s="898" t="s">
        <v>517</v>
      </c>
      <c r="E1810" s="1144">
        <v>2000</v>
      </c>
      <c r="F1810" s="898" t="s">
        <v>6700</v>
      </c>
      <c r="G1810" s="1245" t="s">
        <v>6701</v>
      </c>
      <c r="H1810" s="1245" t="s">
        <v>517</v>
      </c>
      <c r="I1810" s="943" t="s">
        <v>4004</v>
      </c>
      <c r="J1810" s="943" t="s">
        <v>3575</v>
      </c>
      <c r="K1810" s="944">
        <v>12</v>
      </c>
      <c r="L1810" s="1275">
        <v>12</v>
      </c>
      <c r="M1810" s="1246">
        <f t="shared" si="68"/>
        <v>24000</v>
      </c>
      <c r="N1810" s="1275">
        <v>12</v>
      </c>
      <c r="O1810" s="1275">
        <v>8</v>
      </c>
      <c r="P1810" s="899">
        <f t="shared" si="69"/>
        <v>16000</v>
      </c>
    </row>
    <row r="1811" spans="1:16" ht="36" x14ac:dyDescent="0.2">
      <c r="A1811" s="916" t="s">
        <v>6518</v>
      </c>
      <c r="B1811" s="898" t="s">
        <v>4291</v>
      </c>
      <c r="C1811" s="916" t="s">
        <v>398</v>
      </c>
      <c r="D1811" s="898" t="s">
        <v>517</v>
      </c>
      <c r="E1811" s="1144">
        <v>2000</v>
      </c>
      <c r="F1811" s="898" t="s">
        <v>6702</v>
      </c>
      <c r="G1811" s="1245" t="s">
        <v>6703</v>
      </c>
      <c r="H1811" s="1245" t="s">
        <v>517</v>
      </c>
      <c r="I1811" s="943" t="s">
        <v>4004</v>
      </c>
      <c r="J1811" s="943" t="s">
        <v>3575</v>
      </c>
      <c r="K1811" s="944">
        <v>12</v>
      </c>
      <c r="L1811" s="1275">
        <v>12</v>
      </c>
      <c r="M1811" s="1246">
        <f t="shared" si="68"/>
        <v>24000</v>
      </c>
      <c r="N1811" s="1275">
        <v>12</v>
      </c>
      <c r="O1811" s="1275">
        <v>8</v>
      </c>
      <c r="P1811" s="899">
        <f t="shared" si="69"/>
        <v>16000</v>
      </c>
    </row>
    <row r="1812" spans="1:16" ht="36" x14ac:dyDescent="0.2">
      <c r="A1812" s="916" t="s">
        <v>6518</v>
      </c>
      <c r="B1812" s="898" t="s">
        <v>4291</v>
      </c>
      <c r="C1812" s="916" t="s">
        <v>398</v>
      </c>
      <c r="D1812" s="898" t="s">
        <v>517</v>
      </c>
      <c r="E1812" s="1144">
        <v>2000</v>
      </c>
      <c r="F1812" s="898" t="s">
        <v>6704</v>
      </c>
      <c r="G1812" s="1245" t="s">
        <v>6705</v>
      </c>
      <c r="H1812" s="1245" t="s">
        <v>517</v>
      </c>
      <c r="I1812" s="943" t="s">
        <v>4004</v>
      </c>
      <c r="J1812" s="943" t="s">
        <v>3575</v>
      </c>
      <c r="K1812" s="944">
        <v>12</v>
      </c>
      <c r="L1812" s="1275">
        <v>12</v>
      </c>
      <c r="M1812" s="1246">
        <f t="shared" si="68"/>
        <v>24000</v>
      </c>
      <c r="N1812" s="1275">
        <v>12</v>
      </c>
      <c r="O1812" s="1275">
        <v>8</v>
      </c>
      <c r="P1812" s="899">
        <f t="shared" si="69"/>
        <v>16000</v>
      </c>
    </row>
    <row r="1813" spans="1:16" ht="36" x14ac:dyDescent="0.2">
      <c r="A1813" s="916" t="s">
        <v>6518</v>
      </c>
      <c r="B1813" s="898" t="s">
        <v>4291</v>
      </c>
      <c r="C1813" s="916" t="s">
        <v>398</v>
      </c>
      <c r="D1813" s="898" t="s">
        <v>517</v>
      </c>
      <c r="E1813" s="1144">
        <v>2000</v>
      </c>
      <c r="F1813" s="898" t="s">
        <v>6706</v>
      </c>
      <c r="G1813" s="1245" t="s">
        <v>6707</v>
      </c>
      <c r="H1813" s="1245" t="s">
        <v>517</v>
      </c>
      <c r="I1813" s="943" t="s">
        <v>4004</v>
      </c>
      <c r="J1813" s="943" t="s">
        <v>3575</v>
      </c>
      <c r="K1813" s="944">
        <v>12</v>
      </c>
      <c r="L1813" s="1275">
        <v>12</v>
      </c>
      <c r="M1813" s="1246">
        <f t="shared" si="68"/>
        <v>24000</v>
      </c>
      <c r="N1813" s="1275">
        <v>12</v>
      </c>
      <c r="O1813" s="1275">
        <v>8</v>
      </c>
      <c r="P1813" s="899">
        <f t="shared" si="69"/>
        <v>16000</v>
      </c>
    </row>
    <row r="1814" spans="1:16" ht="36" x14ac:dyDescent="0.2">
      <c r="A1814" s="916" t="s">
        <v>6518</v>
      </c>
      <c r="B1814" s="898" t="s">
        <v>4291</v>
      </c>
      <c r="C1814" s="916" t="s">
        <v>398</v>
      </c>
      <c r="D1814" s="898" t="s">
        <v>517</v>
      </c>
      <c r="E1814" s="1144">
        <v>2000</v>
      </c>
      <c r="F1814" s="898" t="s">
        <v>6708</v>
      </c>
      <c r="G1814" s="1245" t="s">
        <v>6709</v>
      </c>
      <c r="H1814" s="1245" t="s">
        <v>517</v>
      </c>
      <c r="I1814" s="943" t="s">
        <v>4004</v>
      </c>
      <c r="J1814" s="943" t="s">
        <v>3575</v>
      </c>
      <c r="K1814" s="944">
        <v>12</v>
      </c>
      <c r="L1814" s="1275">
        <v>12</v>
      </c>
      <c r="M1814" s="1246">
        <f t="shared" si="68"/>
        <v>24000</v>
      </c>
      <c r="N1814" s="1275">
        <v>12</v>
      </c>
      <c r="O1814" s="1275">
        <v>8</v>
      </c>
      <c r="P1814" s="899">
        <f t="shared" si="69"/>
        <v>16000</v>
      </c>
    </row>
    <row r="1815" spans="1:16" ht="36" x14ac:dyDescent="0.2">
      <c r="A1815" s="916" t="s">
        <v>6518</v>
      </c>
      <c r="B1815" s="898" t="s">
        <v>4291</v>
      </c>
      <c r="C1815" s="916" t="s">
        <v>398</v>
      </c>
      <c r="D1815" s="898" t="s">
        <v>5077</v>
      </c>
      <c r="E1815" s="1144">
        <v>4200</v>
      </c>
      <c r="F1815" s="898" t="s">
        <v>6710</v>
      </c>
      <c r="G1815" s="1245" t="s">
        <v>6711</v>
      </c>
      <c r="H1815" s="1245" t="s">
        <v>5077</v>
      </c>
      <c r="I1815" s="943" t="s">
        <v>4004</v>
      </c>
      <c r="J1815" s="943" t="s">
        <v>3575</v>
      </c>
      <c r="K1815" s="944">
        <v>12</v>
      </c>
      <c r="L1815" s="1275">
        <v>12</v>
      </c>
      <c r="M1815" s="1246">
        <f t="shared" si="68"/>
        <v>50400</v>
      </c>
      <c r="N1815" s="1275">
        <v>12</v>
      </c>
      <c r="O1815" s="1275">
        <v>8</v>
      </c>
      <c r="P1815" s="899">
        <f t="shared" si="69"/>
        <v>33600</v>
      </c>
    </row>
    <row r="1816" spans="1:16" ht="36" x14ac:dyDescent="0.2">
      <c r="A1816" s="916" t="s">
        <v>6518</v>
      </c>
      <c r="B1816" s="898" t="s">
        <v>4291</v>
      </c>
      <c r="C1816" s="916" t="s">
        <v>398</v>
      </c>
      <c r="D1816" s="898" t="s">
        <v>5077</v>
      </c>
      <c r="E1816" s="1144">
        <v>4200</v>
      </c>
      <c r="F1816" s="898" t="s">
        <v>6712</v>
      </c>
      <c r="G1816" s="1245" t="s">
        <v>6713</v>
      </c>
      <c r="H1816" s="1245" t="s">
        <v>5077</v>
      </c>
      <c r="I1816" s="943" t="s">
        <v>4004</v>
      </c>
      <c r="J1816" s="943" t="s">
        <v>3575</v>
      </c>
      <c r="K1816" s="944">
        <v>12</v>
      </c>
      <c r="L1816" s="1275">
        <v>12</v>
      </c>
      <c r="M1816" s="1246">
        <f t="shared" si="68"/>
        <v>50400</v>
      </c>
      <c r="N1816" s="1275">
        <v>12</v>
      </c>
      <c r="O1816" s="1275">
        <v>8</v>
      </c>
      <c r="P1816" s="899">
        <f t="shared" si="69"/>
        <v>33600</v>
      </c>
    </row>
    <row r="1817" spans="1:16" ht="36" x14ac:dyDescent="0.2">
      <c r="A1817" s="916" t="s">
        <v>6518</v>
      </c>
      <c r="B1817" s="898" t="s">
        <v>4291</v>
      </c>
      <c r="C1817" s="916" t="s">
        <v>398</v>
      </c>
      <c r="D1817" s="898" t="s">
        <v>5077</v>
      </c>
      <c r="E1817" s="1144">
        <v>4200</v>
      </c>
      <c r="F1817" s="898" t="s">
        <v>6714</v>
      </c>
      <c r="G1817" s="1245" t="s">
        <v>6715</v>
      </c>
      <c r="H1817" s="1245" t="s">
        <v>5077</v>
      </c>
      <c r="I1817" s="943" t="s">
        <v>4004</v>
      </c>
      <c r="J1817" s="943" t="s">
        <v>3575</v>
      </c>
      <c r="K1817" s="944">
        <v>12</v>
      </c>
      <c r="L1817" s="1275">
        <v>12</v>
      </c>
      <c r="M1817" s="1246">
        <f t="shared" si="68"/>
        <v>50400</v>
      </c>
      <c r="N1817" s="1275">
        <v>12</v>
      </c>
      <c r="O1817" s="1275">
        <v>8</v>
      </c>
      <c r="P1817" s="899">
        <f t="shared" si="69"/>
        <v>33600</v>
      </c>
    </row>
    <row r="1818" spans="1:16" ht="36" x14ac:dyDescent="0.2">
      <c r="A1818" s="916" t="s">
        <v>6518</v>
      </c>
      <c r="B1818" s="898" t="s">
        <v>4291</v>
      </c>
      <c r="C1818" s="916" t="s">
        <v>398</v>
      </c>
      <c r="D1818" s="898" t="s">
        <v>5077</v>
      </c>
      <c r="E1818" s="1144">
        <v>4200</v>
      </c>
      <c r="F1818" s="898" t="s">
        <v>6716</v>
      </c>
      <c r="G1818" s="1245" t="s">
        <v>6717</v>
      </c>
      <c r="H1818" s="1245" t="s">
        <v>5077</v>
      </c>
      <c r="I1818" s="943" t="s">
        <v>4004</v>
      </c>
      <c r="J1818" s="943" t="s">
        <v>3575</v>
      </c>
      <c r="K1818" s="944">
        <v>12</v>
      </c>
      <c r="L1818" s="1275">
        <v>12</v>
      </c>
      <c r="M1818" s="1246">
        <f t="shared" si="68"/>
        <v>50400</v>
      </c>
      <c r="N1818" s="1275">
        <v>12</v>
      </c>
      <c r="O1818" s="1275">
        <v>8</v>
      </c>
      <c r="P1818" s="899">
        <f t="shared" si="69"/>
        <v>33600</v>
      </c>
    </row>
    <row r="1819" spans="1:16" ht="36" x14ac:dyDescent="0.2">
      <c r="A1819" s="916" t="s">
        <v>6518</v>
      </c>
      <c r="B1819" s="898" t="s">
        <v>4291</v>
      </c>
      <c r="C1819" s="916" t="s">
        <v>398</v>
      </c>
      <c r="D1819" s="898" t="s">
        <v>5077</v>
      </c>
      <c r="E1819" s="1144">
        <v>4200</v>
      </c>
      <c r="F1819" s="898" t="s">
        <v>6718</v>
      </c>
      <c r="G1819" s="1245" t="s">
        <v>6719</v>
      </c>
      <c r="H1819" s="1245" t="s">
        <v>5077</v>
      </c>
      <c r="I1819" s="943" t="s">
        <v>4004</v>
      </c>
      <c r="J1819" s="943" t="s">
        <v>3575</v>
      </c>
      <c r="K1819" s="944">
        <v>12</v>
      </c>
      <c r="L1819" s="1275">
        <v>12</v>
      </c>
      <c r="M1819" s="1246">
        <f t="shared" si="68"/>
        <v>50400</v>
      </c>
      <c r="N1819" s="1275">
        <v>12</v>
      </c>
      <c r="O1819" s="1275">
        <v>8</v>
      </c>
      <c r="P1819" s="899">
        <f t="shared" si="69"/>
        <v>33600</v>
      </c>
    </row>
    <row r="1820" spans="1:16" ht="36" x14ac:dyDescent="0.2">
      <c r="A1820" s="916" t="s">
        <v>6518</v>
      </c>
      <c r="B1820" s="898" t="s">
        <v>4291</v>
      </c>
      <c r="C1820" s="916" t="s">
        <v>398</v>
      </c>
      <c r="D1820" s="898" t="s">
        <v>5077</v>
      </c>
      <c r="E1820" s="1144">
        <v>4200</v>
      </c>
      <c r="F1820" s="898" t="s">
        <v>6720</v>
      </c>
      <c r="G1820" s="1245" t="s">
        <v>6721</v>
      </c>
      <c r="H1820" s="1245" t="s">
        <v>5077</v>
      </c>
      <c r="I1820" s="943" t="s">
        <v>4004</v>
      </c>
      <c r="J1820" s="943" t="s">
        <v>3575</v>
      </c>
      <c r="K1820" s="944">
        <v>12</v>
      </c>
      <c r="L1820" s="1275">
        <v>12</v>
      </c>
      <c r="M1820" s="1246">
        <f t="shared" si="68"/>
        <v>50400</v>
      </c>
      <c r="N1820" s="1275">
        <v>12</v>
      </c>
      <c r="O1820" s="1275">
        <v>8</v>
      </c>
      <c r="P1820" s="899">
        <f t="shared" si="69"/>
        <v>33600</v>
      </c>
    </row>
    <row r="1821" spans="1:16" ht="36" x14ac:dyDescent="0.2">
      <c r="A1821" s="916" t="s">
        <v>6518</v>
      </c>
      <c r="B1821" s="898" t="s">
        <v>4291</v>
      </c>
      <c r="C1821" s="916" t="s">
        <v>398</v>
      </c>
      <c r="D1821" s="898" t="s">
        <v>5077</v>
      </c>
      <c r="E1821" s="1144">
        <v>4200</v>
      </c>
      <c r="F1821" s="898" t="s">
        <v>6722</v>
      </c>
      <c r="G1821" s="1245" t="s">
        <v>6723</v>
      </c>
      <c r="H1821" s="1245" t="s">
        <v>5077</v>
      </c>
      <c r="I1821" s="943" t="s">
        <v>4004</v>
      </c>
      <c r="J1821" s="943" t="s">
        <v>3575</v>
      </c>
      <c r="K1821" s="944">
        <v>12</v>
      </c>
      <c r="L1821" s="1275">
        <v>12</v>
      </c>
      <c r="M1821" s="1246">
        <f t="shared" si="68"/>
        <v>50400</v>
      </c>
      <c r="N1821" s="1275">
        <v>12</v>
      </c>
      <c r="O1821" s="1275">
        <v>8</v>
      </c>
      <c r="P1821" s="899">
        <f t="shared" si="69"/>
        <v>33600</v>
      </c>
    </row>
    <row r="1822" spans="1:16" ht="36" x14ac:dyDescent="0.2">
      <c r="A1822" s="916" t="s">
        <v>6518</v>
      </c>
      <c r="B1822" s="898" t="s">
        <v>4291</v>
      </c>
      <c r="C1822" s="916" t="s">
        <v>398</v>
      </c>
      <c r="D1822" s="898" t="s">
        <v>5077</v>
      </c>
      <c r="E1822" s="1144">
        <v>4200</v>
      </c>
      <c r="F1822" s="898" t="s">
        <v>6724</v>
      </c>
      <c r="G1822" s="1245" t="s">
        <v>6725</v>
      </c>
      <c r="H1822" s="1245" t="s">
        <v>5077</v>
      </c>
      <c r="I1822" s="943" t="s">
        <v>4004</v>
      </c>
      <c r="J1822" s="943" t="s">
        <v>3575</v>
      </c>
      <c r="K1822" s="944">
        <v>12</v>
      </c>
      <c r="L1822" s="1275">
        <v>12</v>
      </c>
      <c r="M1822" s="1246">
        <f t="shared" si="68"/>
        <v>50400</v>
      </c>
      <c r="N1822" s="1275">
        <v>12</v>
      </c>
      <c r="O1822" s="1275">
        <v>8</v>
      </c>
      <c r="P1822" s="899">
        <f t="shared" si="69"/>
        <v>33600</v>
      </c>
    </row>
    <row r="1823" spans="1:16" ht="36" x14ac:dyDescent="0.2">
      <c r="A1823" s="916" t="s">
        <v>6518</v>
      </c>
      <c r="B1823" s="898" t="s">
        <v>4291</v>
      </c>
      <c r="C1823" s="916" t="s">
        <v>398</v>
      </c>
      <c r="D1823" s="898" t="s">
        <v>5077</v>
      </c>
      <c r="E1823" s="1144">
        <v>4200</v>
      </c>
      <c r="F1823" s="898" t="s">
        <v>6726</v>
      </c>
      <c r="G1823" s="1245" t="s">
        <v>6727</v>
      </c>
      <c r="H1823" s="1245" t="s">
        <v>5077</v>
      </c>
      <c r="I1823" s="943" t="s">
        <v>4004</v>
      </c>
      <c r="J1823" s="943" t="s">
        <v>3575</v>
      </c>
      <c r="K1823" s="944">
        <v>12</v>
      </c>
      <c r="L1823" s="1275">
        <v>12</v>
      </c>
      <c r="M1823" s="1246">
        <f t="shared" si="68"/>
        <v>50400</v>
      </c>
      <c r="N1823" s="1275">
        <v>12</v>
      </c>
      <c r="O1823" s="1275">
        <v>8</v>
      </c>
      <c r="P1823" s="899">
        <f t="shared" si="69"/>
        <v>33600</v>
      </c>
    </row>
    <row r="1824" spans="1:16" ht="36" x14ac:dyDescent="0.2">
      <c r="A1824" s="916" t="s">
        <v>6518</v>
      </c>
      <c r="B1824" s="898" t="s">
        <v>4291</v>
      </c>
      <c r="C1824" s="916" t="s">
        <v>398</v>
      </c>
      <c r="D1824" s="898" t="s">
        <v>5077</v>
      </c>
      <c r="E1824" s="1144">
        <v>4200</v>
      </c>
      <c r="F1824" s="898" t="s">
        <v>6728</v>
      </c>
      <c r="G1824" s="1245" t="s">
        <v>6729</v>
      </c>
      <c r="H1824" s="1245" t="s">
        <v>5077</v>
      </c>
      <c r="I1824" s="943" t="s">
        <v>4004</v>
      </c>
      <c r="J1824" s="943" t="s">
        <v>3575</v>
      </c>
      <c r="K1824" s="944">
        <v>12</v>
      </c>
      <c r="L1824" s="1275">
        <v>12</v>
      </c>
      <c r="M1824" s="1246">
        <f t="shared" si="68"/>
        <v>50400</v>
      </c>
      <c r="N1824" s="1275">
        <v>12</v>
      </c>
      <c r="O1824" s="1275">
        <v>8</v>
      </c>
      <c r="P1824" s="899">
        <f t="shared" si="69"/>
        <v>33600</v>
      </c>
    </row>
    <row r="1825" spans="1:16" ht="36" x14ac:dyDescent="0.2">
      <c r="A1825" s="916" t="s">
        <v>6518</v>
      </c>
      <c r="B1825" s="898" t="s">
        <v>4291</v>
      </c>
      <c r="C1825" s="916" t="s">
        <v>398</v>
      </c>
      <c r="D1825" s="898" t="s">
        <v>5077</v>
      </c>
      <c r="E1825" s="1144">
        <v>4200</v>
      </c>
      <c r="F1825" s="898" t="s">
        <v>6730</v>
      </c>
      <c r="G1825" s="1245" t="s">
        <v>6731</v>
      </c>
      <c r="H1825" s="1245" t="s">
        <v>5077</v>
      </c>
      <c r="I1825" s="943" t="s">
        <v>4004</v>
      </c>
      <c r="J1825" s="943" t="s">
        <v>3575</v>
      </c>
      <c r="K1825" s="944">
        <v>12</v>
      </c>
      <c r="L1825" s="1275">
        <v>12</v>
      </c>
      <c r="M1825" s="1246">
        <f t="shared" si="68"/>
        <v>50400</v>
      </c>
      <c r="N1825" s="1275">
        <v>12</v>
      </c>
      <c r="O1825" s="1275">
        <v>8</v>
      </c>
      <c r="P1825" s="899">
        <f t="shared" si="69"/>
        <v>33600</v>
      </c>
    </row>
    <row r="1826" spans="1:16" ht="36" x14ac:dyDescent="0.2">
      <c r="A1826" s="916" t="s">
        <v>6518</v>
      </c>
      <c r="B1826" s="898" t="s">
        <v>4291</v>
      </c>
      <c r="C1826" s="916" t="s">
        <v>398</v>
      </c>
      <c r="D1826" s="898" t="s">
        <v>5077</v>
      </c>
      <c r="E1826" s="1144">
        <v>4200</v>
      </c>
      <c r="F1826" s="898" t="s">
        <v>6732</v>
      </c>
      <c r="G1826" s="1245" t="s">
        <v>6733</v>
      </c>
      <c r="H1826" s="1245" t="s">
        <v>5077</v>
      </c>
      <c r="I1826" s="943" t="s">
        <v>4004</v>
      </c>
      <c r="J1826" s="943" t="s">
        <v>3575</v>
      </c>
      <c r="K1826" s="944">
        <v>12</v>
      </c>
      <c r="L1826" s="1275">
        <v>12</v>
      </c>
      <c r="M1826" s="1246">
        <f t="shared" si="68"/>
        <v>50400</v>
      </c>
      <c r="N1826" s="1275">
        <v>12</v>
      </c>
      <c r="O1826" s="1275">
        <v>8</v>
      </c>
      <c r="P1826" s="899">
        <f t="shared" si="69"/>
        <v>33600</v>
      </c>
    </row>
    <row r="1827" spans="1:16" ht="36" x14ac:dyDescent="0.2">
      <c r="A1827" s="916" t="s">
        <v>6518</v>
      </c>
      <c r="B1827" s="898" t="s">
        <v>4291</v>
      </c>
      <c r="C1827" s="916" t="s">
        <v>398</v>
      </c>
      <c r="D1827" s="898" t="s">
        <v>5077</v>
      </c>
      <c r="E1827" s="1144">
        <v>4200</v>
      </c>
      <c r="F1827" s="898" t="s">
        <v>6734</v>
      </c>
      <c r="G1827" s="1245" t="s">
        <v>6735</v>
      </c>
      <c r="H1827" s="1245" t="s">
        <v>5077</v>
      </c>
      <c r="I1827" s="943" t="s">
        <v>4004</v>
      </c>
      <c r="J1827" s="943" t="s">
        <v>3575</v>
      </c>
      <c r="K1827" s="944">
        <v>12</v>
      </c>
      <c r="L1827" s="1275">
        <v>12</v>
      </c>
      <c r="M1827" s="1246">
        <f t="shared" si="68"/>
        <v>50400</v>
      </c>
      <c r="N1827" s="1275">
        <v>12</v>
      </c>
      <c r="O1827" s="1275">
        <v>8</v>
      </c>
      <c r="P1827" s="899">
        <f t="shared" si="69"/>
        <v>33600</v>
      </c>
    </row>
    <row r="1828" spans="1:16" ht="36" x14ac:dyDescent="0.2">
      <c r="A1828" s="916" t="s">
        <v>6518</v>
      </c>
      <c r="B1828" s="898" t="s">
        <v>4291</v>
      </c>
      <c r="C1828" s="916" t="s">
        <v>398</v>
      </c>
      <c r="D1828" s="898" t="s">
        <v>5077</v>
      </c>
      <c r="E1828" s="1144">
        <v>4920</v>
      </c>
      <c r="F1828" s="898" t="s">
        <v>6736</v>
      </c>
      <c r="G1828" s="1245" t="s">
        <v>6737</v>
      </c>
      <c r="H1828" s="1245" t="s">
        <v>5077</v>
      </c>
      <c r="I1828" s="943" t="s">
        <v>4004</v>
      </c>
      <c r="J1828" s="943" t="s">
        <v>3575</v>
      </c>
      <c r="K1828" s="944">
        <v>12</v>
      </c>
      <c r="L1828" s="1275">
        <v>12</v>
      </c>
      <c r="M1828" s="1246">
        <f t="shared" si="68"/>
        <v>59040</v>
      </c>
      <c r="N1828" s="1275">
        <v>12</v>
      </c>
      <c r="O1828" s="1275">
        <v>8</v>
      </c>
      <c r="P1828" s="899">
        <f t="shared" si="69"/>
        <v>39360</v>
      </c>
    </row>
    <row r="1829" spans="1:16" ht="36" x14ac:dyDescent="0.2">
      <c r="A1829" s="916" t="s">
        <v>6518</v>
      </c>
      <c r="B1829" s="898" t="s">
        <v>4291</v>
      </c>
      <c r="C1829" s="916" t="s">
        <v>398</v>
      </c>
      <c r="D1829" s="898" t="s">
        <v>486</v>
      </c>
      <c r="E1829" s="1144">
        <v>2000</v>
      </c>
      <c r="F1829" s="898" t="s">
        <v>6738</v>
      </c>
      <c r="G1829" s="1245" t="s">
        <v>6739</v>
      </c>
      <c r="H1829" s="1245" t="s">
        <v>486</v>
      </c>
      <c r="I1829" s="943" t="s">
        <v>4004</v>
      </c>
      <c r="J1829" s="943" t="s">
        <v>3575</v>
      </c>
      <c r="K1829" s="944">
        <v>12</v>
      </c>
      <c r="L1829" s="1275">
        <v>12</v>
      </c>
      <c r="M1829" s="1246">
        <f t="shared" si="68"/>
        <v>24000</v>
      </c>
      <c r="N1829" s="1275">
        <v>12</v>
      </c>
      <c r="O1829" s="1275">
        <v>8</v>
      </c>
      <c r="P1829" s="899">
        <f t="shared" si="69"/>
        <v>16000</v>
      </c>
    </row>
    <row r="1830" spans="1:16" ht="36" x14ac:dyDescent="0.2">
      <c r="A1830" s="916" t="s">
        <v>6518</v>
      </c>
      <c r="B1830" s="898" t="s">
        <v>4291</v>
      </c>
      <c r="C1830" s="916" t="s">
        <v>398</v>
      </c>
      <c r="D1830" s="898" t="s">
        <v>5063</v>
      </c>
      <c r="E1830" s="1144">
        <v>2800</v>
      </c>
      <c r="F1830" s="898" t="s">
        <v>6740</v>
      </c>
      <c r="G1830" s="1245" t="s">
        <v>6741</v>
      </c>
      <c r="H1830" s="1245" t="s">
        <v>5063</v>
      </c>
      <c r="I1830" s="943" t="s">
        <v>4004</v>
      </c>
      <c r="J1830" s="943" t="s">
        <v>3575</v>
      </c>
      <c r="K1830" s="944">
        <v>12</v>
      </c>
      <c r="L1830" s="1275">
        <v>12</v>
      </c>
      <c r="M1830" s="1246">
        <f t="shared" si="68"/>
        <v>33600</v>
      </c>
      <c r="N1830" s="1275">
        <v>12</v>
      </c>
      <c r="O1830" s="1275">
        <v>8</v>
      </c>
      <c r="P1830" s="899">
        <f t="shared" si="69"/>
        <v>22400</v>
      </c>
    </row>
    <row r="1831" spans="1:16" ht="36" x14ac:dyDescent="0.2">
      <c r="A1831" s="916" t="s">
        <v>6518</v>
      </c>
      <c r="B1831" s="898" t="s">
        <v>4291</v>
      </c>
      <c r="C1831" s="916" t="s">
        <v>398</v>
      </c>
      <c r="D1831" s="898" t="s">
        <v>5063</v>
      </c>
      <c r="E1831" s="1144">
        <v>3000</v>
      </c>
      <c r="F1831" s="898" t="s">
        <v>6742</v>
      </c>
      <c r="G1831" s="1245" t="s">
        <v>6743</v>
      </c>
      <c r="H1831" s="1245" t="s">
        <v>5063</v>
      </c>
      <c r="I1831" s="943" t="s">
        <v>4004</v>
      </c>
      <c r="J1831" s="943" t="s">
        <v>3575</v>
      </c>
      <c r="K1831" s="944">
        <v>12</v>
      </c>
      <c r="L1831" s="1275">
        <v>12</v>
      </c>
      <c r="M1831" s="1246">
        <f t="shared" si="68"/>
        <v>36000</v>
      </c>
      <c r="N1831" s="1275">
        <v>12</v>
      </c>
      <c r="O1831" s="1275">
        <v>8</v>
      </c>
      <c r="P1831" s="899">
        <f t="shared" si="69"/>
        <v>24000</v>
      </c>
    </row>
    <row r="1832" spans="1:16" ht="36" x14ac:dyDescent="0.2">
      <c r="A1832" s="916" t="s">
        <v>6518</v>
      </c>
      <c r="B1832" s="898" t="s">
        <v>4291</v>
      </c>
      <c r="C1832" s="916" t="s">
        <v>398</v>
      </c>
      <c r="D1832" s="898" t="s">
        <v>566</v>
      </c>
      <c r="E1832" s="1144">
        <v>3000</v>
      </c>
      <c r="F1832" s="898" t="s">
        <v>6744</v>
      </c>
      <c r="G1832" s="1245" t="s">
        <v>6745</v>
      </c>
      <c r="H1832" s="1245" t="s">
        <v>566</v>
      </c>
      <c r="I1832" s="943" t="s">
        <v>4004</v>
      </c>
      <c r="J1832" s="943" t="s">
        <v>3575</v>
      </c>
      <c r="K1832" s="944">
        <v>12</v>
      </c>
      <c r="L1832" s="1275">
        <v>12</v>
      </c>
      <c r="M1832" s="1246">
        <f t="shared" si="68"/>
        <v>36000</v>
      </c>
      <c r="N1832" s="1275">
        <v>12</v>
      </c>
      <c r="O1832" s="1275">
        <v>8</v>
      </c>
      <c r="P1832" s="899">
        <f t="shared" si="69"/>
        <v>24000</v>
      </c>
    </row>
    <row r="1833" spans="1:16" ht="36" x14ac:dyDescent="0.2">
      <c r="A1833" s="916" t="s">
        <v>6518</v>
      </c>
      <c r="B1833" s="898" t="s">
        <v>4291</v>
      </c>
      <c r="C1833" s="916" t="s">
        <v>398</v>
      </c>
      <c r="D1833" s="898" t="s">
        <v>5106</v>
      </c>
      <c r="E1833" s="1144">
        <v>2000</v>
      </c>
      <c r="F1833" s="898" t="s">
        <v>6746</v>
      </c>
      <c r="G1833" s="1245" t="s">
        <v>6747</v>
      </c>
      <c r="H1833" s="1245" t="s">
        <v>5106</v>
      </c>
      <c r="I1833" s="943" t="s">
        <v>4004</v>
      </c>
      <c r="J1833" s="943" t="s">
        <v>3575</v>
      </c>
      <c r="K1833" s="944">
        <v>12</v>
      </c>
      <c r="L1833" s="1275">
        <v>12</v>
      </c>
      <c r="M1833" s="1246">
        <f t="shared" si="68"/>
        <v>24000</v>
      </c>
      <c r="N1833" s="1275">
        <v>12</v>
      </c>
      <c r="O1833" s="1275">
        <v>8</v>
      </c>
      <c r="P1833" s="899">
        <f t="shared" si="69"/>
        <v>16000</v>
      </c>
    </row>
    <row r="1834" spans="1:16" ht="36" x14ac:dyDescent="0.2">
      <c r="A1834" s="916" t="s">
        <v>6518</v>
      </c>
      <c r="B1834" s="898" t="s">
        <v>4291</v>
      </c>
      <c r="C1834" s="916" t="s">
        <v>398</v>
      </c>
      <c r="D1834" s="898" t="s">
        <v>5106</v>
      </c>
      <c r="E1834" s="1144">
        <v>2000</v>
      </c>
      <c r="F1834" s="898" t="s">
        <v>6748</v>
      </c>
      <c r="G1834" s="1245" t="s">
        <v>6749</v>
      </c>
      <c r="H1834" s="1245" t="s">
        <v>5106</v>
      </c>
      <c r="I1834" s="943" t="s">
        <v>4004</v>
      </c>
      <c r="J1834" s="943" t="s">
        <v>3575</v>
      </c>
      <c r="K1834" s="944">
        <v>12</v>
      </c>
      <c r="L1834" s="1275">
        <v>12</v>
      </c>
      <c r="M1834" s="1246">
        <f t="shared" si="68"/>
        <v>24000</v>
      </c>
      <c r="N1834" s="1275">
        <v>12</v>
      </c>
      <c r="O1834" s="1275">
        <v>8</v>
      </c>
      <c r="P1834" s="899">
        <f t="shared" si="69"/>
        <v>16000</v>
      </c>
    </row>
    <row r="1835" spans="1:16" ht="36" x14ac:dyDescent="0.2">
      <c r="A1835" s="916" t="s">
        <v>6518</v>
      </c>
      <c r="B1835" s="898" t="s">
        <v>4291</v>
      </c>
      <c r="C1835" s="916" t="s">
        <v>398</v>
      </c>
      <c r="D1835" s="898" t="s">
        <v>5106</v>
      </c>
      <c r="E1835" s="1144">
        <v>2000</v>
      </c>
      <c r="F1835" s="898" t="s">
        <v>6750</v>
      </c>
      <c r="G1835" s="1245" t="s">
        <v>6751</v>
      </c>
      <c r="H1835" s="1245" t="s">
        <v>5106</v>
      </c>
      <c r="I1835" s="943" t="s">
        <v>4004</v>
      </c>
      <c r="J1835" s="943" t="s">
        <v>3575</v>
      </c>
      <c r="K1835" s="944">
        <v>12</v>
      </c>
      <c r="L1835" s="1275">
        <v>12</v>
      </c>
      <c r="M1835" s="1246">
        <f t="shared" si="68"/>
        <v>24000</v>
      </c>
      <c r="N1835" s="1275">
        <v>12</v>
      </c>
      <c r="O1835" s="1275">
        <v>8</v>
      </c>
      <c r="P1835" s="899">
        <f t="shared" si="69"/>
        <v>16000</v>
      </c>
    </row>
    <row r="1836" spans="1:16" ht="36" x14ac:dyDescent="0.2">
      <c r="A1836" s="916" t="s">
        <v>6518</v>
      </c>
      <c r="B1836" s="898" t="s">
        <v>4291</v>
      </c>
      <c r="C1836" s="916" t="s">
        <v>398</v>
      </c>
      <c r="D1836" s="898" t="s">
        <v>5106</v>
      </c>
      <c r="E1836" s="1144">
        <v>2000</v>
      </c>
      <c r="F1836" s="898" t="s">
        <v>6752</v>
      </c>
      <c r="G1836" s="1245" t="s">
        <v>6753</v>
      </c>
      <c r="H1836" s="1245" t="s">
        <v>5106</v>
      </c>
      <c r="I1836" s="943" t="s">
        <v>4004</v>
      </c>
      <c r="J1836" s="943" t="s">
        <v>3575</v>
      </c>
      <c r="K1836" s="944">
        <v>12</v>
      </c>
      <c r="L1836" s="1275">
        <v>12</v>
      </c>
      <c r="M1836" s="1246">
        <f t="shared" si="68"/>
        <v>24000</v>
      </c>
      <c r="N1836" s="1275">
        <v>12</v>
      </c>
      <c r="O1836" s="1275">
        <v>8</v>
      </c>
      <c r="P1836" s="899">
        <f t="shared" si="69"/>
        <v>16000</v>
      </c>
    </row>
    <row r="1837" spans="1:16" ht="36" x14ac:dyDescent="0.2">
      <c r="A1837" s="916" t="s">
        <v>6518</v>
      </c>
      <c r="B1837" s="898" t="s">
        <v>4291</v>
      </c>
      <c r="C1837" s="916" t="s">
        <v>398</v>
      </c>
      <c r="D1837" s="898" t="s">
        <v>5106</v>
      </c>
      <c r="E1837" s="1144">
        <v>2000</v>
      </c>
      <c r="F1837" s="898" t="s">
        <v>6754</v>
      </c>
      <c r="G1837" s="1245" t="s">
        <v>6755</v>
      </c>
      <c r="H1837" s="1245" t="s">
        <v>5106</v>
      </c>
      <c r="I1837" s="943" t="s">
        <v>4004</v>
      </c>
      <c r="J1837" s="943" t="s">
        <v>3575</v>
      </c>
      <c r="K1837" s="944">
        <v>12</v>
      </c>
      <c r="L1837" s="1275">
        <v>12</v>
      </c>
      <c r="M1837" s="1246">
        <f t="shared" si="68"/>
        <v>24000</v>
      </c>
      <c r="N1837" s="1275">
        <v>12</v>
      </c>
      <c r="O1837" s="1275">
        <v>8</v>
      </c>
      <c r="P1837" s="899">
        <f t="shared" si="69"/>
        <v>16000</v>
      </c>
    </row>
    <row r="1838" spans="1:16" ht="36" x14ac:dyDescent="0.2">
      <c r="A1838" s="916" t="s">
        <v>6518</v>
      </c>
      <c r="B1838" s="898" t="s">
        <v>4291</v>
      </c>
      <c r="C1838" s="916" t="s">
        <v>398</v>
      </c>
      <c r="D1838" s="898" t="s">
        <v>5106</v>
      </c>
      <c r="E1838" s="1144">
        <v>2000</v>
      </c>
      <c r="F1838" s="898" t="s">
        <v>6756</v>
      </c>
      <c r="G1838" s="1245" t="s">
        <v>6757</v>
      </c>
      <c r="H1838" s="1245" t="s">
        <v>5106</v>
      </c>
      <c r="I1838" s="943" t="s">
        <v>4004</v>
      </c>
      <c r="J1838" s="943" t="s">
        <v>3575</v>
      </c>
      <c r="K1838" s="944">
        <v>12</v>
      </c>
      <c r="L1838" s="1275">
        <v>12</v>
      </c>
      <c r="M1838" s="1246">
        <f t="shared" si="68"/>
        <v>24000</v>
      </c>
      <c r="N1838" s="1275">
        <v>12</v>
      </c>
      <c r="O1838" s="1275">
        <v>8</v>
      </c>
      <c r="P1838" s="899">
        <f t="shared" si="69"/>
        <v>16000</v>
      </c>
    </row>
    <row r="1839" spans="1:16" ht="36" x14ac:dyDescent="0.2">
      <c r="A1839" s="916" t="s">
        <v>6518</v>
      </c>
      <c r="B1839" s="898" t="s">
        <v>4291</v>
      </c>
      <c r="C1839" s="916" t="s">
        <v>398</v>
      </c>
      <c r="D1839" s="898" t="s">
        <v>5106</v>
      </c>
      <c r="E1839" s="1144">
        <v>2000</v>
      </c>
      <c r="F1839" s="898" t="s">
        <v>6758</v>
      </c>
      <c r="G1839" s="1245" t="s">
        <v>6759</v>
      </c>
      <c r="H1839" s="1245" t="s">
        <v>5106</v>
      </c>
      <c r="I1839" s="943" t="s">
        <v>4004</v>
      </c>
      <c r="J1839" s="943" t="s">
        <v>3575</v>
      </c>
      <c r="K1839" s="944">
        <v>12</v>
      </c>
      <c r="L1839" s="1275">
        <v>12</v>
      </c>
      <c r="M1839" s="1246">
        <f t="shared" si="68"/>
        <v>24000</v>
      </c>
      <c r="N1839" s="1275">
        <v>12</v>
      </c>
      <c r="O1839" s="1275">
        <v>8</v>
      </c>
      <c r="P1839" s="899">
        <f t="shared" si="69"/>
        <v>16000</v>
      </c>
    </row>
    <row r="1840" spans="1:16" ht="36" x14ac:dyDescent="0.2">
      <c r="A1840" s="916" t="s">
        <v>6518</v>
      </c>
      <c r="B1840" s="898" t="s">
        <v>4291</v>
      </c>
      <c r="C1840" s="916" t="s">
        <v>398</v>
      </c>
      <c r="D1840" s="898" t="s">
        <v>5106</v>
      </c>
      <c r="E1840" s="1144">
        <v>2000</v>
      </c>
      <c r="F1840" s="898" t="s">
        <v>6760</v>
      </c>
      <c r="G1840" s="1245" t="s">
        <v>6761</v>
      </c>
      <c r="H1840" s="1245" t="s">
        <v>5106</v>
      </c>
      <c r="I1840" s="943" t="s">
        <v>4004</v>
      </c>
      <c r="J1840" s="943" t="s">
        <v>3575</v>
      </c>
      <c r="K1840" s="944">
        <v>12</v>
      </c>
      <c r="L1840" s="1275">
        <v>12</v>
      </c>
      <c r="M1840" s="1246">
        <f t="shared" si="68"/>
        <v>24000</v>
      </c>
      <c r="N1840" s="1275">
        <v>12</v>
      </c>
      <c r="O1840" s="1275">
        <v>8</v>
      </c>
      <c r="P1840" s="899">
        <f t="shared" si="69"/>
        <v>16000</v>
      </c>
    </row>
    <row r="1841" spans="1:16" ht="36" x14ac:dyDescent="0.2">
      <c r="A1841" s="916" t="s">
        <v>6518</v>
      </c>
      <c r="B1841" s="898" t="s">
        <v>4291</v>
      </c>
      <c r="C1841" s="916" t="s">
        <v>398</v>
      </c>
      <c r="D1841" s="898" t="s">
        <v>5106</v>
      </c>
      <c r="E1841" s="1144">
        <v>2000</v>
      </c>
      <c r="F1841" s="898" t="s">
        <v>6762</v>
      </c>
      <c r="G1841" s="1245" t="s">
        <v>6763</v>
      </c>
      <c r="H1841" s="1245" t="s">
        <v>5106</v>
      </c>
      <c r="I1841" s="943" t="s">
        <v>4004</v>
      </c>
      <c r="J1841" s="943" t="s">
        <v>3575</v>
      </c>
      <c r="K1841" s="944">
        <v>12</v>
      </c>
      <c r="L1841" s="1275">
        <v>12</v>
      </c>
      <c r="M1841" s="1246">
        <f t="shared" si="68"/>
        <v>24000</v>
      </c>
      <c r="N1841" s="1275">
        <v>12</v>
      </c>
      <c r="O1841" s="1275">
        <v>8</v>
      </c>
      <c r="P1841" s="899">
        <f t="shared" si="69"/>
        <v>16000</v>
      </c>
    </row>
    <row r="1842" spans="1:16" ht="36" x14ac:dyDescent="0.2">
      <c r="A1842" s="916" t="s">
        <v>6518</v>
      </c>
      <c r="B1842" s="898" t="s">
        <v>4291</v>
      </c>
      <c r="C1842" s="916" t="s">
        <v>398</v>
      </c>
      <c r="D1842" s="898" t="s">
        <v>5106</v>
      </c>
      <c r="E1842" s="1144">
        <v>2000</v>
      </c>
      <c r="F1842" s="898" t="s">
        <v>6764</v>
      </c>
      <c r="G1842" s="1245" t="s">
        <v>6765</v>
      </c>
      <c r="H1842" s="1245" t="s">
        <v>5106</v>
      </c>
      <c r="I1842" s="943" t="s">
        <v>4004</v>
      </c>
      <c r="J1842" s="943" t="s">
        <v>3575</v>
      </c>
      <c r="K1842" s="944">
        <v>12</v>
      </c>
      <c r="L1842" s="1275">
        <v>12</v>
      </c>
      <c r="M1842" s="1246">
        <f t="shared" si="68"/>
        <v>24000</v>
      </c>
      <c r="N1842" s="1275">
        <v>12</v>
      </c>
      <c r="O1842" s="1275">
        <v>8</v>
      </c>
      <c r="P1842" s="899">
        <f t="shared" si="69"/>
        <v>16000</v>
      </c>
    </row>
    <row r="1843" spans="1:16" ht="36" x14ac:dyDescent="0.2">
      <c r="A1843" s="916" t="s">
        <v>6518</v>
      </c>
      <c r="B1843" s="898" t="s">
        <v>4291</v>
      </c>
      <c r="C1843" s="916" t="s">
        <v>398</v>
      </c>
      <c r="D1843" s="898" t="s">
        <v>5106</v>
      </c>
      <c r="E1843" s="1144">
        <v>2000</v>
      </c>
      <c r="F1843" s="898" t="s">
        <v>6766</v>
      </c>
      <c r="G1843" s="1245" t="s">
        <v>6767</v>
      </c>
      <c r="H1843" s="1245" t="s">
        <v>5106</v>
      </c>
      <c r="I1843" s="943" t="s">
        <v>4004</v>
      </c>
      <c r="J1843" s="943" t="s">
        <v>3575</v>
      </c>
      <c r="K1843" s="944">
        <v>12</v>
      </c>
      <c r="L1843" s="1275">
        <v>12</v>
      </c>
      <c r="M1843" s="1246">
        <f t="shared" si="68"/>
        <v>24000</v>
      </c>
      <c r="N1843" s="1275">
        <v>12</v>
      </c>
      <c r="O1843" s="1275">
        <v>8</v>
      </c>
      <c r="P1843" s="899">
        <f t="shared" si="69"/>
        <v>16000</v>
      </c>
    </row>
    <row r="1844" spans="1:16" ht="36" x14ac:dyDescent="0.2">
      <c r="A1844" s="916" t="s">
        <v>6518</v>
      </c>
      <c r="B1844" s="898" t="s">
        <v>4291</v>
      </c>
      <c r="C1844" s="916" t="s">
        <v>398</v>
      </c>
      <c r="D1844" s="898" t="s">
        <v>5106</v>
      </c>
      <c r="E1844" s="1144">
        <v>2000</v>
      </c>
      <c r="F1844" s="898" t="s">
        <v>6768</v>
      </c>
      <c r="G1844" s="1245" t="s">
        <v>6769</v>
      </c>
      <c r="H1844" s="1245" t="s">
        <v>5106</v>
      </c>
      <c r="I1844" s="943" t="s">
        <v>4004</v>
      </c>
      <c r="J1844" s="943" t="s">
        <v>3575</v>
      </c>
      <c r="K1844" s="944">
        <v>12</v>
      </c>
      <c r="L1844" s="1275">
        <v>12</v>
      </c>
      <c r="M1844" s="1246">
        <f t="shared" si="68"/>
        <v>24000</v>
      </c>
      <c r="N1844" s="1275">
        <v>12</v>
      </c>
      <c r="O1844" s="1275">
        <v>8</v>
      </c>
      <c r="P1844" s="899">
        <f t="shared" si="69"/>
        <v>16000</v>
      </c>
    </row>
    <row r="1845" spans="1:16" ht="36" x14ac:dyDescent="0.2">
      <c r="A1845" s="916" t="s">
        <v>6518</v>
      </c>
      <c r="B1845" s="898" t="s">
        <v>4291</v>
      </c>
      <c r="C1845" s="916" t="s">
        <v>398</v>
      </c>
      <c r="D1845" s="898" t="s">
        <v>5106</v>
      </c>
      <c r="E1845" s="1144">
        <v>2000</v>
      </c>
      <c r="F1845" s="898" t="s">
        <v>6770</v>
      </c>
      <c r="G1845" s="1245" t="s">
        <v>6771</v>
      </c>
      <c r="H1845" s="1245" t="s">
        <v>5106</v>
      </c>
      <c r="I1845" s="943" t="s">
        <v>4004</v>
      </c>
      <c r="J1845" s="943" t="s">
        <v>3575</v>
      </c>
      <c r="K1845" s="944">
        <v>12</v>
      </c>
      <c r="L1845" s="1275">
        <v>12</v>
      </c>
      <c r="M1845" s="1246">
        <f t="shared" si="68"/>
        <v>24000</v>
      </c>
      <c r="N1845" s="1275">
        <v>12</v>
      </c>
      <c r="O1845" s="1275">
        <v>8</v>
      </c>
      <c r="P1845" s="899">
        <f t="shared" si="69"/>
        <v>16000</v>
      </c>
    </row>
    <row r="1846" spans="1:16" ht="36" x14ac:dyDescent="0.2">
      <c r="A1846" s="916" t="s">
        <v>6518</v>
      </c>
      <c r="B1846" s="898" t="s">
        <v>4291</v>
      </c>
      <c r="C1846" s="916" t="s">
        <v>398</v>
      </c>
      <c r="D1846" s="898" t="s">
        <v>3164</v>
      </c>
      <c r="E1846" s="1144">
        <v>1100</v>
      </c>
      <c r="F1846" s="898" t="s">
        <v>6772</v>
      </c>
      <c r="G1846" s="1245" t="s">
        <v>6773</v>
      </c>
      <c r="H1846" s="1245" t="s">
        <v>3164</v>
      </c>
      <c r="I1846" s="943" t="s">
        <v>4004</v>
      </c>
      <c r="J1846" s="943" t="s">
        <v>3575</v>
      </c>
      <c r="K1846" s="944">
        <v>12</v>
      </c>
      <c r="L1846" s="1275">
        <v>12</v>
      </c>
      <c r="M1846" s="1246">
        <f t="shared" si="68"/>
        <v>13200</v>
      </c>
      <c r="N1846" s="1275">
        <v>12</v>
      </c>
      <c r="O1846" s="1275">
        <v>8</v>
      </c>
      <c r="P1846" s="899">
        <f t="shared" si="69"/>
        <v>8800</v>
      </c>
    </row>
    <row r="1847" spans="1:16" ht="36" x14ac:dyDescent="0.2">
      <c r="A1847" s="916" t="s">
        <v>6518</v>
      </c>
      <c r="B1847" s="898" t="s">
        <v>4291</v>
      </c>
      <c r="C1847" s="916" t="s">
        <v>398</v>
      </c>
      <c r="D1847" s="898" t="s">
        <v>5043</v>
      </c>
      <c r="E1847" s="1144">
        <v>1300</v>
      </c>
      <c r="F1847" s="898" t="s">
        <v>6774</v>
      </c>
      <c r="G1847" s="1245" t="s">
        <v>6775</v>
      </c>
      <c r="H1847" s="1245" t="s">
        <v>5043</v>
      </c>
      <c r="I1847" s="1147" t="s">
        <v>3292</v>
      </c>
      <c r="J1847" s="943" t="s">
        <v>6540</v>
      </c>
      <c r="K1847" s="944">
        <v>12</v>
      </c>
      <c r="L1847" s="1275">
        <v>12</v>
      </c>
      <c r="M1847" s="1246">
        <f t="shared" si="68"/>
        <v>15600</v>
      </c>
      <c r="N1847" s="1275">
        <v>12</v>
      </c>
      <c r="O1847" s="1275">
        <v>8</v>
      </c>
      <c r="P1847" s="899">
        <f t="shared" si="69"/>
        <v>10400</v>
      </c>
    </row>
    <row r="1848" spans="1:16" ht="36" x14ac:dyDescent="0.2">
      <c r="A1848" s="916" t="s">
        <v>6518</v>
      </c>
      <c r="B1848" s="898" t="s">
        <v>4291</v>
      </c>
      <c r="C1848" s="916" t="s">
        <v>398</v>
      </c>
      <c r="D1848" s="898" t="s">
        <v>5043</v>
      </c>
      <c r="E1848" s="1144">
        <v>1300</v>
      </c>
      <c r="F1848" s="898" t="s">
        <v>6776</v>
      </c>
      <c r="G1848" s="1245" t="s">
        <v>6777</v>
      </c>
      <c r="H1848" s="1245" t="s">
        <v>5043</v>
      </c>
      <c r="I1848" s="1147" t="s">
        <v>3292</v>
      </c>
      <c r="J1848" s="943" t="s">
        <v>6540</v>
      </c>
      <c r="K1848" s="944">
        <v>12</v>
      </c>
      <c r="L1848" s="1275">
        <v>12</v>
      </c>
      <c r="M1848" s="1246">
        <f t="shared" si="68"/>
        <v>15600</v>
      </c>
      <c r="N1848" s="1275">
        <v>12</v>
      </c>
      <c r="O1848" s="1275">
        <v>8</v>
      </c>
      <c r="P1848" s="899">
        <f t="shared" si="69"/>
        <v>10400</v>
      </c>
    </row>
    <row r="1849" spans="1:16" ht="36" x14ac:dyDescent="0.2">
      <c r="A1849" s="916" t="s">
        <v>6518</v>
      </c>
      <c r="B1849" s="898" t="s">
        <v>4291</v>
      </c>
      <c r="C1849" s="916" t="s">
        <v>398</v>
      </c>
      <c r="D1849" s="898" t="s">
        <v>5043</v>
      </c>
      <c r="E1849" s="1144">
        <v>1300</v>
      </c>
      <c r="F1849" s="898" t="s">
        <v>6778</v>
      </c>
      <c r="G1849" s="1245" t="s">
        <v>6779</v>
      </c>
      <c r="H1849" s="1245" t="s">
        <v>5043</v>
      </c>
      <c r="I1849" s="1147" t="s">
        <v>3292</v>
      </c>
      <c r="J1849" s="943" t="s">
        <v>6540</v>
      </c>
      <c r="K1849" s="944">
        <v>12</v>
      </c>
      <c r="L1849" s="1275">
        <v>12</v>
      </c>
      <c r="M1849" s="1246">
        <f t="shared" si="68"/>
        <v>15600</v>
      </c>
      <c r="N1849" s="1275">
        <v>12</v>
      </c>
      <c r="O1849" s="1275">
        <v>8</v>
      </c>
      <c r="P1849" s="899">
        <f t="shared" si="69"/>
        <v>10400</v>
      </c>
    </row>
    <row r="1850" spans="1:16" ht="36" x14ac:dyDescent="0.2">
      <c r="A1850" s="916" t="s">
        <v>6518</v>
      </c>
      <c r="B1850" s="898" t="s">
        <v>4291</v>
      </c>
      <c r="C1850" s="916" t="s">
        <v>398</v>
      </c>
      <c r="D1850" s="898" t="s">
        <v>5043</v>
      </c>
      <c r="E1850" s="1144">
        <v>1300</v>
      </c>
      <c r="F1850" s="898" t="s">
        <v>6780</v>
      </c>
      <c r="G1850" s="1245" t="s">
        <v>6781</v>
      </c>
      <c r="H1850" s="1245" t="s">
        <v>5043</v>
      </c>
      <c r="I1850" s="1147" t="s">
        <v>3292</v>
      </c>
      <c r="J1850" s="943" t="s">
        <v>6540</v>
      </c>
      <c r="K1850" s="944">
        <v>12</v>
      </c>
      <c r="L1850" s="1275">
        <v>12</v>
      </c>
      <c r="M1850" s="1246">
        <f t="shared" si="68"/>
        <v>15600</v>
      </c>
      <c r="N1850" s="1275">
        <v>12</v>
      </c>
      <c r="O1850" s="1275">
        <v>8</v>
      </c>
      <c r="P1850" s="899">
        <f t="shared" si="69"/>
        <v>10400</v>
      </c>
    </row>
    <row r="1851" spans="1:16" ht="36" x14ac:dyDescent="0.2">
      <c r="A1851" s="916" t="s">
        <v>6518</v>
      </c>
      <c r="B1851" s="898" t="s">
        <v>4291</v>
      </c>
      <c r="C1851" s="916" t="s">
        <v>398</v>
      </c>
      <c r="D1851" s="898" t="s">
        <v>5043</v>
      </c>
      <c r="E1851" s="1144">
        <v>1300</v>
      </c>
      <c r="F1851" s="898" t="s">
        <v>6782</v>
      </c>
      <c r="G1851" s="1245" t="s">
        <v>6783</v>
      </c>
      <c r="H1851" s="1245" t="s">
        <v>5043</v>
      </c>
      <c r="I1851" s="1147" t="s">
        <v>3292</v>
      </c>
      <c r="J1851" s="943" t="s">
        <v>6540</v>
      </c>
      <c r="K1851" s="944">
        <v>12</v>
      </c>
      <c r="L1851" s="1275">
        <v>12</v>
      </c>
      <c r="M1851" s="1246">
        <f t="shared" si="68"/>
        <v>15600</v>
      </c>
      <c r="N1851" s="1275">
        <v>12</v>
      </c>
      <c r="O1851" s="1275">
        <v>8</v>
      </c>
      <c r="P1851" s="899">
        <f t="shared" si="69"/>
        <v>10400</v>
      </c>
    </row>
    <row r="1852" spans="1:16" ht="36" x14ac:dyDescent="0.2">
      <c r="A1852" s="916" t="s">
        <v>6518</v>
      </c>
      <c r="B1852" s="898" t="s">
        <v>4291</v>
      </c>
      <c r="C1852" s="916" t="s">
        <v>398</v>
      </c>
      <c r="D1852" s="898" t="s">
        <v>5043</v>
      </c>
      <c r="E1852" s="1144">
        <v>1300</v>
      </c>
      <c r="F1852" s="898" t="s">
        <v>6784</v>
      </c>
      <c r="G1852" s="1245" t="s">
        <v>6785</v>
      </c>
      <c r="H1852" s="1245" t="s">
        <v>5043</v>
      </c>
      <c r="I1852" s="1147" t="s">
        <v>3292</v>
      </c>
      <c r="J1852" s="943" t="s">
        <v>6540</v>
      </c>
      <c r="K1852" s="944">
        <v>12</v>
      </c>
      <c r="L1852" s="1275">
        <v>12</v>
      </c>
      <c r="M1852" s="1246">
        <f t="shared" ref="M1852:M1915" si="70">+E1852*12</f>
        <v>15600</v>
      </c>
      <c r="N1852" s="1275">
        <v>12</v>
      </c>
      <c r="O1852" s="1275">
        <v>8</v>
      </c>
      <c r="P1852" s="899">
        <f t="shared" ref="P1852:P1915" si="71">+E1852*8</f>
        <v>10400</v>
      </c>
    </row>
    <row r="1853" spans="1:16" ht="36" x14ac:dyDescent="0.2">
      <c r="A1853" s="916" t="s">
        <v>6518</v>
      </c>
      <c r="B1853" s="898" t="s">
        <v>4291</v>
      </c>
      <c r="C1853" s="916" t="s">
        <v>398</v>
      </c>
      <c r="D1853" s="898" t="s">
        <v>5043</v>
      </c>
      <c r="E1853" s="1144">
        <v>1300</v>
      </c>
      <c r="F1853" s="898" t="s">
        <v>6786</v>
      </c>
      <c r="G1853" s="1245" t="s">
        <v>6787</v>
      </c>
      <c r="H1853" s="1245" t="s">
        <v>5043</v>
      </c>
      <c r="I1853" s="1147" t="s">
        <v>3292</v>
      </c>
      <c r="J1853" s="943" t="s">
        <v>6540</v>
      </c>
      <c r="K1853" s="944">
        <v>12</v>
      </c>
      <c r="L1853" s="1275">
        <v>12</v>
      </c>
      <c r="M1853" s="1246">
        <f t="shared" si="70"/>
        <v>15600</v>
      </c>
      <c r="N1853" s="1275">
        <v>12</v>
      </c>
      <c r="O1853" s="1275">
        <v>8</v>
      </c>
      <c r="P1853" s="899">
        <f t="shared" si="71"/>
        <v>10400</v>
      </c>
    </row>
    <row r="1854" spans="1:16" ht="36" x14ac:dyDescent="0.2">
      <c r="A1854" s="916" t="s">
        <v>6518</v>
      </c>
      <c r="B1854" s="898" t="s">
        <v>4291</v>
      </c>
      <c r="C1854" s="916" t="s">
        <v>398</v>
      </c>
      <c r="D1854" s="898" t="s">
        <v>5043</v>
      </c>
      <c r="E1854" s="1144">
        <v>1300</v>
      </c>
      <c r="F1854" s="898" t="s">
        <v>6788</v>
      </c>
      <c r="G1854" s="1245" t="s">
        <v>6789</v>
      </c>
      <c r="H1854" s="1245" t="s">
        <v>5043</v>
      </c>
      <c r="I1854" s="1147" t="s">
        <v>3292</v>
      </c>
      <c r="J1854" s="943" t="s">
        <v>6540</v>
      </c>
      <c r="K1854" s="944">
        <v>12</v>
      </c>
      <c r="L1854" s="1275">
        <v>12</v>
      </c>
      <c r="M1854" s="1246">
        <f t="shared" si="70"/>
        <v>15600</v>
      </c>
      <c r="N1854" s="1275">
        <v>12</v>
      </c>
      <c r="O1854" s="1275">
        <v>8</v>
      </c>
      <c r="P1854" s="899">
        <f t="shared" si="71"/>
        <v>10400</v>
      </c>
    </row>
    <row r="1855" spans="1:16" ht="36" x14ac:dyDescent="0.2">
      <c r="A1855" s="916" t="s">
        <v>6518</v>
      </c>
      <c r="B1855" s="898" t="s">
        <v>4291</v>
      </c>
      <c r="C1855" s="916" t="s">
        <v>398</v>
      </c>
      <c r="D1855" s="898" t="s">
        <v>5043</v>
      </c>
      <c r="E1855" s="1144">
        <v>1300</v>
      </c>
      <c r="F1855" s="898" t="s">
        <v>6790</v>
      </c>
      <c r="G1855" s="1245" t="s">
        <v>6791</v>
      </c>
      <c r="H1855" s="1245" t="s">
        <v>5043</v>
      </c>
      <c r="I1855" s="1147" t="s">
        <v>3292</v>
      </c>
      <c r="J1855" s="943" t="s">
        <v>6540</v>
      </c>
      <c r="K1855" s="944">
        <v>12</v>
      </c>
      <c r="L1855" s="1275">
        <v>12</v>
      </c>
      <c r="M1855" s="1246">
        <f t="shared" si="70"/>
        <v>15600</v>
      </c>
      <c r="N1855" s="1275">
        <v>12</v>
      </c>
      <c r="O1855" s="1275">
        <v>8</v>
      </c>
      <c r="P1855" s="899">
        <f t="shared" si="71"/>
        <v>10400</v>
      </c>
    </row>
    <row r="1856" spans="1:16" ht="36" x14ac:dyDescent="0.2">
      <c r="A1856" s="916" t="s">
        <v>6518</v>
      </c>
      <c r="B1856" s="898" t="s">
        <v>4291</v>
      </c>
      <c r="C1856" s="916" t="s">
        <v>398</v>
      </c>
      <c r="D1856" s="898" t="s">
        <v>5043</v>
      </c>
      <c r="E1856" s="1144">
        <v>1300</v>
      </c>
      <c r="F1856" s="898" t="s">
        <v>6792</v>
      </c>
      <c r="G1856" s="1245" t="s">
        <v>6793</v>
      </c>
      <c r="H1856" s="1245" t="s">
        <v>5043</v>
      </c>
      <c r="I1856" s="1147" t="s">
        <v>3292</v>
      </c>
      <c r="J1856" s="943" t="s">
        <v>6540</v>
      </c>
      <c r="K1856" s="944">
        <v>12</v>
      </c>
      <c r="L1856" s="1275">
        <v>12</v>
      </c>
      <c r="M1856" s="1246">
        <f t="shared" si="70"/>
        <v>15600</v>
      </c>
      <c r="N1856" s="1275">
        <v>12</v>
      </c>
      <c r="O1856" s="1275">
        <v>8</v>
      </c>
      <c r="P1856" s="899">
        <f t="shared" si="71"/>
        <v>10400</v>
      </c>
    </row>
    <row r="1857" spans="1:16" ht="36" x14ac:dyDescent="0.2">
      <c r="A1857" s="916" t="s">
        <v>6518</v>
      </c>
      <c r="B1857" s="898" t="s">
        <v>4291</v>
      </c>
      <c r="C1857" s="916" t="s">
        <v>398</v>
      </c>
      <c r="D1857" s="898" t="s">
        <v>5043</v>
      </c>
      <c r="E1857" s="1144">
        <v>1300</v>
      </c>
      <c r="F1857" s="898" t="s">
        <v>6794</v>
      </c>
      <c r="G1857" s="1245" t="s">
        <v>6795</v>
      </c>
      <c r="H1857" s="1245" t="s">
        <v>5043</v>
      </c>
      <c r="I1857" s="1147" t="s">
        <v>3292</v>
      </c>
      <c r="J1857" s="943" t="s">
        <v>6540</v>
      </c>
      <c r="K1857" s="944">
        <v>12</v>
      </c>
      <c r="L1857" s="1275">
        <v>12</v>
      </c>
      <c r="M1857" s="1246">
        <f t="shared" si="70"/>
        <v>15600</v>
      </c>
      <c r="N1857" s="1275">
        <v>12</v>
      </c>
      <c r="O1857" s="1275">
        <v>8</v>
      </c>
      <c r="P1857" s="899">
        <f t="shared" si="71"/>
        <v>10400</v>
      </c>
    </row>
    <row r="1858" spans="1:16" ht="36" x14ac:dyDescent="0.2">
      <c r="A1858" s="916" t="s">
        <v>6518</v>
      </c>
      <c r="B1858" s="898" t="s">
        <v>4291</v>
      </c>
      <c r="C1858" s="916" t="s">
        <v>398</v>
      </c>
      <c r="D1858" s="898" t="s">
        <v>5043</v>
      </c>
      <c r="E1858" s="1144">
        <v>1300</v>
      </c>
      <c r="F1858" s="898" t="s">
        <v>6796</v>
      </c>
      <c r="G1858" s="1245" t="s">
        <v>6797</v>
      </c>
      <c r="H1858" s="1245" t="s">
        <v>5043</v>
      </c>
      <c r="I1858" s="1147" t="s">
        <v>3292</v>
      </c>
      <c r="J1858" s="943" t="s">
        <v>6540</v>
      </c>
      <c r="K1858" s="944">
        <v>12</v>
      </c>
      <c r="L1858" s="1275">
        <v>12</v>
      </c>
      <c r="M1858" s="1246">
        <f t="shared" si="70"/>
        <v>15600</v>
      </c>
      <c r="N1858" s="1275">
        <v>12</v>
      </c>
      <c r="O1858" s="1275">
        <v>8</v>
      </c>
      <c r="P1858" s="899">
        <f t="shared" si="71"/>
        <v>10400</v>
      </c>
    </row>
    <row r="1859" spans="1:16" ht="36" x14ac:dyDescent="0.2">
      <c r="A1859" s="916" t="s">
        <v>6518</v>
      </c>
      <c r="B1859" s="898" t="s">
        <v>4291</v>
      </c>
      <c r="C1859" s="916" t="s">
        <v>398</v>
      </c>
      <c r="D1859" s="898" t="s">
        <v>5043</v>
      </c>
      <c r="E1859" s="1144">
        <v>1300</v>
      </c>
      <c r="F1859" s="898" t="s">
        <v>6798</v>
      </c>
      <c r="G1859" s="1245" t="s">
        <v>6799</v>
      </c>
      <c r="H1859" s="1245" t="s">
        <v>5043</v>
      </c>
      <c r="I1859" s="1147" t="s">
        <v>3292</v>
      </c>
      <c r="J1859" s="943" t="s">
        <v>6540</v>
      </c>
      <c r="K1859" s="944">
        <v>12</v>
      </c>
      <c r="L1859" s="1275">
        <v>12</v>
      </c>
      <c r="M1859" s="1246">
        <f t="shared" si="70"/>
        <v>15600</v>
      </c>
      <c r="N1859" s="1275">
        <v>12</v>
      </c>
      <c r="O1859" s="1275">
        <v>8</v>
      </c>
      <c r="P1859" s="899">
        <f t="shared" si="71"/>
        <v>10400</v>
      </c>
    </row>
    <row r="1860" spans="1:16" ht="36" x14ac:dyDescent="0.2">
      <c r="A1860" s="916" t="s">
        <v>6518</v>
      </c>
      <c r="B1860" s="898" t="s">
        <v>4291</v>
      </c>
      <c r="C1860" s="916" t="s">
        <v>398</v>
      </c>
      <c r="D1860" s="898" t="s">
        <v>5043</v>
      </c>
      <c r="E1860" s="1144">
        <v>1300</v>
      </c>
      <c r="F1860" s="898" t="s">
        <v>6800</v>
      </c>
      <c r="G1860" s="1245" t="s">
        <v>6801</v>
      </c>
      <c r="H1860" s="1245" t="s">
        <v>5043</v>
      </c>
      <c r="I1860" s="1147" t="s">
        <v>3292</v>
      </c>
      <c r="J1860" s="943" t="s">
        <v>6540</v>
      </c>
      <c r="K1860" s="944">
        <v>12</v>
      </c>
      <c r="L1860" s="1275">
        <v>12</v>
      </c>
      <c r="M1860" s="1246">
        <f t="shared" si="70"/>
        <v>15600</v>
      </c>
      <c r="N1860" s="1275">
        <v>12</v>
      </c>
      <c r="O1860" s="1275">
        <v>8</v>
      </c>
      <c r="P1860" s="899">
        <f t="shared" si="71"/>
        <v>10400</v>
      </c>
    </row>
    <row r="1861" spans="1:16" ht="36" x14ac:dyDescent="0.2">
      <c r="A1861" s="916" t="s">
        <v>6518</v>
      </c>
      <c r="B1861" s="898" t="s">
        <v>4291</v>
      </c>
      <c r="C1861" s="916" t="s">
        <v>398</v>
      </c>
      <c r="D1861" s="898" t="s">
        <v>5043</v>
      </c>
      <c r="E1861" s="1144">
        <v>1300</v>
      </c>
      <c r="F1861" s="898" t="s">
        <v>6802</v>
      </c>
      <c r="G1861" s="1245" t="s">
        <v>6803</v>
      </c>
      <c r="H1861" s="1245" t="s">
        <v>5043</v>
      </c>
      <c r="I1861" s="1147" t="s">
        <v>3292</v>
      </c>
      <c r="J1861" s="943" t="s">
        <v>6540</v>
      </c>
      <c r="K1861" s="944">
        <v>12</v>
      </c>
      <c r="L1861" s="1275">
        <v>12</v>
      </c>
      <c r="M1861" s="1246">
        <f t="shared" si="70"/>
        <v>15600</v>
      </c>
      <c r="N1861" s="1275">
        <v>12</v>
      </c>
      <c r="O1861" s="1275">
        <v>8</v>
      </c>
      <c r="P1861" s="899">
        <f t="shared" si="71"/>
        <v>10400</v>
      </c>
    </row>
    <row r="1862" spans="1:16" ht="36" x14ac:dyDescent="0.2">
      <c r="A1862" s="916" t="s">
        <v>6518</v>
      </c>
      <c r="B1862" s="898" t="s">
        <v>4291</v>
      </c>
      <c r="C1862" s="916" t="s">
        <v>398</v>
      </c>
      <c r="D1862" s="898" t="s">
        <v>5043</v>
      </c>
      <c r="E1862" s="1144">
        <v>1300</v>
      </c>
      <c r="F1862" s="898" t="s">
        <v>6804</v>
      </c>
      <c r="G1862" s="1245" t="s">
        <v>6805</v>
      </c>
      <c r="H1862" s="1245" t="s">
        <v>5043</v>
      </c>
      <c r="I1862" s="1147" t="s">
        <v>3292</v>
      </c>
      <c r="J1862" s="943" t="s">
        <v>6540</v>
      </c>
      <c r="K1862" s="944">
        <v>12</v>
      </c>
      <c r="L1862" s="1275">
        <v>12</v>
      </c>
      <c r="M1862" s="1246">
        <f t="shared" si="70"/>
        <v>15600</v>
      </c>
      <c r="N1862" s="1275">
        <v>12</v>
      </c>
      <c r="O1862" s="1275">
        <v>8</v>
      </c>
      <c r="P1862" s="899">
        <f t="shared" si="71"/>
        <v>10400</v>
      </c>
    </row>
    <row r="1863" spans="1:16" ht="36" x14ac:dyDescent="0.2">
      <c r="A1863" s="916" t="s">
        <v>6518</v>
      </c>
      <c r="B1863" s="898" t="s">
        <v>4291</v>
      </c>
      <c r="C1863" s="916" t="s">
        <v>398</v>
      </c>
      <c r="D1863" s="898" t="s">
        <v>5043</v>
      </c>
      <c r="E1863" s="1144">
        <v>1300</v>
      </c>
      <c r="F1863" s="898" t="s">
        <v>6806</v>
      </c>
      <c r="G1863" s="1245" t="s">
        <v>6807</v>
      </c>
      <c r="H1863" s="1245" t="s">
        <v>5043</v>
      </c>
      <c r="I1863" s="1147" t="s">
        <v>3292</v>
      </c>
      <c r="J1863" s="943" t="s">
        <v>6540</v>
      </c>
      <c r="K1863" s="944">
        <v>12</v>
      </c>
      <c r="L1863" s="1275">
        <v>12</v>
      </c>
      <c r="M1863" s="1246">
        <f t="shared" si="70"/>
        <v>15600</v>
      </c>
      <c r="N1863" s="1275">
        <v>12</v>
      </c>
      <c r="O1863" s="1275">
        <v>8</v>
      </c>
      <c r="P1863" s="899">
        <f t="shared" si="71"/>
        <v>10400</v>
      </c>
    </row>
    <row r="1864" spans="1:16" ht="36" x14ac:dyDescent="0.2">
      <c r="A1864" s="916" t="s">
        <v>6518</v>
      </c>
      <c r="B1864" s="898" t="s">
        <v>4291</v>
      </c>
      <c r="C1864" s="916" t="s">
        <v>398</v>
      </c>
      <c r="D1864" s="898" t="s">
        <v>5043</v>
      </c>
      <c r="E1864" s="1144">
        <v>1300</v>
      </c>
      <c r="F1864" s="898" t="s">
        <v>6808</v>
      </c>
      <c r="G1864" s="1245" t="s">
        <v>6809</v>
      </c>
      <c r="H1864" s="1245" t="s">
        <v>5043</v>
      </c>
      <c r="I1864" s="1147" t="s">
        <v>3292</v>
      </c>
      <c r="J1864" s="943" t="s">
        <v>6540</v>
      </c>
      <c r="K1864" s="944">
        <v>12</v>
      </c>
      <c r="L1864" s="1275">
        <v>12</v>
      </c>
      <c r="M1864" s="1246">
        <f t="shared" si="70"/>
        <v>15600</v>
      </c>
      <c r="N1864" s="1275">
        <v>12</v>
      </c>
      <c r="O1864" s="1275">
        <v>8</v>
      </c>
      <c r="P1864" s="899">
        <f t="shared" si="71"/>
        <v>10400</v>
      </c>
    </row>
    <row r="1865" spans="1:16" ht="36" x14ac:dyDescent="0.2">
      <c r="A1865" s="916" t="s">
        <v>6518</v>
      </c>
      <c r="B1865" s="898" t="s">
        <v>4291</v>
      </c>
      <c r="C1865" s="916" t="s">
        <v>398</v>
      </c>
      <c r="D1865" s="898" t="s">
        <v>5043</v>
      </c>
      <c r="E1865" s="1144">
        <v>1300</v>
      </c>
      <c r="F1865" s="898" t="s">
        <v>6810</v>
      </c>
      <c r="G1865" s="1245" t="s">
        <v>6811</v>
      </c>
      <c r="H1865" s="1245" t="s">
        <v>5043</v>
      </c>
      <c r="I1865" s="1147" t="s">
        <v>3292</v>
      </c>
      <c r="J1865" s="943" t="s">
        <v>6540</v>
      </c>
      <c r="K1865" s="944">
        <v>12</v>
      </c>
      <c r="L1865" s="1275">
        <v>12</v>
      </c>
      <c r="M1865" s="1246">
        <f t="shared" si="70"/>
        <v>15600</v>
      </c>
      <c r="N1865" s="1275">
        <v>12</v>
      </c>
      <c r="O1865" s="1275">
        <v>8</v>
      </c>
      <c r="P1865" s="899">
        <f t="shared" si="71"/>
        <v>10400</v>
      </c>
    </row>
    <row r="1866" spans="1:16" ht="36" x14ac:dyDescent="0.2">
      <c r="A1866" s="916" t="s">
        <v>6518</v>
      </c>
      <c r="B1866" s="898" t="s">
        <v>4291</v>
      </c>
      <c r="C1866" s="916" t="s">
        <v>398</v>
      </c>
      <c r="D1866" s="898" t="s">
        <v>5043</v>
      </c>
      <c r="E1866" s="1144">
        <v>1300</v>
      </c>
      <c r="F1866" s="898" t="s">
        <v>6812</v>
      </c>
      <c r="G1866" s="1245" t="s">
        <v>6813</v>
      </c>
      <c r="H1866" s="1245" t="s">
        <v>5043</v>
      </c>
      <c r="I1866" s="1147" t="s">
        <v>3292</v>
      </c>
      <c r="J1866" s="943" t="s">
        <v>6540</v>
      </c>
      <c r="K1866" s="944">
        <v>12</v>
      </c>
      <c r="L1866" s="1275">
        <v>12</v>
      </c>
      <c r="M1866" s="1246">
        <f t="shared" si="70"/>
        <v>15600</v>
      </c>
      <c r="N1866" s="1275">
        <v>12</v>
      </c>
      <c r="O1866" s="1275">
        <v>8</v>
      </c>
      <c r="P1866" s="899">
        <f t="shared" si="71"/>
        <v>10400</v>
      </c>
    </row>
    <row r="1867" spans="1:16" ht="36" x14ac:dyDescent="0.2">
      <c r="A1867" s="916" t="s">
        <v>6518</v>
      </c>
      <c r="B1867" s="898" t="s">
        <v>4291</v>
      </c>
      <c r="C1867" s="916" t="s">
        <v>398</v>
      </c>
      <c r="D1867" s="898" t="s">
        <v>5043</v>
      </c>
      <c r="E1867" s="1144">
        <v>1300</v>
      </c>
      <c r="F1867" s="898" t="s">
        <v>6814</v>
      </c>
      <c r="G1867" s="1245" t="s">
        <v>6815</v>
      </c>
      <c r="H1867" s="1245" t="s">
        <v>5043</v>
      </c>
      <c r="I1867" s="1147" t="s">
        <v>3292</v>
      </c>
      <c r="J1867" s="943" t="s">
        <v>6540</v>
      </c>
      <c r="K1867" s="944">
        <v>12</v>
      </c>
      <c r="L1867" s="1275">
        <v>12</v>
      </c>
      <c r="M1867" s="1246">
        <f t="shared" si="70"/>
        <v>15600</v>
      </c>
      <c r="N1867" s="1275">
        <v>12</v>
      </c>
      <c r="O1867" s="1275">
        <v>8</v>
      </c>
      <c r="P1867" s="899">
        <f t="shared" si="71"/>
        <v>10400</v>
      </c>
    </row>
    <row r="1868" spans="1:16" ht="36" x14ac:dyDescent="0.2">
      <c r="A1868" s="916" t="s">
        <v>6518</v>
      </c>
      <c r="B1868" s="898" t="s">
        <v>4291</v>
      </c>
      <c r="C1868" s="916" t="s">
        <v>398</v>
      </c>
      <c r="D1868" s="898" t="s">
        <v>5043</v>
      </c>
      <c r="E1868" s="1144">
        <v>1300</v>
      </c>
      <c r="F1868" s="898" t="s">
        <v>6816</v>
      </c>
      <c r="G1868" s="1245" t="s">
        <v>6817</v>
      </c>
      <c r="H1868" s="1245" t="s">
        <v>5043</v>
      </c>
      <c r="I1868" s="1147" t="s">
        <v>3292</v>
      </c>
      <c r="J1868" s="943" t="s">
        <v>6540</v>
      </c>
      <c r="K1868" s="944">
        <v>12</v>
      </c>
      <c r="L1868" s="1275">
        <v>12</v>
      </c>
      <c r="M1868" s="1246">
        <f t="shared" si="70"/>
        <v>15600</v>
      </c>
      <c r="N1868" s="1275">
        <v>12</v>
      </c>
      <c r="O1868" s="1275">
        <v>8</v>
      </c>
      <c r="P1868" s="899">
        <f t="shared" si="71"/>
        <v>10400</v>
      </c>
    </row>
    <row r="1869" spans="1:16" ht="36" x14ac:dyDescent="0.2">
      <c r="A1869" s="916" t="s">
        <v>6518</v>
      </c>
      <c r="B1869" s="898" t="s">
        <v>4291</v>
      </c>
      <c r="C1869" s="916" t="s">
        <v>398</v>
      </c>
      <c r="D1869" s="898" t="s">
        <v>5043</v>
      </c>
      <c r="E1869" s="1144">
        <v>1300</v>
      </c>
      <c r="F1869" s="898" t="s">
        <v>6818</v>
      </c>
      <c r="G1869" s="1245" t="s">
        <v>6819</v>
      </c>
      <c r="H1869" s="1245" t="s">
        <v>5043</v>
      </c>
      <c r="I1869" s="1147" t="s">
        <v>3292</v>
      </c>
      <c r="J1869" s="943" t="s">
        <v>6540</v>
      </c>
      <c r="K1869" s="944">
        <v>12</v>
      </c>
      <c r="L1869" s="1275">
        <v>12</v>
      </c>
      <c r="M1869" s="1246">
        <f t="shared" si="70"/>
        <v>15600</v>
      </c>
      <c r="N1869" s="1275">
        <v>12</v>
      </c>
      <c r="O1869" s="1275">
        <v>8</v>
      </c>
      <c r="P1869" s="899">
        <f t="shared" si="71"/>
        <v>10400</v>
      </c>
    </row>
    <row r="1870" spans="1:16" ht="36" x14ac:dyDescent="0.2">
      <c r="A1870" s="916" t="s">
        <v>6518</v>
      </c>
      <c r="B1870" s="898" t="s">
        <v>4291</v>
      </c>
      <c r="C1870" s="916" t="s">
        <v>398</v>
      </c>
      <c r="D1870" s="898" t="s">
        <v>5043</v>
      </c>
      <c r="E1870" s="1144">
        <v>1300</v>
      </c>
      <c r="F1870" s="898" t="s">
        <v>6820</v>
      </c>
      <c r="G1870" s="1245" t="s">
        <v>6821</v>
      </c>
      <c r="H1870" s="1245" t="s">
        <v>5043</v>
      </c>
      <c r="I1870" s="1147" t="s">
        <v>3292</v>
      </c>
      <c r="J1870" s="943" t="s">
        <v>6540</v>
      </c>
      <c r="K1870" s="944">
        <v>12</v>
      </c>
      <c r="L1870" s="1275">
        <v>12</v>
      </c>
      <c r="M1870" s="1246">
        <f t="shared" si="70"/>
        <v>15600</v>
      </c>
      <c r="N1870" s="1275">
        <v>12</v>
      </c>
      <c r="O1870" s="1275">
        <v>8</v>
      </c>
      <c r="P1870" s="899">
        <f t="shared" si="71"/>
        <v>10400</v>
      </c>
    </row>
    <row r="1871" spans="1:16" ht="36" x14ac:dyDescent="0.2">
      <c r="A1871" s="916" t="s">
        <v>6518</v>
      </c>
      <c r="B1871" s="898" t="s">
        <v>4291</v>
      </c>
      <c r="C1871" s="916" t="s">
        <v>398</v>
      </c>
      <c r="D1871" s="898" t="s">
        <v>5043</v>
      </c>
      <c r="E1871" s="1144">
        <v>1300</v>
      </c>
      <c r="F1871" s="898" t="s">
        <v>6822</v>
      </c>
      <c r="G1871" s="1245" t="s">
        <v>6823</v>
      </c>
      <c r="H1871" s="1245" t="s">
        <v>5043</v>
      </c>
      <c r="I1871" s="1147" t="s">
        <v>3292</v>
      </c>
      <c r="J1871" s="943" t="s">
        <v>6540</v>
      </c>
      <c r="K1871" s="944">
        <v>12</v>
      </c>
      <c r="L1871" s="1275">
        <v>12</v>
      </c>
      <c r="M1871" s="1246">
        <f t="shared" si="70"/>
        <v>15600</v>
      </c>
      <c r="N1871" s="1275">
        <v>12</v>
      </c>
      <c r="O1871" s="1275">
        <v>8</v>
      </c>
      <c r="P1871" s="899">
        <f t="shared" si="71"/>
        <v>10400</v>
      </c>
    </row>
    <row r="1872" spans="1:16" ht="36" x14ac:dyDescent="0.2">
      <c r="A1872" s="916" t="s">
        <v>6518</v>
      </c>
      <c r="B1872" s="898" t="s">
        <v>4291</v>
      </c>
      <c r="C1872" s="916" t="s">
        <v>398</v>
      </c>
      <c r="D1872" s="898" t="s">
        <v>5043</v>
      </c>
      <c r="E1872" s="1144">
        <v>1300</v>
      </c>
      <c r="F1872" s="898" t="s">
        <v>6824</v>
      </c>
      <c r="G1872" s="1245" t="s">
        <v>6825</v>
      </c>
      <c r="H1872" s="1245" t="s">
        <v>5043</v>
      </c>
      <c r="I1872" s="1147" t="s">
        <v>3292</v>
      </c>
      <c r="J1872" s="943" t="s">
        <v>6540</v>
      </c>
      <c r="K1872" s="944">
        <v>12</v>
      </c>
      <c r="L1872" s="1275">
        <v>12</v>
      </c>
      <c r="M1872" s="1246">
        <f t="shared" si="70"/>
        <v>15600</v>
      </c>
      <c r="N1872" s="1275">
        <v>12</v>
      </c>
      <c r="O1872" s="1275">
        <v>8</v>
      </c>
      <c r="P1872" s="899">
        <f t="shared" si="71"/>
        <v>10400</v>
      </c>
    </row>
    <row r="1873" spans="1:16" ht="36" x14ac:dyDescent="0.2">
      <c r="A1873" s="916" t="s">
        <v>6518</v>
      </c>
      <c r="B1873" s="898" t="s">
        <v>4291</v>
      </c>
      <c r="C1873" s="916" t="s">
        <v>398</v>
      </c>
      <c r="D1873" s="898" t="s">
        <v>5043</v>
      </c>
      <c r="E1873" s="1144">
        <v>1300</v>
      </c>
      <c r="F1873" s="898" t="s">
        <v>6826</v>
      </c>
      <c r="G1873" s="1245" t="s">
        <v>6827</v>
      </c>
      <c r="H1873" s="1245" t="s">
        <v>5043</v>
      </c>
      <c r="I1873" s="1147" t="s">
        <v>3292</v>
      </c>
      <c r="J1873" s="943" t="s">
        <v>6540</v>
      </c>
      <c r="K1873" s="944">
        <v>12</v>
      </c>
      <c r="L1873" s="1275">
        <v>12</v>
      </c>
      <c r="M1873" s="1246">
        <f t="shared" si="70"/>
        <v>15600</v>
      </c>
      <c r="N1873" s="1275">
        <v>12</v>
      </c>
      <c r="O1873" s="1275">
        <v>8</v>
      </c>
      <c r="P1873" s="899">
        <f t="shared" si="71"/>
        <v>10400</v>
      </c>
    </row>
    <row r="1874" spans="1:16" ht="36" x14ac:dyDescent="0.2">
      <c r="A1874" s="916" t="s">
        <v>6518</v>
      </c>
      <c r="B1874" s="898" t="s">
        <v>4291</v>
      </c>
      <c r="C1874" s="916" t="s">
        <v>398</v>
      </c>
      <c r="D1874" s="898" t="s">
        <v>5043</v>
      </c>
      <c r="E1874" s="1144">
        <v>1300</v>
      </c>
      <c r="F1874" s="898" t="s">
        <v>6828</v>
      </c>
      <c r="G1874" s="1245" t="s">
        <v>6829</v>
      </c>
      <c r="H1874" s="1245" t="s">
        <v>5043</v>
      </c>
      <c r="I1874" s="1147" t="s">
        <v>3292</v>
      </c>
      <c r="J1874" s="943" t="s">
        <v>6540</v>
      </c>
      <c r="K1874" s="944">
        <v>12</v>
      </c>
      <c r="L1874" s="1275">
        <v>12</v>
      </c>
      <c r="M1874" s="1246">
        <f t="shared" si="70"/>
        <v>15600</v>
      </c>
      <c r="N1874" s="1275">
        <v>12</v>
      </c>
      <c r="O1874" s="1275">
        <v>8</v>
      </c>
      <c r="P1874" s="899">
        <f t="shared" si="71"/>
        <v>10400</v>
      </c>
    </row>
    <row r="1875" spans="1:16" ht="36" x14ac:dyDescent="0.2">
      <c r="A1875" s="916" t="s">
        <v>6518</v>
      </c>
      <c r="B1875" s="898" t="s">
        <v>4291</v>
      </c>
      <c r="C1875" s="916" t="s">
        <v>398</v>
      </c>
      <c r="D1875" s="898" t="s">
        <v>581</v>
      </c>
      <c r="E1875" s="1144">
        <v>1300</v>
      </c>
      <c r="F1875" s="898" t="s">
        <v>6830</v>
      </c>
      <c r="G1875" s="1245" t="s">
        <v>6831</v>
      </c>
      <c r="H1875" s="1245" t="s">
        <v>581</v>
      </c>
      <c r="I1875" s="1147" t="s">
        <v>3292</v>
      </c>
      <c r="J1875" s="943" t="s">
        <v>6540</v>
      </c>
      <c r="K1875" s="944">
        <v>12</v>
      </c>
      <c r="L1875" s="1275">
        <v>12</v>
      </c>
      <c r="M1875" s="1246">
        <f t="shared" si="70"/>
        <v>15600</v>
      </c>
      <c r="N1875" s="1275">
        <v>12</v>
      </c>
      <c r="O1875" s="1275">
        <v>8</v>
      </c>
      <c r="P1875" s="899">
        <f t="shared" si="71"/>
        <v>10400</v>
      </c>
    </row>
    <row r="1876" spans="1:16" ht="36" x14ac:dyDescent="0.2">
      <c r="A1876" s="916" t="s">
        <v>6518</v>
      </c>
      <c r="B1876" s="898" t="s">
        <v>4291</v>
      </c>
      <c r="C1876" s="916" t="s">
        <v>398</v>
      </c>
      <c r="D1876" s="898" t="s">
        <v>581</v>
      </c>
      <c r="E1876" s="1144">
        <v>1300</v>
      </c>
      <c r="F1876" s="898" t="s">
        <v>6832</v>
      </c>
      <c r="G1876" s="1245" t="s">
        <v>6833</v>
      </c>
      <c r="H1876" s="1245" t="s">
        <v>581</v>
      </c>
      <c r="I1876" s="1147" t="s">
        <v>3292</v>
      </c>
      <c r="J1876" s="943" t="s">
        <v>6540</v>
      </c>
      <c r="K1876" s="944">
        <v>12</v>
      </c>
      <c r="L1876" s="1275">
        <v>12</v>
      </c>
      <c r="M1876" s="1246">
        <f t="shared" si="70"/>
        <v>15600</v>
      </c>
      <c r="N1876" s="1275">
        <v>12</v>
      </c>
      <c r="O1876" s="1275">
        <v>8</v>
      </c>
      <c r="P1876" s="899">
        <f t="shared" si="71"/>
        <v>10400</v>
      </c>
    </row>
    <row r="1877" spans="1:16" ht="36" x14ac:dyDescent="0.2">
      <c r="A1877" s="916" t="s">
        <v>6518</v>
      </c>
      <c r="B1877" s="898" t="s">
        <v>4291</v>
      </c>
      <c r="C1877" s="916" t="s">
        <v>398</v>
      </c>
      <c r="D1877" s="898" t="s">
        <v>581</v>
      </c>
      <c r="E1877" s="1144">
        <v>1300</v>
      </c>
      <c r="F1877" s="898" t="s">
        <v>6834</v>
      </c>
      <c r="G1877" s="1245" t="s">
        <v>6835</v>
      </c>
      <c r="H1877" s="1245" t="s">
        <v>581</v>
      </c>
      <c r="I1877" s="1147" t="s">
        <v>3292</v>
      </c>
      <c r="J1877" s="943" t="s">
        <v>6540</v>
      </c>
      <c r="K1877" s="944">
        <v>12</v>
      </c>
      <c r="L1877" s="1275">
        <v>12</v>
      </c>
      <c r="M1877" s="1246">
        <f t="shared" si="70"/>
        <v>15600</v>
      </c>
      <c r="N1877" s="1275">
        <v>12</v>
      </c>
      <c r="O1877" s="1275">
        <v>8</v>
      </c>
      <c r="P1877" s="899">
        <f t="shared" si="71"/>
        <v>10400</v>
      </c>
    </row>
    <row r="1878" spans="1:16" ht="36" x14ac:dyDescent="0.2">
      <c r="A1878" s="916" t="s">
        <v>6518</v>
      </c>
      <c r="B1878" s="898" t="s">
        <v>4291</v>
      </c>
      <c r="C1878" s="916" t="s">
        <v>398</v>
      </c>
      <c r="D1878" s="898" t="s">
        <v>580</v>
      </c>
      <c r="E1878" s="1144">
        <v>1400</v>
      </c>
      <c r="F1878" s="898" t="s">
        <v>6836</v>
      </c>
      <c r="G1878" s="1245" t="s">
        <v>6837</v>
      </c>
      <c r="H1878" s="1245" t="s">
        <v>580</v>
      </c>
      <c r="I1878" s="1147" t="s">
        <v>3292</v>
      </c>
      <c r="J1878" s="943" t="s">
        <v>6540</v>
      </c>
      <c r="K1878" s="944">
        <v>12</v>
      </c>
      <c r="L1878" s="1275">
        <v>12</v>
      </c>
      <c r="M1878" s="1246">
        <f t="shared" si="70"/>
        <v>16800</v>
      </c>
      <c r="N1878" s="1275">
        <v>12</v>
      </c>
      <c r="O1878" s="1275">
        <v>8</v>
      </c>
      <c r="P1878" s="899">
        <f t="shared" si="71"/>
        <v>11200</v>
      </c>
    </row>
    <row r="1879" spans="1:16" ht="36" x14ac:dyDescent="0.2">
      <c r="A1879" s="916" t="s">
        <v>6518</v>
      </c>
      <c r="B1879" s="898" t="s">
        <v>4291</v>
      </c>
      <c r="C1879" s="916" t="s">
        <v>398</v>
      </c>
      <c r="D1879" s="898" t="s">
        <v>580</v>
      </c>
      <c r="E1879" s="1144">
        <v>1400</v>
      </c>
      <c r="F1879" s="898" t="s">
        <v>6838</v>
      </c>
      <c r="G1879" s="1245" t="s">
        <v>6839</v>
      </c>
      <c r="H1879" s="1245" t="s">
        <v>580</v>
      </c>
      <c r="I1879" s="1147" t="s">
        <v>3292</v>
      </c>
      <c r="J1879" s="943" t="s">
        <v>6540</v>
      </c>
      <c r="K1879" s="944">
        <v>12</v>
      </c>
      <c r="L1879" s="1275">
        <v>12</v>
      </c>
      <c r="M1879" s="1246">
        <f t="shared" si="70"/>
        <v>16800</v>
      </c>
      <c r="N1879" s="1275">
        <v>12</v>
      </c>
      <c r="O1879" s="1275">
        <v>8</v>
      </c>
      <c r="P1879" s="899">
        <f t="shared" si="71"/>
        <v>11200</v>
      </c>
    </row>
    <row r="1880" spans="1:16" ht="36" x14ac:dyDescent="0.2">
      <c r="A1880" s="916" t="s">
        <v>6518</v>
      </c>
      <c r="B1880" s="898" t="s">
        <v>4291</v>
      </c>
      <c r="C1880" s="916" t="s">
        <v>398</v>
      </c>
      <c r="D1880" s="898" t="s">
        <v>580</v>
      </c>
      <c r="E1880" s="1144">
        <v>1400</v>
      </c>
      <c r="F1880" s="898" t="s">
        <v>6840</v>
      </c>
      <c r="G1880" s="1245" t="s">
        <v>6841</v>
      </c>
      <c r="H1880" s="1245" t="s">
        <v>580</v>
      </c>
      <c r="I1880" s="1147" t="s">
        <v>3292</v>
      </c>
      <c r="J1880" s="943" t="s">
        <v>6540</v>
      </c>
      <c r="K1880" s="944">
        <v>12</v>
      </c>
      <c r="L1880" s="1275">
        <v>12</v>
      </c>
      <c r="M1880" s="1246">
        <f t="shared" si="70"/>
        <v>16800</v>
      </c>
      <c r="N1880" s="1275">
        <v>12</v>
      </c>
      <c r="O1880" s="1275">
        <v>8</v>
      </c>
      <c r="P1880" s="899">
        <f t="shared" si="71"/>
        <v>11200</v>
      </c>
    </row>
    <row r="1881" spans="1:16" ht="36" x14ac:dyDescent="0.2">
      <c r="A1881" s="916" t="s">
        <v>6518</v>
      </c>
      <c r="B1881" s="898" t="s">
        <v>4291</v>
      </c>
      <c r="C1881" s="916" t="s">
        <v>398</v>
      </c>
      <c r="D1881" s="898" t="s">
        <v>580</v>
      </c>
      <c r="E1881" s="1144">
        <v>1400</v>
      </c>
      <c r="F1881" s="898" t="s">
        <v>6842</v>
      </c>
      <c r="G1881" s="1245" t="s">
        <v>6843</v>
      </c>
      <c r="H1881" s="1245" t="s">
        <v>580</v>
      </c>
      <c r="I1881" s="1147" t="s">
        <v>3292</v>
      </c>
      <c r="J1881" s="943" t="s">
        <v>6540</v>
      </c>
      <c r="K1881" s="944">
        <v>12</v>
      </c>
      <c r="L1881" s="1275">
        <v>12</v>
      </c>
      <c r="M1881" s="1246">
        <f t="shared" si="70"/>
        <v>16800</v>
      </c>
      <c r="N1881" s="1275">
        <v>12</v>
      </c>
      <c r="O1881" s="1275">
        <v>8</v>
      </c>
      <c r="P1881" s="899">
        <f t="shared" si="71"/>
        <v>11200</v>
      </c>
    </row>
    <row r="1882" spans="1:16" ht="36" x14ac:dyDescent="0.2">
      <c r="A1882" s="916" t="s">
        <v>6518</v>
      </c>
      <c r="B1882" s="898" t="s">
        <v>4291</v>
      </c>
      <c r="C1882" s="916" t="s">
        <v>398</v>
      </c>
      <c r="D1882" s="898" t="s">
        <v>580</v>
      </c>
      <c r="E1882" s="1144">
        <v>1400</v>
      </c>
      <c r="F1882" s="898" t="s">
        <v>6844</v>
      </c>
      <c r="G1882" s="1245" t="s">
        <v>6845</v>
      </c>
      <c r="H1882" s="1245" t="s">
        <v>580</v>
      </c>
      <c r="I1882" s="1147" t="s">
        <v>3292</v>
      </c>
      <c r="J1882" s="943" t="s">
        <v>6540</v>
      </c>
      <c r="K1882" s="944">
        <v>12</v>
      </c>
      <c r="L1882" s="1275">
        <v>12</v>
      </c>
      <c r="M1882" s="1246">
        <f t="shared" si="70"/>
        <v>16800</v>
      </c>
      <c r="N1882" s="1275">
        <v>12</v>
      </c>
      <c r="O1882" s="1275">
        <v>8</v>
      </c>
      <c r="P1882" s="899">
        <f t="shared" si="71"/>
        <v>11200</v>
      </c>
    </row>
    <row r="1883" spans="1:16" ht="36" x14ac:dyDescent="0.2">
      <c r="A1883" s="916" t="s">
        <v>6518</v>
      </c>
      <c r="B1883" s="898" t="s">
        <v>4291</v>
      </c>
      <c r="C1883" s="916" t="s">
        <v>398</v>
      </c>
      <c r="D1883" s="898" t="s">
        <v>580</v>
      </c>
      <c r="E1883" s="1144">
        <v>1400</v>
      </c>
      <c r="F1883" s="898" t="s">
        <v>6846</v>
      </c>
      <c r="G1883" s="1245" t="s">
        <v>6847</v>
      </c>
      <c r="H1883" s="1245" t="s">
        <v>580</v>
      </c>
      <c r="I1883" s="1147" t="s">
        <v>3292</v>
      </c>
      <c r="J1883" s="943" t="s">
        <v>6540</v>
      </c>
      <c r="K1883" s="944">
        <v>12</v>
      </c>
      <c r="L1883" s="1275">
        <v>12</v>
      </c>
      <c r="M1883" s="1246">
        <f t="shared" si="70"/>
        <v>16800</v>
      </c>
      <c r="N1883" s="1275">
        <v>12</v>
      </c>
      <c r="O1883" s="1275">
        <v>8</v>
      </c>
      <c r="P1883" s="899">
        <f t="shared" si="71"/>
        <v>11200</v>
      </c>
    </row>
    <row r="1884" spans="1:16" ht="36" x14ac:dyDescent="0.2">
      <c r="A1884" s="916" t="s">
        <v>6518</v>
      </c>
      <c r="B1884" s="898" t="s">
        <v>4291</v>
      </c>
      <c r="C1884" s="916" t="s">
        <v>398</v>
      </c>
      <c r="D1884" s="898" t="s">
        <v>580</v>
      </c>
      <c r="E1884" s="1144">
        <v>1400</v>
      </c>
      <c r="F1884" s="898" t="s">
        <v>6848</v>
      </c>
      <c r="G1884" s="1245" t="s">
        <v>6849</v>
      </c>
      <c r="H1884" s="1245" t="s">
        <v>580</v>
      </c>
      <c r="I1884" s="1147" t="s">
        <v>3292</v>
      </c>
      <c r="J1884" s="943" t="s">
        <v>6540</v>
      </c>
      <c r="K1884" s="944">
        <v>12</v>
      </c>
      <c r="L1884" s="1275">
        <v>12</v>
      </c>
      <c r="M1884" s="1246">
        <f t="shared" si="70"/>
        <v>16800</v>
      </c>
      <c r="N1884" s="1275">
        <v>12</v>
      </c>
      <c r="O1884" s="1275">
        <v>8</v>
      </c>
      <c r="P1884" s="899">
        <f t="shared" si="71"/>
        <v>11200</v>
      </c>
    </row>
    <row r="1885" spans="1:16" ht="36" x14ac:dyDescent="0.2">
      <c r="A1885" s="916" t="s">
        <v>6518</v>
      </c>
      <c r="B1885" s="898" t="s">
        <v>4291</v>
      </c>
      <c r="C1885" s="916" t="s">
        <v>398</v>
      </c>
      <c r="D1885" s="898" t="s">
        <v>580</v>
      </c>
      <c r="E1885" s="1144">
        <v>1400</v>
      </c>
      <c r="F1885" s="898" t="s">
        <v>6850</v>
      </c>
      <c r="G1885" s="1245" t="s">
        <v>6851</v>
      </c>
      <c r="H1885" s="1245" t="s">
        <v>580</v>
      </c>
      <c r="I1885" s="1147" t="s">
        <v>3292</v>
      </c>
      <c r="J1885" s="943" t="s">
        <v>6540</v>
      </c>
      <c r="K1885" s="944">
        <v>12</v>
      </c>
      <c r="L1885" s="1275">
        <v>12</v>
      </c>
      <c r="M1885" s="1246">
        <f t="shared" si="70"/>
        <v>16800</v>
      </c>
      <c r="N1885" s="1275">
        <v>12</v>
      </c>
      <c r="O1885" s="1275">
        <v>8</v>
      </c>
      <c r="P1885" s="899">
        <f t="shared" si="71"/>
        <v>11200</v>
      </c>
    </row>
    <row r="1886" spans="1:16" ht="36" x14ac:dyDescent="0.2">
      <c r="A1886" s="916" t="s">
        <v>6518</v>
      </c>
      <c r="B1886" s="898" t="s">
        <v>4291</v>
      </c>
      <c r="C1886" s="916" t="s">
        <v>398</v>
      </c>
      <c r="D1886" s="898" t="s">
        <v>580</v>
      </c>
      <c r="E1886" s="1144">
        <v>1400</v>
      </c>
      <c r="F1886" s="898" t="s">
        <v>6852</v>
      </c>
      <c r="G1886" s="1245" t="s">
        <v>6853</v>
      </c>
      <c r="H1886" s="1245" t="s">
        <v>580</v>
      </c>
      <c r="I1886" s="1147" t="s">
        <v>3292</v>
      </c>
      <c r="J1886" s="943" t="s">
        <v>6540</v>
      </c>
      <c r="K1886" s="944">
        <v>12</v>
      </c>
      <c r="L1886" s="1275">
        <v>12</v>
      </c>
      <c r="M1886" s="1246">
        <f t="shared" si="70"/>
        <v>16800</v>
      </c>
      <c r="N1886" s="1275">
        <v>12</v>
      </c>
      <c r="O1886" s="1275">
        <v>8</v>
      </c>
      <c r="P1886" s="899">
        <f t="shared" si="71"/>
        <v>11200</v>
      </c>
    </row>
    <row r="1887" spans="1:16" ht="36" x14ac:dyDescent="0.2">
      <c r="A1887" s="916" t="s">
        <v>6518</v>
      </c>
      <c r="B1887" s="898" t="s">
        <v>4291</v>
      </c>
      <c r="C1887" s="916" t="s">
        <v>398</v>
      </c>
      <c r="D1887" s="898" t="s">
        <v>580</v>
      </c>
      <c r="E1887" s="1144">
        <v>1400</v>
      </c>
      <c r="F1887" s="898" t="s">
        <v>6854</v>
      </c>
      <c r="G1887" s="1245" t="s">
        <v>6855</v>
      </c>
      <c r="H1887" s="1245" t="s">
        <v>580</v>
      </c>
      <c r="I1887" s="1147" t="s">
        <v>3292</v>
      </c>
      <c r="J1887" s="943" t="s">
        <v>6540</v>
      </c>
      <c r="K1887" s="944">
        <v>12</v>
      </c>
      <c r="L1887" s="1275">
        <v>12</v>
      </c>
      <c r="M1887" s="1246">
        <f t="shared" si="70"/>
        <v>16800</v>
      </c>
      <c r="N1887" s="1275">
        <v>12</v>
      </c>
      <c r="O1887" s="1275">
        <v>8</v>
      </c>
      <c r="P1887" s="899">
        <f t="shared" si="71"/>
        <v>11200</v>
      </c>
    </row>
    <row r="1888" spans="1:16" ht="36" x14ac:dyDescent="0.2">
      <c r="A1888" s="916" t="s">
        <v>6518</v>
      </c>
      <c r="B1888" s="898" t="s">
        <v>4291</v>
      </c>
      <c r="C1888" s="916" t="s">
        <v>398</v>
      </c>
      <c r="D1888" s="898" t="s">
        <v>6856</v>
      </c>
      <c r="E1888" s="1144">
        <v>1300</v>
      </c>
      <c r="F1888" s="898" t="s">
        <v>6857</v>
      </c>
      <c r="G1888" s="1245" t="s">
        <v>6858</v>
      </c>
      <c r="H1888" s="1245" t="s">
        <v>6856</v>
      </c>
      <c r="I1888" s="1147" t="s">
        <v>3292</v>
      </c>
      <c r="J1888" s="943" t="s">
        <v>6540</v>
      </c>
      <c r="K1888" s="944">
        <v>12</v>
      </c>
      <c r="L1888" s="1275">
        <v>12</v>
      </c>
      <c r="M1888" s="1246">
        <f t="shared" si="70"/>
        <v>15600</v>
      </c>
      <c r="N1888" s="1275">
        <v>12</v>
      </c>
      <c r="O1888" s="1275">
        <v>8</v>
      </c>
      <c r="P1888" s="899">
        <f t="shared" si="71"/>
        <v>10400</v>
      </c>
    </row>
    <row r="1889" spans="1:16" ht="36" x14ac:dyDescent="0.2">
      <c r="A1889" s="916" t="s">
        <v>6518</v>
      </c>
      <c r="B1889" s="898" t="s">
        <v>4291</v>
      </c>
      <c r="C1889" s="916" t="s">
        <v>398</v>
      </c>
      <c r="D1889" s="898" t="s">
        <v>5058</v>
      </c>
      <c r="E1889" s="1144">
        <v>1100</v>
      </c>
      <c r="F1889" s="898" t="s">
        <v>6859</v>
      </c>
      <c r="G1889" s="1245" t="s">
        <v>6860</v>
      </c>
      <c r="H1889" s="1245"/>
      <c r="I1889" s="1147"/>
      <c r="J1889" s="943" t="s">
        <v>3615</v>
      </c>
      <c r="K1889" s="944">
        <v>12</v>
      </c>
      <c r="L1889" s="1275">
        <v>12</v>
      </c>
      <c r="M1889" s="1246">
        <f t="shared" si="70"/>
        <v>13200</v>
      </c>
      <c r="N1889" s="1275">
        <v>12</v>
      </c>
      <c r="O1889" s="1275">
        <v>8</v>
      </c>
      <c r="P1889" s="899">
        <f t="shared" si="71"/>
        <v>8800</v>
      </c>
    </row>
    <row r="1890" spans="1:16" ht="36" x14ac:dyDescent="0.2">
      <c r="A1890" s="916" t="s">
        <v>6518</v>
      </c>
      <c r="B1890" s="898" t="s">
        <v>4291</v>
      </c>
      <c r="C1890" s="916" t="s">
        <v>398</v>
      </c>
      <c r="D1890" s="898" t="s">
        <v>5058</v>
      </c>
      <c r="E1890" s="1144">
        <v>1100</v>
      </c>
      <c r="F1890" s="898" t="s">
        <v>6861</v>
      </c>
      <c r="G1890" s="1245" t="s">
        <v>6862</v>
      </c>
      <c r="H1890" s="1245"/>
      <c r="I1890" s="1147"/>
      <c r="J1890" s="943" t="s">
        <v>3615</v>
      </c>
      <c r="K1890" s="944">
        <v>12</v>
      </c>
      <c r="L1890" s="1275">
        <v>12</v>
      </c>
      <c r="M1890" s="1246">
        <f t="shared" si="70"/>
        <v>13200</v>
      </c>
      <c r="N1890" s="1275">
        <v>12</v>
      </c>
      <c r="O1890" s="1275">
        <v>8</v>
      </c>
      <c r="P1890" s="899">
        <f t="shared" si="71"/>
        <v>8800</v>
      </c>
    </row>
    <row r="1891" spans="1:16" ht="36" x14ac:dyDescent="0.2">
      <c r="A1891" s="916" t="s">
        <v>6518</v>
      </c>
      <c r="B1891" s="898" t="s">
        <v>4291</v>
      </c>
      <c r="C1891" s="916" t="s">
        <v>398</v>
      </c>
      <c r="D1891" s="898" t="s">
        <v>5058</v>
      </c>
      <c r="E1891" s="1144">
        <v>1100</v>
      </c>
      <c r="F1891" s="898" t="s">
        <v>6863</v>
      </c>
      <c r="G1891" s="1245" t="s">
        <v>6864</v>
      </c>
      <c r="H1891" s="1245"/>
      <c r="I1891" s="1147"/>
      <c r="J1891" s="943" t="s">
        <v>3615</v>
      </c>
      <c r="K1891" s="944">
        <v>12</v>
      </c>
      <c r="L1891" s="1275">
        <v>12</v>
      </c>
      <c r="M1891" s="1246">
        <f t="shared" si="70"/>
        <v>13200</v>
      </c>
      <c r="N1891" s="1275">
        <v>12</v>
      </c>
      <c r="O1891" s="1275">
        <v>8</v>
      </c>
      <c r="P1891" s="899">
        <f t="shared" si="71"/>
        <v>8800</v>
      </c>
    </row>
    <row r="1892" spans="1:16" ht="36" x14ac:dyDescent="0.2">
      <c r="A1892" s="916" t="s">
        <v>6518</v>
      </c>
      <c r="B1892" s="898" t="s">
        <v>4291</v>
      </c>
      <c r="C1892" s="916" t="s">
        <v>398</v>
      </c>
      <c r="D1892" s="898" t="s">
        <v>5058</v>
      </c>
      <c r="E1892" s="1144">
        <v>1100</v>
      </c>
      <c r="F1892" s="898" t="s">
        <v>6865</v>
      </c>
      <c r="G1892" s="1245" t="s">
        <v>6866</v>
      </c>
      <c r="H1892" s="1245"/>
      <c r="I1892" s="1147"/>
      <c r="J1892" s="943" t="s">
        <v>3615</v>
      </c>
      <c r="K1892" s="944">
        <v>12</v>
      </c>
      <c r="L1892" s="1275">
        <v>12</v>
      </c>
      <c r="M1892" s="1246">
        <f t="shared" si="70"/>
        <v>13200</v>
      </c>
      <c r="N1892" s="1275">
        <v>12</v>
      </c>
      <c r="O1892" s="1275">
        <v>8</v>
      </c>
      <c r="P1892" s="899">
        <f t="shared" si="71"/>
        <v>8800</v>
      </c>
    </row>
    <row r="1893" spans="1:16" ht="36" x14ac:dyDescent="0.2">
      <c r="A1893" s="916" t="s">
        <v>6518</v>
      </c>
      <c r="B1893" s="898" t="s">
        <v>4291</v>
      </c>
      <c r="C1893" s="916" t="s">
        <v>398</v>
      </c>
      <c r="D1893" s="898" t="s">
        <v>5058</v>
      </c>
      <c r="E1893" s="1144">
        <v>1100</v>
      </c>
      <c r="F1893" s="898" t="s">
        <v>6867</v>
      </c>
      <c r="G1893" s="1245" t="s">
        <v>6868</v>
      </c>
      <c r="H1893" s="1245"/>
      <c r="I1893" s="1147"/>
      <c r="J1893" s="943" t="s">
        <v>3615</v>
      </c>
      <c r="K1893" s="944">
        <v>12</v>
      </c>
      <c r="L1893" s="1275">
        <v>12</v>
      </c>
      <c r="M1893" s="1246">
        <f t="shared" si="70"/>
        <v>13200</v>
      </c>
      <c r="N1893" s="1275">
        <v>12</v>
      </c>
      <c r="O1893" s="1275">
        <v>8</v>
      </c>
      <c r="P1893" s="899">
        <f t="shared" si="71"/>
        <v>8800</v>
      </c>
    </row>
    <row r="1894" spans="1:16" ht="36" x14ac:dyDescent="0.2">
      <c r="A1894" s="916" t="s">
        <v>6518</v>
      </c>
      <c r="B1894" s="898" t="s">
        <v>4291</v>
      </c>
      <c r="C1894" s="916" t="s">
        <v>398</v>
      </c>
      <c r="D1894" s="898" t="s">
        <v>5058</v>
      </c>
      <c r="E1894" s="1144">
        <v>1100</v>
      </c>
      <c r="F1894" s="898" t="s">
        <v>6869</v>
      </c>
      <c r="G1894" s="1245" t="s">
        <v>6870</v>
      </c>
      <c r="H1894" s="1245"/>
      <c r="I1894" s="1147"/>
      <c r="J1894" s="943" t="s">
        <v>3615</v>
      </c>
      <c r="K1894" s="944">
        <v>12</v>
      </c>
      <c r="L1894" s="1275">
        <v>12</v>
      </c>
      <c r="M1894" s="1246">
        <f t="shared" si="70"/>
        <v>13200</v>
      </c>
      <c r="N1894" s="1275">
        <v>12</v>
      </c>
      <c r="O1894" s="1275">
        <v>8</v>
      </c>
      <c r="P1894" s="899">
        <f t="shared" si="71"/>
        <v>8800</v>
      </c>
    </row>
    <row r="1895" spans="1:16" ht="36" x14ac:dyDescent="0.2">
      <c r="A1895" s="916" t="s">
        <v>6518</v>
      </c>
      <c r="B1895" s="898" t="s">
        <v>4291</v>
      </c>
      <c r="C1895" s="916" t="s">
        <v>398</v>
      </c>
      <c r="D1895" s="898" t="s">
        <v>5058</v>
      </c>
      <c r="E1895" s="1144">
        <v>1100</v>
      </c>
      <c r="F1895" s="898" t="s">
        <v>6871</v>
      </c>
      <c r="G1895" s="1245" t="s">
        <v>6872</v>
      </c>
      <c r="H1895" s="1245"/>
      <c r="I1895" s="1147"/>
      <c r="J1895" s="943" t="s">
        <v>3615</v>
      </c>
      <c r="K1895" s="944">
        <v>12</v>
      </c>
      <c r="L1895" s="1275">
        <v>12</v>
      </c>
      <c r="M1895" s="1246">
        <f t="shared" si="70"/>
        <v>13200</v>
      </c>
      <c r="N1895" s="1275">
        <v>12</v>
      </c>
      <c r="O1895" s="1275">
        <v>8</v>
      </c>
      <c r="P1895" s="899">
        <f t="shared" si="71"/>
        <v>8800</v>
      </c>
    </row>
    <row r="1896" spans="1:16" ht="36" x14ac:dyDescent="0.2">
      <c r="A1896" s="916" t="s">
        <v>6518</v>
      </c>
      <c r="B1896" s="898" t="s">
        <v>4291</v>
      </c>
      <c r="C1896" s="916" t="s">
        <v>398</v>
      </c>
      <c r="D1896" s="898" t="s">
        <v>5058</v>
      </c>
      <c r="E1896" s="1144">
        <v>1100</v>
      </c>
      <c r="F1896" s="898" t="s">
        <v>6873</v>
      </c>
      <c r="G1896" s="1245" t="s">
        <v>6874</v>
      </c>
      <c r="H1896" s="1245"/>
      <c r="I1896" s="1147"/>
      <c r="J1896" s="943" t="s">
        <v>3615</v>
      </c>
      <c r="K1896" s="944">
        <v>12</v>
      </c>
      <c r="L1896" s="1275">
        <v>12</v>
      </c>
      <c r="M1896" s="1246">
        <f t="shared" si="70"/>
        <v>13200</v>
      </c>
      <c r="N1896" s="1275">
        <v>12</v>
      </c>
      <c r="O1896" s="1275">
        <v>8</v>
      </c>
      <c r="P1896" s="899">
        <f t="shared" si="71"/>
        <v>8800</v>
      </c>
    </row>
    <row r="1897" spans="1:16" ht="36" x14ac:dyDescent="0.2">
      <c r="A1897" s="916" t="s">
        <v>6518</v>
      </c>
      <c r="B1897" s="898" t="s">
        <v>4291</v>
      </c>
      <c r="C1897" s="916" t="s">
        <v>398</v>
      </c>
      <c r="D1897" s="898" t="s">
        <v>5058</v>
      </c>
      <c r="E1897" s="1144">
        <v>1100</v>
      </c>
      <c r="F1897" s="898" t="s">
        <v>6875</v>
      </c>
      <c r="G1897" s="1245" t="s">
        <v>6876</v>
      </c>
      <c r="H1897" s="1245"/>
      <c r="I1897" s="1147"/>
      <c r="J1897" s="943" t="s">
        <v>3615</v>
      </c>
      <c r="K1897" s="944">
        <v>12</v>
      </c>
      <c r="L1897" s="1275">
        <v>12</v>
      </c>
      <c r="M1897" s="1246">
        <f t="shared" si="70"/>
        <v>13200</v>
      </c>
      <c r="N1897" s="1275">
        <v>12</v>
      </c>
      <c r="O1897" s="1275">
        <v>8</v>
      </c>
      <c r="P1897" s="899">
        <f t="shared" si="71"/>
        <v>8800</v>
      </c>
    </row>
    <row r="1898" spans="1:16" ht="36" x14ac:dyDescent="0.2">
      <c r="A1898" s="916" t="s">
        <v>6518</v>
      </c>
      <c r="B1898" s="898" t="s">
        <v>4291</v>
      </c>
      <c r="C1898" s="916" t="s">
        <v>398</v>
      </c>
      <c r="D1898" s="898" t="s">
        <v>5058</v>
      </c>
      <c r="E1898" s="1144">
        <v>1100</v>
      </c>
      <c r="F1898" s="898" t="s">
        <v>6877</v>
      </c>
      <c r="G1898" s="1245" t="s">
        <v>6878</v>
      </c>
      <c r="H1898" s="1245"/>
      <c r="I1898" s="1147"/>
      <c r="J1898" s="943" t="s">
        <v>3615</v>
      </c>
      <c r="K1898" s="944">
        <v>12</v>
      </c>
      <c r="L1898" s="1275">
        <v>12</v>
      </c>
      <c r="M1898" s="1246">
        <f t="shared" si="70"/>
        <v>13200</v>
      </c>
      <c r="N1898" s="1275">
        <v>12</v>
      </c>
      <c r="O1898" s="1275">
        <v>8</v>
      </c>
      <c r="P1898" s="899">
        <f t="shared" si="71"/>
        <v>8800</v>
      </c>
    </row>
    <row r="1899" spans="1:16" ht="36" x14ac:dyDescent="0.2">
      <c r="A1899" s="916" t="s">
        <v>6518</v>
      </c>
      <c r="B1899" s="898" t="s">
        <v>4291</v>
      </c>
      <c r="C1899" s="916" t="s">
        <v>398</v>
      </c>
      <c r="D1899" s="898" t="s">
        <v>5058</v>
      </c>
      <c r="E1899" s="1144">
        <v>1100</v>
      </c>
      <c r="F1899" s="898" t="s">
        <v>6879</v>
      </c>
      <c r="G1899" s="1245" t="s">
        <v>6880</v>
      </c>
      <c r="H1899" s="1245"/>
      <c r="I1899" s="1147"/>
      <c r="J1899" s="943" t="s">
        <v>3615</v>
      </c>
      <c r="K1899" s="944">
        <v>12</v>
      </c>
      <c r="L1899" s="1275">
        <v>12</v>
      </c>
      <c r="M1899" s="1246">
        <f t="shared" si="70"/>
        <v>13200</v>
      </c>
      <c r="N1899" s="1275">
        <v>12</v>
      </c>
      <c r="O1899" s="1275">
        <v>8</v>
      </c>
      <c r="P1899" s="899">
        <f t="shared" si="71"/>
        <v>8800</v>
      </c>
    </row>
    <row r="1900" spans="1:16" ht="36" x14ac:dyDescent="0.2">
      <c r="A1900" s="916" t="s">
        <v>6518</v>
      </c>
      <c r="B1900" s="898" t="s">
        <v>4291</v>
      </c>
      <c r="C1900" s="916" t="s">
        <v>398</v>
      </c>
      <c r="D1900" s="898" t="s">
        <v>5058</v>
      </c>
      <c r="E1900" s="1144">
        <v>1100</v>
      </c>
      <c r="F1900" s="898" t="s">
        <v>6881</v>
      </c>
      <c r="G1900" s="1245" t="s">
        <v>6882</v>
      </c>
      <c r="H1900" s="1245"/>
      <c r="I1900" s="1147"/>
      <c r="J1900" s="943" t="s">
        <v>3615</v>
      </c>
      <c r="K1900" s="944">
        <v>12</v>
      </c>
      <c r="L1900" s="1275">
        <v>12</v>
      </c>
      <c r="M1900" s="1246">
        <f t="shared" si="70"/>
        <v>13200</v>
      </c>
      <c r="N1900" s="1275">
        <v>12</v>
      </c>
      <c r="O1900" s="1275">
        <v>8</v>
      </c>
      <c r="P1900" s="899">
        <f t="shared" si="71"/>
        <v>8800</v>
      </c>
    </row>
    <row r="1901" spans="1:16" ht="36" x14ac:dyDescent="0.2">
      <c r="A1901" s="916" t="s">
        <v>6518</v>
      </c>
      <c r="B1901" s="898" t="s">
        <v>4291</v>
      </c>
      <c r="C1901" s="916" t="s">
        <v>398</v>
      </c>
      <c r="D1901" s="898" t="s">
        <v>5058</v>
      </c>
      <c r="E1901" s="1144">
        <v>1100</v>
      </c>
      <c r="F1901" s="898" t="s">
        <v>6883</v>
      </c>
      <c r="G1901" s="1245" t="s">
        <v>6884</v>
      </c>
      <c r="H1901" s="1245"/>
      <c r="I1901" s="1147"/>
      <c r="J1901" s="943" t="s">
        <v>3615</v>
      </c>
      <c r="K1901" s="944">
        <v>12</v>
      </c>
      <c r="L1901" s="1275">
        <v>12</v>
      </c>
      <c r="M1901" s="1246">
        <f t="shared" si="70"/>
        <v>13200</v>
      </c>
      <c r="N1901" s="1275">
        <v>12</v>
      </c>
      <c r="O1901" s="1275">
        <v>8</v>
      </c>
      <c r="P1901" s="899">
        <f t="shared" si="71"/>
        <v>8800</v>
      </c>
    </row>
    <row r="1902" spans="1:16" ht="36" x14ac:dyDescent="0.2">
      <c r="A1902" s="916" t="s">
        <v>6518</v>
      </c>
      <c r="B1902" s="898" t="s">
        <v>4291</v>
      </c>
      <c r="C1902" s="916" t="s">
        <v>398</v>
      </c>
      <c r="D1902" s="898" t="s">
        <v>5058</v>
      </c>
      <c r="E1902" s="1144">
        <v>1300</v>
      </c>
      <c r="F1902" s="898" t="s">
        <v>6885</v>
      </c>
      <c r="G1902" s="1245" t="s">
        <v>6886</v>
      </c>
      <c r="H1902" s="1245"/>
      <c r="I1902" s="1147"/>
      <c r="J1902" s="943" t="s">
        <v>3615</v>
      </c>
      <c r="K1902" s="944">
        <v>12</v>
      </c>
      <c r="L1902" s="1275">
        <v>12</v>
      </c>
      <c r="M1902" s="1246">
        <f t="shared" si="70"/>
        <v>15600</v>
      </c>
      <c r="N1902" s="1275">
        <v>12</v>
      </c>
      <c r="O1902" s="1275">
        <v>8</v>
      </c>
      <c r="P1902" s="899">
        <f t="shared" si="71"/>
        <v>10400</v>
      </c>
    </row>
    <row r="1903" spans="1:16" ht="36" x14ac:dyDescent="0.2">
      <c r="A1903" s="916" t="s">
        <v>6518</v>
      </c>
      <c r="B1903" s="898" t="s">
        <v>4291</v>
      </c>
      <c r="C1903" s="916" t="s">
        <v>398</v>
      </c>
      <c r="D1903" s="898" t="s">
        <v>5058</v>
      </c>
      <c r="E1903" s="1144">
        <v>1300</v>
      </c>
      <c r="F1903" s="898" t="s">
        <v>6887</v>
      </c>
      <c r="G1903" s="1245" t="s">
        <v>6888</v>
      </c>
      <c r="H1903" s="1245"/>
      <c r="I1903" s="1147"/>
      <c r="J1903" s="943" t="s">
        <v>3615</v>
      </c>
      <c r="K1903" s="944">
        <v>12</v>
      </c>
      <c r="L1903" s="1275">
        <v>12</v>
      </c>
      <c r="M1903" s="1246">
        <f t="shared" si="70"/>
        <v>15600</v>
      </c>
      <c r="N1903" s="1275">
        <v>12</v>
      </c>
      <c r="O1903" s="1275">
        <v>8</v>
      </c>
      <c r="P1903" s="899">
        <f t="shared" si="71"/>
        <v>10400</v>
      </c>
    </row>
    <row r="1904" spans="1:16" ht="36" x14ac:dyDescent="0.2">
      <c r="A1904" s="916" t="s">
        <v>6518</v>
      </c>
      <c r="B1904" s="898" t="s">
        <v>4291</v>
      </c>
      <c r="C1904" s="916" t="s">
        <v>398</v>
      </c>
      <c r="D1904" s="898" t="s">
        <v>5058</v>
      </c>
      <c r="E1904" s="1144">
        <v>1300</v>
      </c>
      <c r="F1904" s="898" t="s">
        <v>6889</v>
      </c>
      <c r="G1904" s="1245" t="s">
        <v>6890</v>
      </c>
      <c r="H1904" s="1245"/>
      <c r="I1904" s="1147"/>
      <c r="J1904" s="943" t="s">
        <v>3615</v>
      </c>
      <c r="K1904" s="944">
        <v>12</v>
      </c>
      <c r="L1904" s="1275">
        <v>12</v>
      </c>
      <c r="M1904" s="1246">
        <f t="shared" si="70"/>
        <v>15600</v>
      </c>
      <c r="N1904" s="1275">
        <v>12</v>
      </c>
      <c r="O1904" s="1275">
        <v>8</v>
      </c>
      <c r="P1904" s="899">
        <f t="shared" si="71"/>
        <v>10400</v>
      </c>
    </row>
    <row r="1905" spans="1:16" ht="36" x14ac:dyDescent="0.2">
      <c r="A1905" s="916" t="s">
        <v>6518</v>
      </c>
      <c r="B1905" s="898" t="s">
        <v>4291</v>
      </c>
      <c r="C1905" s="916" t="s">
        <v>398</v>
      </c>
      <c r="D1905" s="898" t="s">
        <v>5058</v>
      </c>
      <c r="E1905" s="1144">
        <v>1300</v>
      </c>
      <c r="F1905" s="898" t="s">
        <v>6891</v>
      </c>
      <c r="G1905" s="1245" t="s">
        <v>6892</v>
      </c>
      <c r="H1905" s="1245"/>
      <c r="I1905" s="1147"/>
      <c r="J1905" s="943" t="s">
        <v>3615</v>
      </c>
      <c r="K1905" s="944">
        <v>12</v>
      </c>
      <c r="L1905" s="1275">
        <v>12</v>
      </c>
      <c r="M1905" s="1246">
        <f t="shared" si="70"/>
        <v>15600</v>
      </c>
      <c r="N1905" s="1275">
        <v>12</v>
      </c>
      <c r="O1905" s="1275">
        <v>8</v>
      </c>
      <c r="P1905" s="899">
        <f t="shared" si="71"/>
        <v>10400</v>
      </c>
    </row>
    <row r="1906" spans="1:16" ht="36" x14ac:dyDescent="0.2">
      <c r="A1906" s="916" t="s">
        <v>6518</v>
      </c>
      <c r="B1906" s="898" t="s">
        <v>4291</v>
      </c>
      <c r="C1906" s="916" t="s">
        <v>398</v>
      </c>
      <c r="D1906" s="898" t="s">
        <v>5058</v>
      </c>
      <c r="E1906" s="1144">
        <v>1300</v>
      </c>
      <c r="F1906" s="898" t="s">
        <v>6893</v>
      </c>
      <c r="G1906" s="1245" t="s">
        <v>6894</v>
      </c>
      <c r="H1906" s="1245"/>
      <c r="I1906" s="1147"/>
      <c r="J1906" s="943" t="s">
        <v>3615</v>
      </c>
      <c r="K1906" s="944">
        <v>12</v>
      </c>
      <c r="L1906" s="1275">
        <v>12</v>
      </c>
      <c r="M1906" s="1246">
        <f t="shared" si="70"/>
        <v>15600</v>
      </c>
      <c r="N1906" s="1275">
        <v>12</v>
      </c>
      <c r="O1906" s="1275">
        <v>8</v>
      </c>
      <c r="P1906" s="899">
        <f t="shared" si="71"/>
        <v>10400</v>
      </c>
    </row>
    <row r="1907" spans="1:16" ht="36" x14ac:dyDescent="0.2">
      <c r="A1907" s="916" t="s">
        <v>6518</v>
      </c>
      <c r="B1907" s="898" t="s">
        <v>4291</v>
      </c>
      <c r="C1907" s="916" t="s">
        <v>398</v>
      </c>
      <c r="D1907" s="898" t="s">
        <v>5058</v>
      </c>
      <c r="E1907" s="1144">
        <v>1300</v>
      </c>
      <c r="F1907" s="898" t="s">
        <v>6895</v>
      </c>
      <c r="G1907" s="1245" t="s">
        <v>6896</v>
      </c>
      <c r="H1907" s="1245"/>
      <c r="I1907" s="1147"/>
      <c r="J1907" s="943" t="s">
        <v>3615</v>
      </c>
      <c r="K1907" s="944">
        <v>12</v>
      </c>
      <c r="L1907" s="1275">
        <v>12</v>
      </c>
      <c r="M1907" s="1246">
        <f t="shared" si="70"/>
        <v>15600</v>
      </c>
      <c r="N1907" s="1275">
        <v>12</v>
      </c>
      <c r="O1907" s="1275">
        <v>8</v>
      </c>
      <c r="P1907" s="899">
        <f t="shared" si="71"/>
        <v>10400</v>
      </c>
    </row>
    <row r="1908" spans="1:16" ht="36" x14ac:dyDescent="0.2">
      <c r="A1908" s="916" t="s">
        <v>6518</v>
      </c>
      <c r="B1908" s="898" t="s">
        <v>4291</v>
      </c>
      <c r="C1908" s="916" t="s">
        <v>398</v>
      </c>
      <c r="D1908" s="898" t="s">
        <v>5058</v>
      </c>
      <c r="E1908" s="1144">
        <v>1300</v>
      </c>
      <c r="F1908" s="898" t="s">
        <v>6897</v>
      </c>
      <c r="G1908" s="1245" t="s">
        <v>6898</v>
      </c>
      <c r="H1908" s="1245"/>
      <c r="I1908" s="1147"/>
      <c r="J1908" s="943" t="s">
        <v>3615</v>
      </c>
      <c r="K1908" s="944">
        <v>12</v>
      </c>
      <c r="L1908" s="1275">
        <v>12</v>
      </c>
      <c r="M1908" s="1246">
        <f t="shared" si="70"/>
        <v>15600</v>
      </c>
      <c r="N1908" s="1275">
        <v>12</v>
      </c>
      <c r="O1908" s="1275">
        <v>8</v>
      </c>
      <c r="P1908" s="899">
        <f t="shared" si="71"/>
        <v>10400</v>
      </c>
    </row>
    <row r="1909" spans="1:16" ht="36" x14ac:dyDescent="0.2">
      <c r="A1909" s="916" t="s">
        <v>6518</v>
      </c>
      <c r="B1909" s="898" t="s">
        <v>4291</v>
      </c>
      <c r="C1909" s="916" t="s">
        <v>398</v>
      </c>
      <c r="D1909" s="898" t="s">
        <v>5058</v>
      </c>
      <c r="E1909" s="1144">
        <v>1300</v>
      </c>
      <c r="F1909" s="898" t="s">
        <v>6899</v>
      </c>
      <c r="G1909" s="1245" t="s">
        <v>6900</v>
      </c>
      <c r="H1909" s="1245"/>
      <c r="I1909" s="1147"/>
      <c r="J1909" s="943" t="s">
        <v>3615</v>
      </c>
      <c r="K1909" s="944">
        <v>12</v>
      </c>
      <c r="L1909" s="1275">
        <v>12</v>
      </c>
      <c r="M1909" s="1246">
        <f t="shared" si="70"/>
        <v>15600</v>
      </c>
      <c r="N1909" s="1275">
        <v>12</v>
      </c>
      <c r="O1909" s="1275">
        <v>8</v>
      </c>
      <c r="P1909" s="899">
        <f t="shared" si="71"/>
        <v>10400</v>
      </c>
    </row>
    <row r="1910" spans="1:16" ht="36" x14ac:dyDescent="0.2">
      <c r="A1910" s="916" t="s">
        <v>6518</v>
      </c>
      <c r="B1910" s="898" t="s">
        <v>4291</v>
      </c>
      <c r="C1910" s="916" t="s">
        <v>398</v>
      </c>
      <c r="D1910" s="898" t="s">
        <v>5058</v>
      </c>
      <c r="E1910" s="1144">
        <v>1300</v>
      </c>
      <c r="F1910" s="898" t="s">
        <v>6901</v>
      </c>
      <c r="G1910" s="1245" t="s">
        <v>6902</v>
      </c>
      <c r="H1910" s="1245"/>
      <c r="I1910" s="1147"/>
      <c r="J1910" s="943" t="s">
        <v>3615</v>
      </c>
      <c r="K1910" s="944">
        <v>12</v>
      </c>
      <c r="L1910" s="1275">
        <v>12</v>
      </c>
      <c r="M1910" s="1246">
        <f t="shared" si="70"/>
        <v>15600</v>
      </c>
      <c r="N1910" s="1275">
        <v>12</v>
      </c>
      <c r="O1910" s="1275">
        <v>8</v>
      </c>
      <c r="P1910" s="899">
        <f t="shared" si="71"/>
        <v>10400</v>
      </c>
    </row>
    <row r="1911" spans="1:16" ht="36" x14ac:dyDescent="0.2">
      <c r="A1911" s="916" t="s">
        <v>6518</v>
      </c>
      <c r="B1911" s="898" t="s">
        <v>4291</v>
      </c>
      <c r="C1911" s="916" t="s">
        <v>398</v>
      </c>
      <c r="D1911" s="898" t="s">
        <v>5058</v>
      </c>
      <c r="E1911" s="1144">
        <v>1300</v>
      </c>
      <c r="F1911" s="898" t="s">
        <v>6903</v>
      </c>
      <c r="G1911" s="1245" t="s">
        <v>6904</v>
      </c>
      <c r="H1911" s="1245"/>
      <c r="I1911" s="1147"/>
      <c r="J1911" s="943" t="s">
        <v>3615</v>
      </c>
      <c r="K1911" s="944">
        <v>12</v>
      </c>
      <c r="L1911" s="1275">
        <v>12</v>
      </c>
      <c r="M1911" s="1246">
        <f t="shared" si="70"/>
        <v>15600</v>
      </c>
      <c r="N1911" s="1275">
        <v>12</v>
      </c>
      <c r="O1911" s="1275">
        <v>8</v>
      </c>
      <c r="P1911" s="899">
        <f t="shared" si="71"/>
        <v>10400</v>
      </c>
    </row>
    <row r="1912" spans="1:16" ht="36" x14ac:dyDescent="0.2">
      <c r="A1912" s="916" t="s">
        <v>6518</v>
      </c>
      <c r="B1912" s="898" t="s">
        <v>4291</v>
      </c>
      <c r="C1912" s="916" t="s">
        <v>398</v>
      </c>
      <c r="D1912" s="898" t="s">
        <v>3110</v>
      </c>
      <c r="E1912" s="1144">
        <v>1100</v>
      </c>
      <c r="F1912" s="898" t="s">
        <v>6905</v>
      </c>
      <c r="G1912" s="898" t="s">
        <v>6906</v>
      </c>
      <c r="H1912" s="898"/>
      <c r="I1912" s="943"/>
      <c r="J1912" s="943" t="s">
        <v>3615</v>
      </c>
      <c r="K1912" s="944">
        <v>12</v>
      </c>
      <c r="L1912" s="1275">
        <v>12</v>
      </c>
      <c r="M1912" s="1246">
        <f t="shared" si="70"/>
        <v>13200</v>
      </c>
      <c r="N1912" s="1275">
        <v>12</v>
      </c>
      <c r="O1912" s="1275">
        <v>8</v>
      </c>
      <c r="P1912" s="899">
        <f t="shared" si="71"/>
        <v>8800</v>
      </c>
    </row>
    <row r="1913" spans="1:16" ht="36" x14ac:dyDescent="0.2">
      <c r="A1913" s="916" t="s">
        <v>6518</v>
      </c>
      <c r="B1913" s="898" t="s">
        <v>4291</v>
      </c>
      <c r="C1913" s="916" t="s">
        <v>398</v>
      </c>
      <c r="D1913" s="898" t="s">
        <v>3110</v>
      </c>
      <c r="E1913" s="1144">
        <v>1160</v>
      </c>
      <c r="F1913" s="898" t="s">
        <v>6907</v>
      </c>
      <c r="G1913" s="898" t="s">
        <v>6908</v>
      </c>
      <c r="H1913" s="898"/>
      <c r="I1913" s="943"/>
      <c r="J1913" s="943" t="s">
        <v>3615</v>
      </c>
      <c r="K1913" s="944">
        <v>12</v>
      </c>
      <c r="L1913" s="1275">
        <v>12</v>
      </c>
      <c r="M1913" s="1246">
        <f t="shared" si="70"/>
        <v>13920</v>
      </c>
      <c r="N1913" s="1275">
        <v>12</v>
      </c>
      <c r="O1913" s="1275">
        <v>8</v>
      </c>
      <c r="P1913" s="899">
        <f t="shared" si="71"/>
        <v>9280</v>
      </c>
    </row>
    <row r="1914" spans="1:16" ht="36" x14ac:dyDescent="0.2">
      <c r="A1914" s="916" t="s">
        <v>6518</v>
      </c>
      <c r="B1914" s="898" t="s">
        <v>4291</v>
      </c>
      <c r="C1914" s="916" t="s">
        <v>398</v>
      </c>
      <c r="D1914" s="898" t="s">
        <v>3110</v>
      </c>
      <c r="E1914" s="1144">
        <v>1160</v>
      </c>
      <c r="F1914" s="898" t="s">
        <v>6909</v>
      </c>
      <c r="G1914" s="898" t="s">
        <v>6910</v>
      </c>
      <c r="H1914" s="898"/>
      <c r="I1914" s="943"/>
      <c r="J1914" s="943" t="s">
        <v>3615</v>
      </c>
      <c r="K1914" s="944">
        <v>12</v>
      </c>
      <c r="L1914" s="1275">
        <v>12</v>
      </c>
      <c r="M1914" s="1246">
        <f t="shared" si="70"/>
        <v>13920</v>
      </c>
      <c r="N1914" s="1275">
        <v>12</v>
      </c>
      <c r="O1914" s="1275">
        <v>8</v>
      </c>
      <c r="P1914" s="899">
        <f t="shared" si="71"/>
        <v>9280</v>
      </c>
    </row>
    <row r="1915" spans="1:16" ht="36" x14ac:dyDescent="0.2">
      <c r="A1915" s="916" t="s">
        <v>6518</v>
      </c>
      <c r="B1915" s="898" t="s">
        <v>4291</v>
      </c>
      <c r="C1915" s="916" t="s">
        <v>398</v>
      </c>
      <c r="D1915" s="898" t="s">
        <v>3110</v>
      </c>
      <c r="E1915" s="1144">
        <v>1300</v>
      </c>
      <c r="F1915" s="898" t="s">
        <v>6911</v>
      </c>
      <c r="G1915" s="898" t="s">
        <v>6912</v>
      </c>
      <c r="H1915" s="898"/>
      <c r="I1915" s="943"/>
      <c r="J1915" s="943" t="s">
        <v>3615</v>
      </c>
      <c r="K1915" s="944">
        <v>12</v>
      </c>
      <c r="L1915" s="1275">
        <v>12</v>
      </c>
      <c r="M1915" s="1246">
        <f t="shared" si="70"/>
        <v>15600</v>
      </c>
      <c r="N1915" s="1275">
        <v>12</v>
      </c>
      <c r="O1915" s="1275">
        <v>8</v>
      </c>
      <c r="P1915" s="899">
        <f t="shared" si="71"/>
        <v>10400</v>
      </c>
    </row>
    <row r="1916" spans="1:16" ht="36" x14ac:dyDescent="0.2">
      <c r="A1916" s="916" t="s">
        <v>6518</v>
      </c>
      <c r="B1916" s="898" t="s">
        <v>4291</v>
      </c>
      <c r="C1916" s="916" t="s">
        <v>398</v>
      </c>
      <c r="D1916" s="898" t="s">
        <v>3110</v>
      </c>
      <c r="E1916" s="1144">
        <v>1300</v>
      </c>
      <c r="F1916" s="898" t="s">
        <v>6913</v>
      </c>
      <c r="G1916" s="898" t="s">
        <v>6914</v>
      </c>
      <c r="H1916" s="898"/>
      <c r="I1916" s="943"/>
      <c r="J1916" s="943" t="s">
        <v>3615</v>
      </c>
      <c r="K1916" s="944">
        <v>12</v>
      </c>
      <c r="L1916" s="1275">
        <v>12</v>
      </c>
      <c r="M1916" s="1246">
        <f t="shared" ref="M1916:M1924" si="72">+E1916*12</f>
        <v>15600</v>
      </c>
      <c r="N1916" s="1275">
        <v>12</v>
      </c>
      <c r="O1916" s="1275">
        <v>8</v>
      </c>
      <c r="P1916" s="899">
        <f t="shared" ref="P1916:P1924" si="73">+E1916*8</f>
        <v>10400</v>
      </c>
    </row>
    <row r="1917" spans="1:16" ht="36" x14ac:dyDescent="0.2">
      <c r="A1917" s="916" t="s">
        <v>6518</v>
      </c>
      <c r="B1917" s="898" t="s">
        <v>4291</v>
      </c>
      <c r="C1917" s="916" t="s">
        <v>398</v>
      </c>
      <c r="D1917" s="898" t="s">
        <v>3110</v>
      </c>
      <c r="E1917" s="1144">
        <v>1300</v>
      </c>
      <c r="F1917" s="898" t="s">
        <v>6915</v>
      </c>
      <c r="G1917" s="898" t="s">
        <v>6916</v>
      </c>
      <c r="H1917" s="898"/>
      <c r="I1917" s="943"/>
      <c r="J1917" s="943" t="s">
        <v>3615</v>
      </c>
      <c r="K1917" s="944">
        <v>12</v>
      </c>
      <c r="L1917" s="1275">
        <v>12</v>
      </c>
      <c r="M1917" s="1246">
        <f t="shared" si="72"/>
        <v>15600</v>
      </c>
      <c r="N1917" s="1275">
        <v>12</v>
      </c>
      <c r="O1917" s="1275">
        <v>8</v>
      </c>
      <c r="P1917" s="899">
        <f t="shared" si="73"/>
        <v>10400</v>
      </c>
    </row>
    <row r="1918" spans="1:16" ht="36" x14ac:dyDescent="0.2">
      <c r="A1918" s="916" t="s">
        <v>6518</v>
      </c>
      <c r="B1918" s="898" t="s">
        <v>4291</v>
      </c>
      <c r="C1918" s="916" t="s">
        <v>398</v>
      </c>
      <c r="D1918" s="898" t="s">
        <v>3110</v>
      </c>
      <c r="E1918" s="1144">
        <v>1300</v>
      </c>
      <c r="F1918" s="898" t="s">
        <v>6917</v>
      </c>
      <c r="G1918" s="898" t="s">
        <v>6918</v>
      </c>
      <c r="H1918" s="898"/>
      <c r="I1918" s="943"/>
      <c r="J1918" s="943" t="s">
        <v>3615</v>
      </c>
      <c r="K1918" s="944">
        <v>12</v>
      </c>
      <c r="L1918" s="1275">
        <v>12</v>
      </c>
      <c r="M1918" s="1246">
        <f t="shared" si="72"/>
        <v>15600</v>
      </c>
      <c r="N1918" s="1275">
        <v>12</v>
      </c>
      <c r="O1918" s="1275">
        <v>8</v>
      </c>
      <c r="P1918" s="899">
        <f t="shared" si="73"/>
        <v>10400</v>
      </c>
    </row>
    <row r="1919" spans="1:16" ht="36" x14ac:dyDescent="0.2">
      <c r="A1919" s="916" t="s">
        <v>6518</v>
      </c>
      <c r="B1919" s="898" t="s">
        <v>4291</v>
      </c>
      <c r="C1919" s="916" t="s">
        <v>398</v>
      </c>
      <c r="D1919" s="898" t="s">
        <v>3110</v>
      </c>
      <c r="E1919" s="1144">
        <v>1300</v>
      </c>
      <c r="F1919" s="898" t="s">
        <v>6919</v>
      </c>
      <c r="G1919" s="898" t="s">
        <v>6920</v>
      </c>
      <c r="H1919" s="898"/>
      <c r="I1919" s="943"/>
      <c r="J1919" s="943" t="s">
        <v>3615</v>
      </c>
      <c r="K1919" s="944">
        <v>12</v>
      </c>
      <c r="L1919" s="1275">
        <v>12</v>
      </c>
      <c r="M1919" s="1246">
        <f t="shared" si="72"/>
        <v>15600</v>
      </c>
      <c r="N1919" s="1275">
        <v>12</v>
      </c>
      <c r="O1919" s="1275">
        <v>8</v>
      </c>
      <c r="P1919" s="899">
        <f t="shared" si="73"/>
        <v>10400</v>
      </c>
    </row>
    <row r="1920" spans="1:16" ht="36" x14ac:dyDescent="0.2">
      <c r="A1920" s="916" t="s">
        <v>6518</v>
      </c>
      <c r="B1920" s="898" t="s">
        <v>4291</v>
      </c>
      <c r="C1920" s="916" t="s">
        <v>398</v>
      </c>
      <c r="D1920" s="898" t="s">
        <v>3110</v>
      </c>
      <c r="E1920" s="1144">
        <v>1300</v>
      </c>
      <c r="F1920" s="898" t="s">
        <v>6921</v>
      </c>
      <c r="G1920" s="898" t="s">
        <v>6922</v>
      </c>
      <c r="H1920" s="898"/>
      <c r="I1920" s="943"/>
      <c r="J1920" s="943" t="s">
        <v>3615</v>
      </c>
      <c r="K1920" s="944">
        <v>12</v>
      </c>
      <c r="L1920" s="1275">
        <v>12</v>
      </c>
      <c r="M1920" s="1246">
        <f t="shared" si="72"/>
        <v>15600</v>
      </c>
      <c r="N1920" s="1275">
        <v>12</v>
      </c>
      <c r="O1920" s="1275">
        <v>8</v>
      </c>
      <c r="P1920" s="899">
        <f t="shared" si="73"/>
        <v>10400</v>
      </c>
    </row>
    <row r="1921" spans="1:16" ht="36" x14ac:dyDescent="0.2">
      <c r="A1921" s="916" t="s">
        <v>6518</v>
      </c>
      <c r="B1921" s="898" t="s">
        <v>4291</v>
      </c>
      <c r="C1921" s="916" t="s">
        <v>398</v>
      </c>
      <c r="D1921" s="898" t="s">
        <v>3110</v>
      </c>
      <c r="E1921" s="1144">
        <v>1300</v>
      </c>
      <c r="F1921" s="898" t="s">
        <v>6923</v>
      </c>
      <c r="G1921" s="898" t="s">
        <v>6924</v>
      </c>
      <c r="H1921" s="898"/>
      <c r="I1921" s="943"/>
      <c r="J1921" s="943" t="s">
        <v>3615</v>
      </c>
      <c r="K1921" s="944">
        <v>12</v>
      </c>
      <c r="L1921" s="1275">
        <v>12</v>
      </c>
      <c r="M1921" s="1246">
        <f t="shared" si="72"/>
        <v>15600</v>
      </c>
      <c r="N1921" s="1275">
        <v>12</v>
      </c>
      <c r="O1921" s="1275">
        <v>8</v>
      </c>
      <c r="P1921" s="899">
        <f t="shared" si="73"/>
        <v>10400</v>
      </c>
    </row>
    <row r="1922" spans="1:16" ht="36" x14ac:dyDescent="0.2">
      <c r="A1922" s="916" t="s">
        <v>6518</v>
      </c>
      <c r="B1922" s="898" t="s">
        <v>4291</v>
      </c>
      <c r="C1922" s="916" t="s">
        <v>398</v>
      </c>
      <c r="D1922" s="898" t="s">
        <v>3110</v>
      </c>
      <c r="E1922" s="1144">
        <v>1300</v>
      </c>
      <c r="F1922" s="898" t="s">
        <v>6925</v>
      </c>
      <c r="G1922" s="898" t="s">
        <v>6926</v>
      </c>
      <c r="H1922" s="898"/>
      <c r="I1922" s="943"/>
      <c r="J1922" s="943" t="s">
        <v>3615</v>
      </c>
      <c r="K1922" s="944">
        <v>12</v>
      </c>
      <c r="L1922" s="1275">
        <v>12</v>
      </c>
      <c r="M1922" s="1246">
        <f t="shared" si="72"/>
        <v>15600</v>
      </c>
      <c r="N1922" s="1275">
        <v>12</v>
      </c>
      <c r="O1922" s="1275">
        <v>8</v>
      </c>
      <c r="P1922" s="899">
        <f t="shared" si="73"/>
        <v>10400</v>
      </c>
    </row>
    <row r="1923" spans="1:16" ht="36" x14ac:dyDescent="0.2">
      <c r="A1923" s="916" t="s">
        <v>6518</v>
      </c>
      <c r="B1923" s="898" t="s">
        <v>4291</v>
      </c>
      <c r="C1923" s="916" t="s">
        <v>398</v>
      </c>
      <c r="D1923" s="898" t="s">
        <v>3110</v>
      </c>
      <c r="E1923" s="1144">
        <v>1300</v>
      </c>
      <c r="F1923" s="898" t="s">
        <v>6927</v>
      </c>
      <c r="G1923" s="898" t="s">
        <v>6928</v>
      </c>
      <c r="H1923" s="898"/>
      <c r="I1923" s="943"/>
      <c r="J1923" s="943" t="s">
        <v>3615</v>
      </c>
      <c r="K1923" s="944">
        <v>12</v>
      </c>
      <c r="L1923" s="1275">
        <v>12</v>
      </c>
      <c r="M1923" s="1246">
        <f t="shared" si="72"/>
        <v>15600</v>
      </c>
      <c r="N1923" s="1275">
        <v>12</v>
      </c>
      <c r="O1923" s="1275">
        <v>8</v>
      </c>
      <c r="P1923" s="899">
        <f t="shared" si="73"/>
        <v>10400</v>
      </c>
    </row>
    <row r="1924" spans="1:16" ht="36" x14ac:dyDescent="0.2">
      <c r="A1924" s="916" t="s">
        <v>6518</v>
      </c>
      <c r="B1924" s="898" t="s">
        <v>4291</v>
      </c>
      <c r="C1924" s="916" t="s">
        <v>398</v>
      </c>
      <c r="D1924" s="898" t="s">
        <v>3110</v>
      </c>
      <c r="E1924" s="1144">
        <v>1300</v>
      </c>
      <c r="F1924" s="898" t="s">
        <v>6929</v>
      </c>
      <c r="G1924" s="898" t="s">
        <v>6930</v>
      </c>
      <c r="H1924" s="898"/>
      <c r="I1924" s="943"/>
      <c r="J1924" s="943" t="s">
        <v>3615</v>
      </c>
      <c r="K1924" s="944">
        <v>12</v>
      </c>
      <c r="L1924" s="1275">
        <v>12</v>
      </c>
      <c r="M1924" s="1246">
        <f t="shared" si="72"/>
        <v>15600</v>
      </c>
      <c r="N1924" s="1275">
        <v>12</v>
      </c>
      <c r="O1924" s="1275">
        <v>8</v>
      </c>
      <c r="P1924" s="899">
        <f t="shared" si="73"/>
        <v>10400</v>
      </c>
    </row>
    <row r="1925" spans="1:16" x14ac:dyDescent="0.2">
      <c r="A1925" s="916"/>
      <c r="B1925" s="898"/>
      <c r="C1925" s="1248" t="s">
        <v>3485</v>
      </c>
      <c r="D1925" s="898"/>
      <c r="E1925" s="1144">
        <f>SUM(E1724:E1924)</f>
        <v>338540</v>
      </c>
      <c r="F1925" s="898"/>
      <c r="G1925" s="898"/>
      <c r="H1925" s="898"/>
      <c r="I1925" s="943"/>
      <c r="J1925" s="943"/>
      <c r="K1925" s="944"/>
      <c r="L1925" s="1249"/>
      <c r="M1925" s="899"/>
      <c r="N1925" s="1249"/>
      <c r="O1925" s="1249"/>
      <c r="P1925" s="899">
        <f>SUM(P1724:P1924)</f>
        <v>2708320</v>
      </c>
    </row>
    <row r="1926" spans="1:16" x14ac:dyDescent="0.2">
      <c r="A1926" s="916"/>
      <c r="B1926" s="898"/>
      <c r="C1926" s="1248"/>
      <c r="D1926" s="898"/>
      <c r="E1926" s="1144"/>
      <c r="F1926" s="898"/>
      <c r="G1926" s="898"/>
      <c r="H1926" s="898"/>
      <c r="I1926" s="943"/>
      <c r="J1926" s="943"/>
      <c r="K1926" s="944"/>
      <c r="L1926" s="1249"/>
      <c r="M1926" s="899"/>
      <c r="N1926" s="1249"/>
      <c r="O1926" s="1249"/>
      <c r="P1926" s="899"/>
    </row>
    <row r="1927" spans="1:16" ht="36" x14ac:dyDescent="0.2">
      <c r="A1927" s="916" t="s">
        <v>6518</v>
      </c>
      <c r="B1927" s="898" t="s">
        <v>6931</v>
      </c>
      <c r="C1927" s="916" t="s">
        <v>4875</v>
      </c>
      <c r="D1927" s="898" t="s">
        <v>5106</v>
      </c>
      <c r="E1927" s="1144">
        <v>1440</v>
      </c>
      <c r="F1927" s="916">
        <v>46637140</v>
      </c>
      <c r="G1927" s="898" t="s">
        <v>6932</v>
      </c>
      <c r="H1927" s="898" t="s">
        <v>516</v>
      </c>
      <c r="I1927" s="943" t="s">
        <v>6933</v>
      </c>
      <c r="J1927" s="943" t="s">
        <v>4004</v>
      </c>
      <c r="K1927" s="944" t="s">
        <v>3626</v>
      </c>
      <c r="L1927" s="1249" t="s">
        <v>3626</v>
      </c>
      <c r="M1927" s="899">
        <f t="shared" ref="M1927:M1990" si="74">+E1927*L1927</f>
        <v>4320</v>
      </c>
      <c r="N1927" s="1249"/>
      <c r="O1927" s="1249"/>
      <c r="P1927" s="899">
        <f t="shared" ref="P1927:P1990" si="75">M1927</f>
        <v>4320</v>
      </c>
    </row>
    <row r="1928" spans="1:16" ht="36" x14ac:dyDescent="0.2">
      <c r="A1928" s="916" t="s">
        <v>6518</v>
      </c>
      <c r="B1928" s="898" t="s">
        <v>6931</v>
      </c>
      <c r="C1928" s="916" t="s">
        <v>4875</v>
      </c>
      <c r="D1928" s="898" t="s">
        <v>6934</v>
      </c>
      <c r="E1928" s="1144">
        <v>850</v>
      </c>
      <c r="F1928" s="898" t="s">
        <v>6606</v>
      </c>
      <c r="G1928" s="898" t="s">
        <v>6607</v>
      </c>
      <c r="H1928" s="898" t="s">
        <v>6934</v>
      </c>
      <c r="I1928" s="943" t="s">
        <v>6935</v>
      </c>
      <c r="J1928" s="943" t="s">
        <v>507</v>
      </c>
      <c r="K1928" s="944" t="s">
        <v>3604</v>
      </c>
      <c r="L1928" s="1249" t="s">
        <v>3604</v>
      </c>
      <c r="M1928" s="899">
        <f t="shared" si="74"/>
        <v>10200</v>
      </c>
      <c r="N1928" s="1249" t="s">
        <v>3662</v>
      </c>
      <c r="O1928" s="1249" t="s">
        <v>3662</v>
      </c>
      <c r="P1928" s="899">
        <f t="shared" si="75"/>
        <v>10200</v>
      </c>
    </row>
    <row r="1929" spans="1:16" ht="36" x14ac:dyDescent="0.2">
      <c r="A1929" s="916" t="s">
        <v>6518</v>
      </c>
      <c r="B1929" s="898" t="s">
        <v>6931</v>
      </c>
      <c r="C1929" s="916" t="s">
        <v>4875</v>
      </c>
      <c r="D1929" s="898" t="s">
        <v>6936</v>
      </c>
      <c r="E1929" s="1144">
        <v>930</v>
      </c>
      <c r="F1929" s="898" t="s">
        <v>6792</v>
      </c>
      <c r="G1929" s="898" t="s">
        <v>6793</v>
      </c>
      <c r="H1929" s="898" t="s">
        <v>6936</v>
      </c>
      <c r="I1929" s="943" t="s">
        <v>6937</v>
      </c>
      <c r="J1929" s="943" t="s">
        <v>3292</v>
      </c>
      <c r="K1929" s="944" t="s">
        <v>3626</v>
      </c>
      <c r="L1929" s="1249" t="s">
        <v>3626</v>
      </c>
      <c r="M1929" s="899">
        <f t="shared" si="74"/>
        <v>2790</v>
      </c>
      <c r="N1929" s="1249"/>
      <c r="O1929" s="1249"/>
      <c r="P1929" s="899">
        <f t="shared" si="75"/>
        <v>2790</v>
      </c>
    </row>
    <row r="1930" spans="1:16" ht="36" x14ac:dyDescent="0.2">
      <c r="A1930" s="916" t="s">
        <v>6518</v>
      </c>
      <c r="B1930" s="898" t="s">
        <v>6931</v>
      </c>
      <c r="C1930" s="916" t="s">
        <v>4875</v>
      </c>
      <c r="D1930" s="898" t="s">
        <v>6938</v>
      </c>
      <c r="E1930" s="1144">
        <v>1000</v>
      </c>
      <c r="F1930" s="898" t="s">
        <v>6840</v>
      </c>
      <c r="G1930" s="898" t="s">
        <v>6841</v>
      </c>
      <c r="H1930" s="898" t="s">
        <v>6939</v>
      </c>
      <c r="I1930" s="943" t="s">
        <v>6937</v>
      </c>
      <c r="J1930" s="943" t="s">
        <v>3292</v>
      </c>
      <c r="K1930" s="944" t="s">
        <v>3601</v>
      </c>
      <c r="L1930" s="1249" t="s">
        <v>3601</v>
      </c>
      <c r="M1930" s="899">
        <f t="shared" si="74"/>
        <v>2000</v>
      </c>
      <c r="N1930" s="1249"/>
      <c r="O1930" s="1249"/>
      <c r="P1930" s="899">
        <f t="shared" si="75"/>
        <v>2000</v>
      </c>
    </row>
    <row r="1931" spans="1:16" ht="36" x14ac:dyDescent="0.2">
      <c r="A1931" s="916" t="s">
        <v>6518</v>
      </c>
      <c r="B1931" s="898" t="s">
        <v>6931</v>
      </c>
      <c r="C1931" s="916" t="s">
        <v>4875</v>
      </c>
      <c r="D1931" s="898" t="s">
        <v>504</v>
      </c>
      <c r="E1931" s="1144">
        <v>1440</v>
      </c>
      <c r="F1931" s="898" t="s">
        <v>6940</v>
      </c>
      <c r="G1931" s="898" t="s">
        <v>6941</v>
      </c>
      <c r="H1931" s="898" t="s">
        <v>6942</v>
      </c>
      <c r="I1931" s="943" t="s">
        <v>6933</v>
      </c>
      <c r="J1931" s="943" t="s">
        <v>4004</v>
      </c>
      <c r="K1931" s="944" t="s">
        <v>429</v>
      </c>
      <c r="L1931" s="1249" t="s">
        <v>429</v>
      </c>
      <c r="M1931" s="899">
        <f t="shared" si="74"/>
        <v>1440</v>
      </c>
      <c r="N1931" s="1249"/>
      <c r="O1931" s="1249"/>
      <c r="P1931" s="899">
        <f t="shared" si="75"/>
        <v>1440</v>
      </c>
    </row>
    <row r="1932" spans="1:16" ht="36" x14ac:dyDescent="0.2">
      <c r="A1932" s="916" t="s">
        <v>6518</v>
      </c>
      <c r="B1932" s="898" t="s">
        <v>6931</v>
      </c>
      <c r="C1932" s="916" t="s">
        <v>4875</v>
      </c>
      <c r="D1932" s="898" t="s">
        <v>504</v>
      </c>
      <c r="E1932" s="1144">
        <v>1440</v>
      </c>
      <c r="F1932" s="898" t="s">
        <v>6676</v>
      </c>
      <c r="G1932" s="898" t="s">
        <v>6677</v>
      </c>
      <c r="H1932" s="898" t="s">
        <v>6942</v>
      </c>
      <c r="I1932" s="943" t="s">
        <v>6933</v>
      </c>
      <c r="J1932" s="943" t="s">
        <v>4004</v>
      </c>
      <c r="K1932" s="944" t="s">
        <v>3601</v>
      </c>
      <c r="L1932" s="1249" t="s">
        <v>3601</v>
      </c>
      <c r="M1932" s="899">
        <f t="shared" si="74"/>
        <v>2880</v>
      </c>
      <c r="N1932" s="1249"/>
      <c r="O1932" s="1249"/>
      <c r="P1932" s="899">
        <f t="shared" si="75"/>
        <v>2880</v>
      </c>
    </row>
    <row r="1933" spans="1:16" ht="36" x14ac:dyDescent="0.2">
      <c r="A1933" s="916" t="s">
        <v>6518</v>
      </c>
      <c r="B1933" s="898" t="s">
        <v>6931</v>
      </c>
      <c r="C1933" s="916" t="s">
        <v>4875</v>
      </c>
      <c r="D1933" s="898" t="s">
        <v>6943</v>
      </c>
      <c r="E1933" s="1144">
        <v>930</v>
      </c>
      <c r="F1933" s="898" t="s">
        <v>6944</v>
      </c>
      <c r="G1933" s="898" t="s">
        <v>6945</v>
      </c>
      <c r="H1933" s="898" t="s">
        <v>507</v>
      </c>
      <c r="I1933" s="943" t="s">
        <v>6946</v>
      </c>
      <c r="J1933" s="943" t="s">
        <v>507</v>
      </c>
      <c r="K1933" s="944" t="s">
        <v>3662</v>
      </c>
      <c r="L1933" s="1249" t="s">
        <v>3662</v>
      </c>
      <c r="M1933" s="899">
        <f t="shared" si="74"/>
        <v>3720</v>
      </c>
      <c r="N1933" s="1249"/>
      <c r="O1933" s="1249"/>
      <c r="P1933" s="899">
        <f t="shared" si="75"/>
        <v>3720</v>
      </c>
    </row>
    <row r="1934" spans="1:16" ht="36" x14ac:dyDescent="0.2">
      <c r="A1934" s="916" t="s">
        <v>6518</v>
      </c>
      <c r="B1934" s="898" t="s">
        <v>6931</v>
      </c>
      <c r="C1934" s="916" t="s">
        <v>4875</v>
      </c>
      <c r="D1934" s="898" t="s">
        <v>6936</v>
      </c>
      <c r="E1934" s="1144">
        <v>930</v>
      </c>
      <c r="F1934" s="898" t="s">
        <v>6903</v>
      </c>
      <c r="G1934" s="898" t="s">
        <v>6904</v>
      </c>
      <c r="H1934" s="898" t="s">
        <v>6936</v>
      </c>
      <c r="I1934" s="943" t="s">
        <v>6937</v>
      </c>
      <c r="J1934" s="943" t="s">
        <v>3292</v>
      </c>
      <c r="K1934" s="944" t="s">
        <v>3626</v>
      </c>
      <c r="L1934" s="1249" t="s">
        <v>3626</v>
      </c>
      <c r="M1934" s="899">
        <f t="shared" si="74"/>
        <v>2790</v>
      </c>
      <c r="N1934" s="1249"/>
      <c r="O1934" s="1249"/>
      <c r="P1934" s="899">
        <f t="shared" si="75"/>
        <v>2790</v>
      </c>
    </row>
    <row r="1935" spans="1:16" ht="36" x14ac:dyDescent="0.2">
      <c r="A1935" s="916" t="s">
        <v>6518</v>
      </c>
      <c r="B1935" s="898" t="s">
        <v>6931</v>
      </c>
      <c r="C1935" s="916" t="s">
        <v>4875</v>
      </c>
      <c r="D1935" s="898" t="s">
        <v>6936</v>
      </c>
      <c r="E1935" s="1144">
        <v>930</v>
      </c>
      <c r="F1935" s="898" t="s">
        <v>6947</v>
      </c>
      <c r="G1935" s="898" t="s">
        <v>6948</v>
      </c>
      <c r="H1935" s="898" t="s">
        <v>6936</v>
      </c>
      <c r="I1935" s="943" t="s">
        <v>6937</v>
      </c>
      <c r="J1935" s="943" t="s">
        <v>3292</v>
      </c>
      <c r="K1935" s="944" t="s">
        <v>3601</v>
      </c>
      <c r="L1935" s="1249" t="s">
        <v>3601</v>
      </c>
      <c r="M1935" s="899">
        <f t="shared" si="74"/>
        <v>1860</v>
      </c>
      <c r="N1935" s="1249"/>
      <c r="O1935" s="1249"/>
      <c r="P1935" s="899">
        <f t="shared" si="75"/>
        <v>1860</v>
      </c>
    </row>
    <row r="1936" spans="1:16" ht="36" x14ac:dyDescent="0.2">
      <c r="A1936" s="916" t="s">
        <v>6518</v>
      </c>
      <c r="B1936" s="898" t="s">
        <v>6931</v>
      </c>
      <c r="C1936" s="916" t="s">
        <v>4875</v>
      </c>
      <c r="D1936" s="898" t="s">
        <v>6936</v>
      </c>
      <c r="E1936" s="1144">
        <v>930</v>
      </c>
      <c r="F1936" s="898" t="s">
        <v>6949</v>
      </c>
      <c r="G1936" s="898" t="s">
        <v>6950</v>
      </c>
      <c r="H1936" s="898" t="s">
        <v>6936</v>
      </c>
      <c r="I1936" s="943" t="s">
        <v>6937</v>
      </c>
      <c r="J1936" s="943" t="s">
        <v>3292</v>
      </c>
      <c r="K1936" s="944" t="s">
        <v>3626</v>
      </c>
      <c r="L1936" s="1249" t="s">
        <v>3626</v>
      </c>
      <c r="M1936" s="899">
        <f t="shared" si="74"/>
        <v>2790</v>
      </c>
      <c r="N1936" s="1249"/>
      <c r="O1936" s="1249"/>
      <c r="P1936" s="899">
        <f t="shared" si="75"/>
        <v>2790</v>
      </c>
    </row>
    <row r="1937" spans="1:16" ht="36" x14ac:dyDescent="0.2">
      <c r="A1937" s="916" t="s">
        <v>6518</v>
      </c>
      <c r="B1937" s="898" t="s">
        <v>6931</v>
      </c>
      <c r="C1937" s="916" t="s">
        <v>4875</v>
      </c>
      <c r="D1937" s="898" t="s">
        <v>3680</v>
      </c>
      <c r="E1937" s="1144">
        <v>930</v>
      </c>
      <c r="F1937" s="898" t="s">
        <v>6901</v>
      </c>
      <c r="G1937" s="898" t="s">
        <v>6902</v>
      </c>
      <c r="H1937" s="898" t="s">
        <v>507</v>
      </c>
      <c r="I1937" s="943" t="s">
        <v>6946</v>
      </c>
      <c r="J1937" s="943" t="s">
        <v>507</v>
      </c>
      <c r="K1937" s="944" t="s">
        <v>3626</v>
      </c>
      <c r="L1937" s="1249" t="s">
        <v>3626</v>
      </c>
      <c r="M1937" s="899">
        <f t="shared" si="74"/>
        <v>2790</v>
      </c>
      <c r="N1937" s="1249"/>
      <c r="O1937" s="1249"/>
      <c r="P1937" s="899">
        <f t="shared" si="75"/>
        <v>2790</v>
      </c>
    </row>
    <row r="1938" spans="1:16" ht="36" x14ac:dyDescent="0.2">
      <c r="A1938" s="916" t="s">
        <v>6518</v>
      </c>
      <c r="B1938" s="898" t="s">
        <v>6931</v>
      </c>
      <c r="C1938" s="916" t="s">
        <v>4875</v>
      </c>
      <c r="D1938" s="898" t="s">
        <v>6936</v>
      </c>
      <c r="E1938" s="1144">
        <v>930</v>
      </c>
      <c r="F1938" s="898" t="s">
        <v>6951</v>
      </c>
      <c r="G1938" s="898" t="s">
        <v>6952</v>
      </c>
      <c r="H1938" s="898" t="s">
        <v>6936</v>
      </c>
      <c r="I1938" s="943" t="s">
        <v>6937</v>
      </c>
      <c r="J1938" s="943" t="s">
        <v>3292</v>
      </c>
      <c r="K1938" s="944" t="s">
        <v>3626</v>
      </c>
      <c r="L1938" s="1249" t="s">
        <v>3626</v>
      </c>
      <c r="M1938" s="899">
        <f t="shared" si="74"/>
        <v>2790</v>
      </c>
      <c r="N1938" s="1249"/>
      <c r="O1938" s="1249"/>
      <c r="P1938" s="899">
        <f t="shared" si="75"/>
        <v>2790</v>
      </c>
    </row>
    <row r="1939" spans="1:16" ht="36" x14ac:dyDescent="0.2">
      <c r="A1939" s="916" t="s">
        <v>6518</v>
      </c>
      <c r="B1939" s="898" t="s">
        <v>6931</v>
      </c>
      <c r="C1939" s="916" t="s">
        <v>4875</v>
      </c>
      <c r="D1939" s="898" t="s">
        <v>3125</v>
      </c>
      <c r="E1939" s="1144">
        <v>930</v>
      </c>
      <c r="F1939" s="898" t="s">
        <v>6652</v>
      </c>
      <c r="G1939" s="898" t="s">
        <v>6653</v>
      </c>
      <c r="H1939" s="898" t="s">
        <v>507</v>
      </c>
      <c r="I1939" s="943" t="s">
        <v>6946</v>
      </c>
      <c r="J1939" s="943" t="s">
        <v>507</v>
      </c>
      <c r="K1939" s="944" t="s">
        <v>3601</v>
      </c>
      <c r="L1939" s="1249" t="s">
        <v>3601</v>
      </c>
      <c r="M1939" s="899">
        <f t="shared" si="74"/>
        <v>1860</v>
      </c>
      <c r="N1939" s="1249"/>
      <c r="O1939" s="1249"/>
      <c r="P1939" s="899">
        <f t="shared" si="75"/>
        <v>1860</v>
      </c>
    </row>
    <row r="1940" spans="1:16" ht="36" x14ac:dyDescent="0.2">
      <c r="A1940" s="916" t="s">
        <v>6518</v>
      </c>
      <c r="B1940" s="898" t="s">
        <v>6931</v>
      </c>
      <c r="C1940" s="916" t="s">
        <v>4875</v>
      </c>
      <c r="D1940" s="898" t="s">
        <v>3330</v>
      </c>
      <c r="E1940" s="1144">
        <v>1100</v>
      </c>
      <c r="F1940" s="898" t="s">
        <v>6953</v>
      </c>
      <c r="G1940" s="898" t="s">
        <v>6954</v>
      </c>
      <c r="H1940" s="898" t="s">
        <v>6955</v>
      </c>
      <c r="I1940" s="943" t="s">
        <v>6937</v>
      </c>
      <c r="J1940" s="943" t="s">
        <v>3292</v>
      </c>
      <c r="K1940" s="944" t="s">
        <v>3601</v>
      </c>
      <c r="L1940" s="1249" t="s">
        <v>3601</v>
      </c>
      <c r="M1940" s="899">
        <f t="shared" si="74"/>
        <v>2200</v>
      </c>
      <c r="N1940" s="1249"/>
      <c r="O1940" s="1249"/>
      <c r="P1940" s="899">
        <f t="shared" si="75"/>
        <v>2200</v>
      </c>
    </row>
    <row r="1941" spans="1:16" ht="36" x14ac:dyDescent="0.2">
      <c r="A1941" s="916" t="s">
        <v>6518</v>
      </c>
      <c r="B1941" s="898" t="s">
        <v>6931</v>
      </c>
      <c r="C1941" s="916" t="s">
        <v>4875</v>
      </c>
      <c r="D1941" s="898" t="s">
        <v>3125</v>
      </c>
      <c r="E1941" s="1144">
        <v>930</v>
      </c>
      <c r="F1941" s="898" t="s">
        <v>6956</v>
      </c>
      <c r="G1941" s="898" t="s">
        <v>6957</v>
      </c>
      <c r="H1941" s="898" t="s">
        <v>507</v>
      </c>
      <c r="I1941" s="943" t="s">
        <v>6946</v>
      </c>
      <c r="J1941" s="943" t="s">
        <v>507</v>
      </c>
      <c r="K1941" s="944" t="s">
        <v>3601</v>
      </c>
      <c r="L1941" s="1249" t="s">
        <v>3601</v>
      </c>
      <c r="M1941" s="899">
        <f t="shared" si="74"/>
        <v>1860</v>
      </c>
      <c r="N1941" s="1249"/>
      <c r="O1941" s="1249"/>
      <c r="P1941" s="899">
        <f t="shared" si="75"/>
        <v>1860</v>
      </c>
    </row>
    <row r="1942" spans="1:16" ht="36" x14ac:dyDescent="0.2">
      <c r="A1942" s="916" t="s">
        <v>6518</v>
      </c>
      <c r="B1942" s="898" t="s">
        <v>6931</v>
      </c>
      <c r="C1942" s="916" t="s">
        <v>4875</v>
      </c>
      <c r="D1942" s="898" t="s">
        <v>3125</v>
      </c>
      <c r="E1942" s="1144">
        <v>930</v>
      </c>
      <c r="F1942" s="898" t="s">
        <v>6958</v>
      </c>
      <c r="G1942" s="898" t="s">
        <v>6959</v>
      </c>
      <c r="H1942" s="898" t="s">
        <v>507</v>
      </c>
      <c r="I1942" s="943" t="s">
        <v>6946</v>
      </c>
      <c r="J1942" s="943" t="s">
        <v>507</v>
      </c>
      <c r="K1942" s="944" t="s">
        <v>3601</v>
      </c>
      <c r="L1942" s="1249" t="s">
        <v>3601</v>
      </c>
      <c r="M1942" s="899">
        <f t="shared" si="74"/>
        <v>1860</v>
      </c>
      <c r="N1942" s="1249"/>
      <c r="O1942" s="1249"/>
      <c r="P1942" s="899">
        <f t="shared" si="75"/>
        <v>1860</v>
      </c>
    </row>
    <row r="1943" spans="1:16" ht="36" x14ac:dyDescent="0.2">
      <c r="A1943" s="916" t="s">
        <v>6518</v>
      </c>
      <c r="B1943" s="898" t="s">
        <v>6931</v>
      </c>
      <c r="C1943" s="916" t="s">
        <v>4875</v>
      </c>
      <c r="D1943" s="898" t="s">
        <v>3330</v>
      </c>
      <c r="E1943" s="1144">
        <v>930</v>
      </c>
      <c r="F1943" s="898" t="s">
        <v>6648</v>
      </c>
      <c r="G1943" s="898" t="s">
        <v>6649</v>
      </c>
      <c r="H1943" s="898" t="s">
        <v>507</v>
      </c>
      <c r="I1943" s="943" t="s">
        <v>6946</v>
      </c>
      <c r="J1943" s="943" t="s">
        <v>507</v>
      </c>
      <c r="K1943" s="944" t="s">
        <v>3601</v>
      </c>
      <c r="L1943" s="1249" t="s">
        <v>3601</v>
      </c>
      <c r="M1943" s="899">
        <f t="shared" si="74"/>
        <v>1860</v>
      </c>
      <c r="N1943" s="1249"/>
      <c r="O1943" s="1249"/>
      <c r="P1943" s="899">
        <f t="shared" si="75"/>
        <v>1860</v>
      </c>
    </row>
    <row r="1944" spans="1:16" ht="36" x14ac:dyDescent="0.2">
      <c r="A1944" s="916" t="s">
        <v>6518</v>
      </c>
      <c r="B1944" s="898" t="s">
        <v>6931</v>
      </c>
      <c r="C1944" s="916" t="s">
        <v>4875</v>
      </c>
      <c r="D1944" s="898" t="s">
        <v>6936</v>
      </c>
      <c r="E1944" s="1144">
        <v>930</v>
      </c>
      <c r="F1944" s="898" t="s">
        <v>6818</v>
      </c>
      <c r="G1944" s="898" t="s">
        <v>6819</v>
      </c>
      <c r="H1944" s="898" t="s">
        <v>6936</v>
      </c>
      <c r="I1944" s="943" t="s">
        <v>6937</v>
      </c>
      <c r="J1944" s="943" t="s">
        <v>3292</v>
      </c>
      <c r="K1944" s="944" t="s">
        <v>3601</v>
      </c>
      <c r="L1944" s="1249" t="s">
        <v>3601</v>
      </c>
      <c r="M1944" s="899">
        <f t="shared" si="74"/>
        <v>1860</v>
      </c>
      <c r="N1944" s="1249"/>
      <c r="O1944" s="1249"/>
      <c r="P1944" s="899">
        <f t="shared" si="75"/>
        <v>1860</v>
      </c>
    </row>
    <row r="1945" spans="1:16" ht="36" x14ac:dyDescent="0.2">
      <c r="A1945" s="916" t="s">
        <v>6518</v>
      </c>
      <c r="B1945" s="898" t="s">
        <v>6931</v>
      </c>
      <c r="C1945" s="916" t="s">
        <v>4875</v>
      </c>
      <c r="D1945" s="898" t="s">
        <v>6936</v>
      </c>
      <c r="E1945" s="1144">
        <v>930</v>
      </c>
      <c r="F1945" s="898" t="s">
        <v>6960</v>
      </c>
      <c r="G1945" s="898" t="s">
        <v>6961</v>
      </c>
      <c r="H1945" s="898" t="s">
        <v>6936</v>
      </c>
      <c r="I1945" s="943" t="s">
        <v>6937</v>
      </c>
      <c r="J1945" s="943" t="s">
        <v>3292</v>
      </c>
      <c r="K1945" s="944" t="s">
        <v>3601</v>
      </c>
      <c r="L1945" s="1249" t="s">
        <v>3601</v>
      </c>
      <c r="M1945" s="899">
        <f t="shared" si="74"/>
        <v>1860</v>
      </c>
      <c r="N1945" s="1249"/>
      <c r="O1945" s="1249"/>
      <c r="P1945" s="899">
        <f t="shared" si="75"/>
        <v>1860</v>
      </c>
    </row>
    <row r="1946" spans="1:16" ht="36" x14ac:dyDescent="0.2">
      <c r="A1946" s="916" t="s">
        <v>6518</v>
      </c>
      <c r="B1946" s="898" t="s">
        <v>6931</v>
      </c>
      <c r="C1946" s="916" t="s">
        <v>4875</v>
      </c>
      <c r="D1946" s="898" t="s">
        <v>6936</v>
      </c>
      <c r="E1946" s="1144">
        <v>930</v>
      </c>
      <c r="F1946" s="898" t="s">
        <v>6806</v>
      </c>
      <c r="G1946" s="898" t="s">
        <v>6807</v>
      </c>
      <c r="H1946" s="898" t="s">
        <v>6936</v>
      </c>
      <c r="I1946" s="943" t="s">
        <v>6937</v>
      </c>
      <c r="J1946" s="943" t="s">
        <v>3292</v>
      </c>
      <c r="K1946" s="944" t="s">
        <v>3626</v>
      </c>
      <c r="L1946" s="1249" t="s">
        <v>3626</v>
      </c>
      <c r="M1946" s="899">
        <f t="shared" si="74"/>
        <v>2790</v>
      </c>
      <c r="N1946" s="1249"/>
      <c r="O1946" s="1249"/>
      <c r="P1946" s="899">
        <f t="shared" si="75"/>
        <v>2790</v>
      </c>
    </row>
    <row r="1947" spans="1:16" ht="36" x14ac:dyDescent="0.2">
      <c r="A1947" s="916" t="s">
        <v>6518</v>
      </c>
      <c r="B1947" s="898" t="s">
        <v>6931</v>
      </c>
      <c r="C1947" s="916" t="s">
        <v>4875</v>
      </c>
      <c r="D1947" s="898" t="s">
        <v>5077</v>
      </c>
      <c r="E1947" s="1144">
        <v>5000</v>
      </c>
      <c r="F1947" s="898" t="s">
        <v>6962</v>
      </c>
      <c r="G1947" s="898" t="s">
        <v>6963</v>
      </c>
      <c r="H1947" s="898" t="s">
        <v>5077</v>
      </c>
      <c r="I1947" s="943" t="s">
        <v>6933</v>
      </c>
      <c r="J1947" s="943" t="s">
        <v>4004</v>
      </c>
      <c r="K1947" s="944" t="s">
        <v>3626</v>
      </c>
      <c r="L1947" s="1249" t="s">
        <v>3626</v>
      </c>
      <c r="M1947" s="899">
        <f t="shared" si="74"/>
        <v>15000</v>
      </c>
      <c r="N1947" s="1249"/>
      <c r="O1947" s="1249"/>
      <c r="P1947" s="899">
        <f t="shared" si="75"/>
        <v>15000</v>
      </c>
    </row>
    <row r="1948" spans="1:16" ht="36" x14ac:dyDescent="0.2">
      <c r="A1948" s="916" t="s">
        <v>6518</v>
      </c>
      <c r="B1948" s="898" t="s">
        <v>6931</v>
      </c>
      <c r="C1948" s="916" t="s">
        <v>4875</v>
      </c>
      <c r="D1948" s="898" t="s">
        <v>6936</v>
      </c>
      <c r="E1948" s="1144">
        <v>930</v>
      </c>
      <c r="F1948" s="898" t="s">
        <v>6964</v>
      </c>
      <c r="G1948" s="898" t="s">
        <v>6965</v>
      </c>
      <c r="H1948" s="898" t="s">
        <v>6936</v>
      </c>
      <c r="I1948" s="943" t="s">
        <v>6937</v>
      </c>
      <c r="J1948" s="943" t="s">
        <v>3292</v>
      </c>
      <c r="K1948" s="944" t="s">
        <v>3601</v>
      </c>
      <c r="L1948" s="1249" t="s">
        <v>3601</v>
      </c>
      <c r="M1948" s="899">
        <f t="shared" si="74"/>
        <v>1860</v>
      </c>
      <c r="N1948" s="1249"/>
      <c r="O1948" s="1249"/>
      <c r="P1948" s="899">
        <f t="shared" si="75"/>
        <v>1860</v>
      </c>
    </row>
    <row r="1949" spans="1:16" ht="36" x14ac:dyDescent="0.2">
      <c r="A1949" s="916" t="s">
        <v>6518</v>
      </c>
      <c r="B1949" s="898" t="s">
        <v>6931</v>
      </c>
      <c r="C1949" s="916" t="s">
        <v>4875</v>
      </c>
      <c r="D1949" s="898" t="s">
        <v>5077</v>
      </c>
      <c r="E1949" s="1144">
        <v>3800</v>
      </c>
      <c r="F1949" s="898" t="s">
        <v>6966</v>
      </c>
      <c r="G1949" s="898" t="s">
        <v>6967</v>
      </c>
      <c r="H1949" s="898" t="s">
        <v>5077</v>
      </c>
      <c r="I1949" s="943" t="s">
        <v>6933</v>
      </c>
      <c r="J1949" s="943" t="s">
        <v>4004</v>
      </c>
      <c r="K1949" s="944" t="s">
        <v>429</v>
      </c>
      <c r="L1949" s="1249" t="s">
        <v>429</v>
      </c>
      <c r="M1949" s="899">
        <f t="shared" si="74"/>
        <v>3800</v>
      </c>
      <c r="N1949" s="1249"/>
      <c r="O1949" s="1249"/>
      <c r="P1949" s="899">
        <f t="shared" si="75"/>
        <v>3800</v>
      </c>
    </row>
    <row r="1950" spans="1:16" ht="36" x14ac:dyDescent="0.2">
      <c r="A1950" s="916" t="s">
        <v>6518</v>
      </c>
      <c r="B1950" s="898" t="s">
        <v>6931</v>
      </c>
      <c r="C1950" s="916" t="s">
        <v>4875</v>
      </c>
      <c r="D1950" s="898" t="s">
        <v>5077</v>
      </c>
      <c r="E1950" s="1144">
        <v>3800</v>
      </c>
      <c r="F1950" s="898" t="s">
        <v>6968</v>
      </c>
      <c r="G1950" s="898" t="s">
        <v>6969</v>
      </c>
      <c r="H1950" s="898" t="s">
        <v>5077</v>
      </c>
      <c r="I1950" s="943" t="s">
        <v>6933</v>
      </c>
      <c r="J1950" s="943" t="s">
        <v>4004</v>
      </c>
      <c r="K1950" s="944" t="s">
        <v>429</v>
      </c>
      <c r="L1950" s="1249" t="s">
        <v>429</v>
      </c>
      <c r="M1950" s="899">
        <f t="shared" si="74"/>
        <v>3800</v>
      </c>
      <c r="N1950" s="1249"/>
      <c r="O1950" s="1249"/>
      <c r="P1950" s="899">
        <f t="shared" si="75"/>
        <v>3800</v>
      </c>
    </row>
    <row r="1951" spans="1:16" ht="36" x14ac:dyDescent="0.2">
      <c r="A1951" s="916" t="s">
        <v>6518</v>
      </c>
      <c r="B1951" s="898" t="s">
        <v>6931</v>
      </c>
      <c r="C1951" s="916" t="s">
        <v>4875</v>
      </c>
      <c r="D1951" s="898" t="s">
        <v>6943</v>
      </c>
      <c r="E1951" s="1144">
        <v>930</v>
      </c>
      <c r="F1951" s="898" t="s">
        <v>6970</v>
      </c>
      <c r="G1951" s="898" t="s">
        <v>6971</v>
      </c>
      <c r="H1951" s="898" t="s">
        <v>507</v>
      </c>
      <c r="I1951" s="943" t="s">
        <v>6946</v>
      </c>
      <c r="J1951" s="943" t="s">
        <v>507</v>
      </c>
      <c r="K1951" s="944" t="s">
        <v>3601</v>
      </c>
      <c r="L1951" s="1249" t="s">
        <v>3601</v>
      </c>
      <c r="M1951" s="899">
        <f t="shared" si="74"/>
        <v>1860</v>
      </c>
      <c r="N1951" s="1249"/>
      <c r="O1951" s="1249"/>
      <c r="P1951" s="899">
        <f t="shared" si="75"/>
        <v>1860</v>
      </c>
    </row>
    <row r="1952" spans="1:16" ht="36" x14ac:dyDescent="0.2">
      <c r="A1952" s="916" t="s">
        <v>6518</v>
      </c>
      <c r="B1952" s="898" t="s">
        <v>6931</v>
      </c>
      <c r="C1952" s="916" t="s">
        <v>4875</v>
      </c>
      <c r="D1952" s="898" t="s">
        <v>3680</v>
      </c>
      <c r="E1952" s="1144">
        <v>248</v>
      </c>
      <c r="F1952" s="898" t="s">
        <v>6891</v>
      </c>
      <c r="G1952" s="898" t="s">
        <v>6972</v>
      </c>
      <c r="H1952" s="898" t="s">
        <v>507</v>
      </c>
      <c r="I1952" s="943" t="s">
        <v>6946</v>
      </c>
      <c r="J1952" s="943" t="s">
        <v>507</v>
      </c>
      <c r="K1952" s="944" t="s">
        <v>429</v>
      </c>
      <c r="L1952" s="1249" t="s">
        <v>429</v>
      </c>
      <c r="M1952" s="899">
        <f t="shared" si="74"/>
        <v>248</v>
      </c>
      <c r="N1952" s="1249"/>
      <c r="O1952" s="1249"/>
      <c r="P1952" s="899">
        <f t="shared" si="75"/>
        <v>248</v>
      </c>
    </row>
    <row r="1953" spans="1:16" ht="36" x14ac:dyDescent="0.2">
      <c r="A1953" s="916" t="s">
        <v>6518</v>
      </c>
      <c r="B1953" s="898" t="s">
        <v>6931</v>
      </c>
      <c r="C1953" s="916" t="s">
        <v>4875</v>
      </c>
      <c r="D1953" s="898" t="s">
        <v>5077</v>
      </c>
      <c r="E1953" s="1144">
        <v>3800</v>
      </c>
      <c r="F1953" s="898" t="s">
        <v>6973</v>
      </c>
      <c r="G1953" s="898" t="s">
        <v>6974</v>
      </c>
      <c r="H1953" s="898" t="s">
        <v>5077</v>
      </c>
      <c r="I1953" s="943" t="s">
        <v>6933</v>
      </c>
      <c r="J1953" s="943" t="s">
        <v>4004</v>
      </c>
      <c r="K1953" s="944" t="s">
        <v>3601</v>
      </c>
      <c r="L1953" s="1249" t="s">
        <v>3601</v>
      </c>
      <c r="M1953" s="899">
        <f t="shared" si="74"/>
        <v>7600</v>
      </c>
      <c r="N1953" s="1249"/>
      <c r="O1953" s="1249"/>
      <c r="P1953" s="899">
        <f t="shared" si="75"/>
        <v>7600</v>
      </c>
    </row>
    <row r="1954" spans="1:16" ht="36" x14ac:dyDescent="0.2">
      <c r="A1954" s="916" t="s">
        <v>6518</v>
      </c>
      <c r="B1954" s="898" t="s">
        <v>6931</v>
      </c>
      <c r="C1954" s="916" t="s">
        <v>4875</v>
      </c>
      <c r="D1954" s="898" t="s">
        <v>5077</v>
      </c>
      <c r="E1954" s="1144">
        <v>6000</v>
      </c>
      <c r="F1954" s="898" t="s">
        <v>6975</v>
      </c>
      <c r="G1954" s="898" t="s">
        <v>6976</v>
      </c>
      <c r="H1954" s="898" t="s">
        <v>5077</v>
      </c>
      <c r="I1954" s="943" t="s">
        <v>6933</v>
      </c>
      <c r="J1954" s="943" t="s">
        <v>4004</v>
      </c>
      <c r="K1954" s="944" t="s">
        <v>3601</v>
      </c>
      <c r="L1954" s="1249" t="s">
        <v>3601</v>
      </c>
      <c r="M1954" s="899">
        <f t="shared" si="74"/>
        <v>12000</v>
      </c>
      <c r="N1954" s="1249"/>
      <c r="O1954" s="1249"/>
      <c r="P1954" s="899">
        <f t="shared" si="75"/>
        <v>12000</v>
      </c>
    </row>
    <row r="1955" spans="1:16" ht="36" x14ac:dyDescent="0.2">
      <c r="A1955" s="916" t="s">
        <v>6518</v>
      </c>
      <c r="B1955" s="898" t="s">
        <v>6931</v>
      </c>
      <c r="C1955" s="916" t="s">
        <v>4875</v>
      </c>
      <c r="D1955" s="898" t="s">
        <v>6977</v>
      </c>
      <c r="E1955" s="1144">
        <v>1200</v>
      </c>
      <c r="F1955" s="898" t="s">
        <v>6877</v>
      </c>
      <c r="G1955" s="898" t="s">
        <v>6878</v>
      </c>
      <c r="H1955" s="898" t="s">
        <v>6977</v>
      </c>
      <c r="I1955" s="943" t="s">
        <v>6935</v>
      </c>
      <c r="J1955" s="943" t="s">
        <v>507</v>
      </c>
      <c r="K1955" s="944" t="s">
        <v>3824</v>
      </c>
      <c r="L1955" s="1249" t="s">
        <v>3824</v>
      </c>
      <c r="M1955" s="899">
        <f t="shared" si="74"/>
        <v>0</v>
      </c>
      <c r="N1955" s="1249" t="s">
        <v>3662</v>
      </c>
      <c r="O1955" s="1249" t="s">
        <v>3662</v>
      </c>
      <c r="P1955" s="899">
        <f t="shared" si="75"/>
        <v>0</v>
      </c>
    </row>
    <row r="1956" spans="1:16" ht="36" x14ac:dyDescent="0.2">
      <c r="A1956" s="916" t="s">
        <v>6518</v>
      </c>
      <c r="B1956" s="898" t="s">
        <v>6931</v>
      </c>
      <c r="C1956" s="916" t="s">
        <v>4875</v>
      </c>
      <c r="D1956" s="898" t="s">
        <v>5077</v>
      </c>
      <c r="E1956" s="1144">
        <v>7000</v>
      </c>
      <c r="F1956" s="898" t="s">
        <v>6978</v>
      </c>
      <c r="G1956" s="898" t="s">
        <v>6979</v>
      </c>
      <c r="H1956" s="898" t="s">
        <v>5077</v>
      </c>
      <c r="I1956" s="943" t="s">
        <v>6933</v>
      </c>
      <c r="J1956" s="943" t="s">
        <v>4004</v>
      </c>
      <c r="K1956" s="944" t="s">
        <v>3824</v>
      </c>
      <c r="L1956" s="1249" t="s">
        <v>3824</v>
      </c>
      <c r="M1956" s="899">
        <f t="shared" si="74"/>
        <v>0</v>
      </c>
      <c r="N1956" s="1249" t="s">
        <v>3662</v>
      </c>
      <c r="O1956" s="1249" t="s">
        <v>3662</v>
      </c>
      <c r="P1956" s="899">
        <f t="shared" si="75"/>
        <v>0</v>
      </c>
    </row>
    <row r="1957" spans="1:16" ht="36" x14ac:dyDescent="0.2">
      <c r="A1957" s="916" t="s">
        <v>6518</v>
      </c>
      <c r="B1957" s="898" t="s">
        <v>6931</v>
      </c>
      <c r="C1957" s="916" t="s">
        <v>4875</v>
      </c>
      <c r="D1957" s="898" t="s">
        <v>5077</v>
      </c>
      <c r="E1957" s="1144">
        <v>7000</v>
      </c>
      <c r="F1957" s="898" t="s">
        <v>6980</v>
      </c>
      <c r="G1957" s="898" t="s">
        <v>6981</v>
      </c>
      <c r="H1957" s="898" t="s">
        <v>5077</v>
      </c>
      <c r="I1957" s="943" t="s">
        <v>6933</v>
      </c>
      <c r="J1957" s="943" t="s">
        <v>4004</v>
      </c>
      <c r="K1957" s="944" t="s">
        <v>3824</v>
      </c>
      <c r="L1957" s="1249" t="s">
        <v>3824</v>
      </c>
      <c r="M1957" s="899">
        <f t="shared" si="74"/>
        <v>0</v>
      </c>
      <c r="N1957" s="1249" t="s">
        <v>3662</v>
      </c>
      <c r="O1957" s="1249" t="s">
        <v>3662</v>
      </c>
      <c r="P1957" s="899">
        <f t="shared" si="75"/>
        <v>0</v>
      </c>
    </row>
    <row r="1958" spans="1:16" ht="36" x14ac:dyDescent="0.2">
      <c r="A1958" s="916" t="s">
        <v>6518</v>
      </c>
      <c r="B1958" s="898" t="s">
        <v>6931</v>
      </c>
      <c r="C1958" s="916" t="s">
        <v>4875</v>
      </c>
      <c r="D1958" s="898" t="s">
        <v>5077</v>
      </c>
      <c r="E1958" s="1144">
        <v>4000</v>
      </c>
      <c r="F1958" s="898" t="s">
        <v>5161</v>
      </c>
      <c r="G1958" s="898" t="s">
        <v>5162</v>
      </c>
      <c r="H1958" s="898" t="s">
        <v>5077</v>
      </c>
      <c r="I1958" s="943" t="s">
        <v>6933</v>
      </c>
      <c r="J1958" s="943" t="s">
        <v>4004</v>
      </c>
      <c r="K1958" s="944" t="s">
        <v>3824</v>
      </c>
      <c r="L1958" s="1249" t="s">
        <v>3824</v>
      </c>
      <c r="M1958" s="899">
        <f t="shared" si="74"/>
        <v>0</v>
      </c>
      <c r="N1958" s="1249" t="s">
        <v>3601</v>
      </c>
      <c r="O1958" s="1249" t="s">
        <v>3601</v>
      </c>
      <c r="P1958" s="899">
        <f t="shared" si="75"/>
        <v>0</v>
      </c>
    </row>
    <row r="1959" spans="1:16" ht="36" x14ac:dyDescent="0.2">
      <c r="A1959" s="916" t="s">
        <v>6518</v>
      </c>
      <c r="B1959" s="898" t="s">
        <v>6931</v>
      </c>
      <c r="C1959" s="916" t="s">
        <v>4875</v>
      </c>
      <c r="D1959" s="898" t="s">
        <v>5077</v>
      </c>
      <c r="E1959" s="1144">
        <v>7000</v>
      </c>
      <c r="F1959" s="898" t="s">
        <v>6982</v>
      </c>
      <c r="G1959" s="898" t="s">
        <v>6983</v>
      </c>
      <c r="H1959" s="898" t="s">
        <v>5077</v>
      </c>
      <c r="I1959" s="943" t="s">
        <v>6933</v>
      </c>
      <c r="J1959" s="943" t="s">
        <v>4004</v>
      </c>
      <c r="K1959" s="944" t="s">
        <v>3824</v>
      </c>
      <c r="L1959" s="1249" t="s">
        <v>3824</v>
      </c>
      <c r="M1959" s="899">
        <f t="shared" si="74"/>
        <v>0</v>
      </c>
      <c r="N1959" s="1249" t="s">
        <v>429</v>
      </c>
      <c r="O1959" s="1249" t="s">
        <v>429</v>
      </c>
      <c r="P1959" s="899">
        <f t="shared" si="75"/>
        <v>0</v>
      </c>
    </row>
    <row r="1960" spans="1:16" ht="36" x14ac:dyDescent="0.2">
      <c r="A1960" s="916" t="s">
        <v>6518</v>
      </c>
      <c r="B1960" s="898" t="s">
        <v>6931</v>
      </c>
      <c r="C1960" s="916" t="s">
        <v>4875</v>
      </c>
      <c r="D1960" s="898" t="s">
        <v>6984</v>
      </c>
      <c r="E1960" s="1144">
        <v>5000</v>
      </c>
      <c r="F1960" s="898" t="s">
        <v>5890</v>
      </c>
      <c r="G1960" s="898" t="s">
        <v>5891</v>
      </c>
      <c r="H1960" s="898" t="s">
        <v>5077</v>
      </c>
      <c r="I1960" s="943" t="s">
        <v>6933</v>
      </c>
      <c r="J1960" s="943" t="s">
        <v>4004</v>
      </c>
      <c r="K1960" s="944" t="s">
        <v>3824</v>
      </c>
      <c r="L1960" s="1249" t="s">
        <v>3824</v>
      </c>
      <c r="M1960" s="899">
        <f t="shared" si="74"/>
        <v>0</v>
      </c>
      <c r="N1960" s="1249" t="s">
        <v>429</v>
      </c>
      <c r="O1960" s="1249" t="s">
        <v>429</v>
      </c>
      <c r="P1960" s="899">
        <f t="shared" si="75"/>
        <v>0</v>
      </c>
    </row>
    <row r="1961" spans="1:16" ht="36" x14ac:dyDescent="0.2">
      <c r="A1961" s="916" t="s">
        <v>6518</v>
      </c>
      <c r="B1961" s="898" t="s">
        <v>6985</v>
      </c>
      <c r="C1961" s="916" t="s">
        <v>4875</v>
      </c>
      <c r="D1961" s="898" t="s">
        <v>3680</v>
      </c>
      <c r="E1961" s="1144">
        <v>930</v>
      </c>
      <c r="F1961" s="898" t="s">
        <v>6986</v>
      </c>
      <c r="G1961" s="898" t="s">
        <v>6987</v>
      </c>
      <c r="H1961" s="898" t="s">
        <v>507</v>
      </c>
      <c r="I1961" s="943" t="s">
        <v>6946</v>
      </c>
      <c r="J1961" s="943" t="s">
        <v>507</v>
      </c>
      <c r="K1961" s="944" t="s">
        <v>429</v>
      </c>
      <c r="L1961" s="1249" t="s">
        <v>429</v>
      </c>
      <c r="M1961" s="899">
        <f t="shared" si="74"/>
        <v>930</v>
      </c>
      <c r="N1961" s="1249"/>
      <c r="O1961" s="1249"/>
      <c r="P1961" s="899">
        <f t="shared" si="75"/>
        <v>930</v>
      </c>
    </row>
    <row r="1962" spans="1:16" ht="36" x14ac:dyDescent="0.2">
      <c r="A1962" s="916" t="s">
        <v>6518</v>
      </c>
      <c r="B1962" s="898" t="s">
        <v>6985</v>
      </c>
      <c r="C1962" s="916" t="s">
        <v>4875</v>
      </c>
      <c r="D1962" s="898" t="s">
        <v>5077</v>
      </c>
      <c r="E1962" s="1144">
        <v>5000</v>
      </c>
      <c r="F1962" s="898" t="s">
        <v>6962</v>
      </c>
      <c r="G1962" s="898" t="s">
        <v>6963</v>
      </c>
      <c r="H1962" s="898" t="s">
        <v>5077</v>
      </c>
      <c r="I1962" s="943" t="s">
        <v>6933</v>
      </c>
      <c r="J1962" s="943" t="s">
        <v>4004</v>
      </c>
      <c r="K1962" s="944" t="s">
        <v>429</v>
      </c>
      <c r="L1962" s="1249" t="s">
        <v>429</v>
      </c>
      <c r="M1962" s="899">
        <f t="shared" si="74"/>
        <v>5000</v>
      </c>
      <c r="N1962" s="1249"/>
      <c r="O1962" s="1249"/>
      <c r="P1962" s="899">
        <f t="shared" si="75"/>
        <v>5000</v>
      </c>
    </row>
    <row r="1963" spans="1:16" ht="36" x14ac:dyDescent="0.2">
      <c r="A1963" s="916" t="s">
        <v>6518</v>
      </c>
      <c r="B1963" s="898" t="s">
        <v>6985</v>
      </c>
      <c r="C1963" s="916" t="s">
        <v>4875</v>
      </c>
      <c r="D1963" s="898" t="s">
        <v>6936</v>
      </c>
      <c r="E1963" s="1144">
        <v>930</v>
      </c>
      <c r="F1963" s="898" t="s">
        <v>6951</v>
      </c>
      <c r="G1963" s="898" t="s">
        <v>6952</v>
      </c>
      <c r="H1963" s="898" t="s">
        <v>6936</v>
      </c>
      <c r="I1963" s="943" t="s">
        <v>6937</v>
      </c>
      <c r="J1963" s="943" t="s">
        <v>3292</v>
      </c>
      <c r="K1963" s="944" t="s">
        <v>429</v>
      </c>
      <c r="L1963" s="1249" t="s">
        <v>429</v>
      </c>
      <c r="M1963" s="899">
        <f t="shared" si="74"/>
        <v>930</v>
      </c>
      <c r="N1963" s="1249"/>
      <c r="O1963" s="1249"/>
      <c r="P1963" s="899">
        <f t="shared" si="75"/>
        <v>930</v>
      </c>
    </row>
    <row r="1964" spans="1:16" ht="36" x14ac:dyDescent="0.2">
      <c r="A1964" s="916" t="s">
        <v>6518</v>
      </c>
      <c r="B1964" s="898" t="s">
        <v>6985</v>
      </c>
      <c r="C1964" s="916" t="s">
        <v>4875</v>
      </c>
      <c r="D1964" s="898" t="s">
        <v>5077</v>
      </c>
      <c r="E1964" s="1144">
        <v>3800</v>
      </c>
      <c r="F1964" s="898" t="s">
        <v>6966</v>
      </c>
      <c r="G1964" s="898" t="s">
        <v>6967</v>
      </c>
      <c r="H1964" s="898" t="s">
        <v>5077</v>
      </c>
      <c r="I1964" s="943" t="s">
        <v>6933</v>
      </c>
      <c r="J1964" s="943" t="s">
        <v>4004</v>
      </c>
      <c r="K1964" s="944" t="s">
        <v>429</v>
      </c>
      <c r="L1964" s="1249" t="s">
        <v>429</v>
      </c>
      <c r="M1964" s="899">
        <f t="shared" si="74"/>
        <v>3800</v>
      </c>
      <c r="N1964" s="1249"/>
      <c r="O1964" s="1249"/>
      <c r="P1964" s="899">
        <f t="shared" si="75"/>
        <v>3800</v>
      </c>
    </row>
    <row r="1965" spans="1:16" ht="36" x14ac:dyDescent="0.2">
      <c r="A1965" s="916" t="s">
        <v>6518</v>
      </c>
      <c r="B1965" s="898" t="s">
        <v>6985</v>
      </c>
      <c r="C1965" s="916" t="s">
        <v>4875</v>
      </c>
      <c r="D1965" s="898" t="s">
        <v>3164</v>
      </c>
      <c r="E1965" s="1144">
        <v>930</v>
      </c>
      <c r="F1965" s="898" t="s">
        <v>6988</v>
      </c>
      <c r="G1965" s="898" t="s">
        <v>6989</v>
      </c>
      <c r="H1965" s="898" t="s">
        <v>3164</v>
      </c>
      <c r="I1965" s="943" t="s">
        <v>6946</v>
      </c>
      <c r="J1965" s="943" t="s">
        <v>507</v>
      </c>
      <c r="K1965" s="944" t="s">
        <v>429</v>
      </c>
      <c r="L1965" s="1249" t="s">
        <v>429</v>
      </c>
      <c r="M1965" s="899">
        <f t="shared" si="74"/>
        <v>930</v>
      </c>
      <c r="N1965" s="1249"/>
      <c r="O1965" s="1249"/>
      <c r="P1965" s="899">
        <f t="shared" si="75"/>
        <v>930</v>
      </c>
    </row>
    <row r="1966" spans="1:16" ht="36" x14ac:dyDescent="0.2">
      <c r="A1966" s="916" t="s">
        <v>6518</v>
      </c>
      <c r="B1966" s="898" t="s">
        <v>6985</v>
      </c>
      <c r="C1966" s="916" t="s">
        <v>4875</v>
      </c>
      <c r="D1966" s="898" t="s">
        <v>6990</v>
      </c>
      <c r="E1966" s="1144">
        <v>930</v>
      </c>
      <c r="F1966" s="898" t="s">
        <v>6541</v>
      </c>
      <c r="G1966" s="898" t="s">
        <v>6542</v>
      </c>
      <c r="H1966" s="898" t="s">
        <v>6991</v>
      </c>
      <c r="I1966" s="943" t="s">
        <v>6933</v>
      </c>
      <c r="J1966" s="943" t="s">
        <v>3595</v>
      </c>
      <c r="K1966" s="944" t="s">
        <v>3601</v>
      </c>
      <c r="L1966" s="1249" t="s">
        <v>3601</v>
      </c>
      <c r="M1966" s="899">
        <f t="shared" si="74"/>
        <v>1860</v>
      </c>
      <c r="N1966" s="1249"/>
      <c r="O1966" s="1249"/>
      <c r="P1966" s="899">
        <f t="shared" si="75"/>
        <v>1860</v>
      </c>
    </row>
    <row r="1967" spans="1:16" ht="36" x14ac:dyDescent="0.2">
      <c r="A1967" s="916" t="s">
        <v>6518</v>
      </c>
      <c r="B1967" s="898" t="s">
        <v>6985</v>
      </c>
      <c r="C1967" s="916" t="s">
        <v>4875</v>
      </c>
      <c r="D1967" s="898" t="s">
        <v>6990</v>
      </c>
      <c r="E1967" s="1144">
        <v>930</v>
      </c>
      <c r="F1967" s="898" t="s">
        <v>6992</v>
      </c>
      <c r="G1967" s="898" t="s">
        <v>6993</v>
      </c>
      <c r="H1967" s="898" t="s">
        <v>3632</v>
      </c>
      <c r="I1967" s="943" t="s">
        <v>6933</v>
      </c>
      <c r="J1967" s="943" t="s">
        <v>3632</v>
      </c>
      <c r="K1967" s="944" t="s">
        <v>3626</v>
      </c>
      <c r="L1967" s="1249" t="s">
        <v>3626</v>
      </c>
      <c r="M1967" s="899">
        <f t="shared" si="74"/>
        <v>2790</v>
      </c>
      <c r="N1967" s="1249"/>
      <c r="O1967" s="1249"/>
      <c r="P1967" s="899">
        <f t="shared" si="75"/>
        <v>2790</v>
      </c>
    </row>
    <row r="1968" spans="1:16" ht="36" x14ac:dyDescent="0.2">
      <c r="A1968" s="916" t="s">
        <v>6518</v>
      </c>
      <c r="B1968" s="898" t="s">
        <v>6985</v>
      </c>
      <c r="C1968" s="916" t="s">
        <v>4875</v>
      </c>
      <c r="D1968" s="898" t="s">
        <v>6994</v>
      </c>
      <c r="E1968" s="1144">
        <v>930</v>
      </c>
      <c r="F1968" s="898" t="s">
        <v>6995</v>
      </c>
      <c r="G1968" s="898" t="s">
        <v>6996</v>
      </c>
      <c r="H1968" s="898" t="s">
        <v>6997</v>
      </c>
      <c r="I1968" s="943" t="s">
        <v>6937</v>
      </c>
      <c r="J1968" s="943" t="s">
        <v>6998</v>
      </c>
      <c r="K1968" s="944" t="s">
        <v>3626</v>
      </c>
      <c r="L1968" s="1249" t="s">
        <v>3626</v>
      </c>
      <c r="M1968" s="899">
        <f t="shared" si="74"/>
        <v>2790</v>
      </c>
      <c r="N1968" s="1249"/>
      <c r="O1968" s="1249"/>
      <c r="P1968" s="899">
        <f t="shared" si="75"/>
        <v>2790</v>
      </c>
    </row>
    <row r="1969" spans="1:16" ht="36" x14ac:dyDescent="0.2">
      <c r="A1969" s="916" t="s">
        <v>6518</v>
      </c>
      <c r="B1969" s="898" t="s">
        <v>6985</v>
      </c>
      <c r="C1969" s="916" t="s">
        <v>4875</v>
      </c>
      <c r="D1969" s="898" t="s">
        <v>3134</v>
      </c>
      <c r="E1969" s="1144">
        <v>930</v>
      </c>
      <c r="F1969" s="898" t="s">
        <v>6622</v>
      </c>
      <c r="G1969" s="898" t="s">
        <v>6623</v>
      </c>
      <c r="H1969" s="898" t="s">
        <v>3134</v>
      </c>
      <c r="I1969" s="943" t="s">
        <v>6937</v>
      </c>
      <c r="J1969" s="943" t="s">
        <v>3134</v>
      </c>
      <c r="K1969" s="944" t="s">
        <v>3601</v>
      </c>
      <c r="L1969" s="1249" t="s">
        <v>3601</v>
      </c>
      <c r="M1969" s="899">
        <f t="shared" si="74"/>
        <v>1860</v>
      </c>
      <c r="N1969" s="1249"/>
      <c r="O1969" s="1249"/>
      <c r="P1969" s="899">
        <f t="shared" si="75"/>
        <v>1860</v>
      </c>
    </row>
    <row r="1970" spans="1:16" ht="36" x14ac:dyDescent="0.2">
      <c r="A1970" s="916" t="s">
        <v>6518</v>
      </c>
      <c r="B1970" s="898" t="s">
        <v>6985</v>
      </c>
      <c r="C1970" s="916" t="s">
        <v>4875</v>
      </c>
      <c r="D1970" s="898" t="s">
        <v>3164</v>
      </c>
      <c r="E1970" s="1144">
        <v>930</v>
      </c>
      <c r="F1970" s="898" t="s">
        <v>6999</v>
      </c>
      <c r="G1970" s="898" t="s">
        <v>7000</v>
      </c>
      <c r="H1970" s="898" t="s">
        <v>3164</v>
      </c>
      <c r="I1970" s="943" t="s">
        <v>6946</v>
      </c>
      <c r="J1970" s="943" t="s">
        <v>507</v>
      </c>
      <c r="K1970" s="944" t="s">
        <v>3626</v>
      </c>
      <c r="L1970" s="1249" t="s">
        <v>3626</v>
      </c>
      <c r="M1970" s="899">
        <f t="shared" si="74"/>
        <v>2790</v>
      </c>
      <c r="N1970" s="1249"/>
      <c r="O1970" s="1249"/>
      <c r="P1970" s="899">
        <f t="shared" si="75"/>
        <v>2790</v>
      </c>
    </row>
    <row r="1971" spans="1:16" ht="36" x14ac:dyDescent="0.2">
      <c r="A1971" s="916" t="s">
        <v>6518</v>
      </c>
      <c r="B1971" s="898" t="s">
        <v>6985</v>
      </c>
      <c r="C1971" s="916" t="s">
        <v>4875</v>
      </c>
      <c r="D1971" s="898" t="s">
        <v>3134</v>
      </c>
      <c r="E1971" s="1144">
        <v>930</v>
      </c>
      <c r="F1971" s="898" t="s">
        <v>6626</v>
      </c>
      <c r="G1971" s="898" t="s">
        <v>6627</v>
      </c>
      <c r="H1971" s="898" t="s">
        <v>3134</v>
      </c>
      <c r="I1971" s="943" t="s">
        <v>6937</v>
      </c>
      <c r="J1971" s="943" t="s">
        <v>3134</v>
      </c>
      <c r="K1971" s="944" t="s">
        <v>3662</v>
      </c>
      <c r="L1971" s="1249" t="s">
        <v>3662</v>
      </c>
      <c r="M1971" s="899">
        <f t="shared" si="74"/>
        <v>3720</v>
      </c>
      <c r="N1971" s="1249"/>
      <c r="O1971" s="1249"/>
      <c r="P1971" s="899">
        <f t="shared" si="75"/>
        <v>3720</v>
      </c>
    </row>
    <row r="1972" spans="1:16" ht="36" x14ac:dyDescent="0.2">
      <c r="A1972" s="916" t="s">
        <v>6518</v>
      </c>
      <c r="B1972" s="898" t="s">
        <v>6985</v>
      </c>
      <c r="C1972" s="916" t="s">
        <v>4875</v>
      </c>
      <c r="D1972" s="898" t="s">
        <v>3134</v>
      </c>
      <c r="E1972" s="1144">
        <v>930</v>
      </c>
      <c r="F1972" s="898" t="s">
        <v>7001</v>
      </c>
      <c r="G1972" s="898" t="s">
        <v>7002</v>
      </c>
      <c r="H1972" s="898" t="s">
        <v>3134</v>
      </c>
      <c r="I1972" s="943" t="s">
        <v>6937</v>
      </c>
      <c r="J1972" s="943" t="s">
        <v>3134</v>
      </c>
      <c r="K1972" s="944" t="s">
        <v>3601</v>
      </c>
      <c r="L1972" s="1249" t="s">
        <v>3601</v>
      </c>
      <c r="M1972" s="899">
        <f t="shared" si="74"/>
        <v>1860</v>
      </c>
      <c r="N1972" s="1249"/>
      <c r="O1972" s="1249"/>
      <c r="P1972" s="899">
        <f t="shared" si="75"/>
        <v>1860</v>
      </c>
    </row>
    <row r="1973" spans="1:16" ht="36" x14ac:dyDescent="0.2">
      <c r="A1973" s="916" t="s">
        <v>6518</v>
      </c>
      <c r="B1973" s="898" t="s">
        <v>6985</v>
      </c>
      <c r="C1973" s="916" t="s">
        <v>4875</v>
      </c>
      <c r="D1973" s="898" t="s">
        <v>6990</v>
      </c>
      <c r="E1973" s="1144">
        <v>1400</v>
      </c>
      <c r="F1973" s="898" t="s">
        <v>6598</v>
      </c>
      <c r="G1973" s="898" t="s">
        <v>6599</v>
      </c>
      <c r="H1973" s="898" t="s">
        <v>4881</v>
      </c>
      <c r="I1973" s="943" t="s">
        <v>6933</v>
      </c>
      <c r="J1973" s="943" t="s">
        <v>4004</v>
      </c>
      <c r="K1973" s="944" t="s">
        <v>3601</v>
      </c>
      <c r="L1973" s="1249" t="s">
        <v>3601</v>
      </c>
      <c r="M1973" s="899">
        <f t="shared" si="74"/>
        <v>2800</v>
      </c>
      <c r="N1973" s="1249"/>
      <c r="O1973" s="1249"/>
      <c r="P1973" s="899">
        <f t="shared" si="75"/>
        <v>2800</v>
      </c>
    </row>
    <row r="1974" spans="1:16" ht="36" x14ac:dyDescent="0.2">
      <c r="A1974" s="916" t="s">
        <v>6518</v>
      </c>
      <c r="B1974" s="898" t="s">
        <v>6985</v>
      </c>
      <c r="C1974" s="916" t="s">
        <v>4875</v>
      </c>
      <c r="D1974" s="898" t="s">
        <v>6990</v>
      </c>
      <c r="E1974" s="1144">
        <v>2000</v>
      </c>
      <c r="F1974" s="898" t="s">
        <v>7003</v>
      </c>
      <c r="G1974" s="898" t="s">
        <v>7004</v>
      </c>
      <c r="H1974" s="898" t="s">
        <v>7005</v>
      </c>
      <c r="I1974" s="943" t="s">
        <v>6933</v>
      </c>
      <c r="J1974" s="943" t="s">
        <v>4004</v>
      </c>
      <c r="K1974" s="944" t="s">
        <v>3601</v>
      </c>
      <c r="L1974" s="1249" t="s">
        <v>3601</v>
      </c>
      <c r="M1974" s="899">
        <f t="shared" si="74"/>
        <v>4000</v>
      </c>
      <c r="N1974" s="1249"/>
      <c r="O1974" s="1249"/>
      <c r="P1974" s="899">
        <f t="shared" si="75"/>
        <v>4000</v>
      </c>
    </row>
    <row r="1975" spans="1:16" ht="36" x14ac:dyDescent="0.2">
      <c r="A1975" s="916" t="s">
        <v>6518</v>
      </c>
      <c r="B1975" s="898" t="s">
        <v>6985</v>
      </c>
      <c r="C1975" s="916" t="s">
        <v>4875</v>
      </c>
      <c r="D1975" s="898" t="s">
        <v>3164</v>
      </c>
      <c r="E1975" s="1144">
        <v>248</v>
      </c>
      <c r="F1975" s="898" t="s">
        <v>7006</v>
      </c>
      <c r="G1975" s="898" t="s">
        <v>7007</v>
      </c>
      <c r="H1975" s="898" t="s">
        <v>3164</v>
      </c>
      <c r="I1975" s="943" t="s">
        <v>6946</v>
      </c>
      <c r="J1975" s="943" t="s">
        <v>507</v>
      </c>
      <c r="K1975" s="944" t="s">
        <v>429</v>
      </c>
      <c r="L1975" s="1249" t="s">
        <v>429</v>
      </c>
      <c r="M1975" s="899">
        <f t="shared" si="74"/>
        <v>248</v>
      </c>
      <c r="N1975" s="1249"/>
      <c r="O1975" s="1249"/>
      <c r="P1975" s="899">
        <f t="shared" si="75"/>
        <v>248</v>
      </c>
    </row>
    <row r="1976" spans="1:16" ht="36" x14ac:dyDescent="0.2">
      <c r="A1976" s="916" t="s">
        <v>6518</v>
      </c>
      <c r="B1976" s="898" t="s">
        <v>6985</v>
      </c>
      <c r="C1976" s="916" t="s">
        <v>4875</v>
      </c>
      <c r="D1976" s="898" t="s">
        <v>6977</v>
      </c>
      <c r="E1976" s="1144">
        <v>1302</v>
      </c>
      <c r="F1976" s="898" t="s">
        <v>6879</v>
      </c>
      <c r="G1976" s="898" t="s">
        <v>6880</v>
      </c>
      <c r="H1976" s="898" t="s">
        <v>6977</v>
      </c>
      <c r="I1976" s="943" t="s">
        <v>6935</v>
      </c>
      <c r="J1976" s="943" t="s">
        <v>507</v>
      </c>
      <c r="K1976" s="944" t="s">
        <v>429</v>
      </c>
      <c r="L1976" s="1249" t="s">
        <v>429</v>
      </c>
      <c r="M1976" s="899">
        <f t="shared" si="74"/>
        <v>1302</v>
      </c>
      <c r="N1976" s="1249"/>
      <c r="O1976" s="1249"/>
      <c r="P1976" s="899">
        <f t="shared" si="75"/>
        <v>1302</v>
      </c>
    </row>
    <row r="1977" spans="1:16" ht="36" x14ac:dyDescent="0.2">
      <c r="A1977" s="916" t="s">
        <v>6518</v>
      </c>
      <c r="B1977" s="898" t="s">
        <v>6985</v>
      </c>
      <c r="C1977" s="916" t="s">
        <v>4875</v>
      </c>
      <c r="D1977" s="898" t="s">
        <v>6990</v>
      </c>
      <c r="E1977" s="1144">
        <v>930</v>
      </c>
      <c r="F1977" s="898" t="s">
        <v>6575</v>
      </c>
      <c r="G1977" s="898" t="s">
        <v>6576</v>
      </c>
      <c r="H1977" s="898" t="s">
        <v>7008</v>
      </c>
      <c r="I1977" s="943" t="s">
        <v>6937</v>
      </c>
      <c r="J1977" s="943" t="s">
        <v>3650</v>
      </c>
      <c r="K1977" s="944" t="s">
        <v>429</v>
      </c>
      <c r="L1977" s="1249" t="s">
        <v>429</v>
      </c>
      <c r="M1977" s="899">
        <f t="shared" si="74"/>
        <v>930</v>
      </c>
      <c r="N1977" s="1249"/>
      <c r="O1977" s="1249"/>
      <c r="P1977" s="899">
        <f t="shared" si="75"/>
        <v>930</v>
      </c>
    </row>
    <row r="1978" spans="1:16" ht="36" x14ac:dyDescent="0.2">
      <c r="A1978" s="916" t="s">
        <v>6518</v>
      </c>
      <c r="B1978" s="898" t="s">
        <v>6985</v>
      </c>
      <c r="C1978" s="916" t="s">
        <v>4875</v>
      </c>
      <c r="D1978" s="898" t="s">
        <v>6943</v>
      </c>
      <c r="E1978" s="1144">
        <v>930</v>
      </c>
      <c r="F1978" s="898" t="s">
        <v>7009</v>
      </c>
      <c r="G1978" s="898" t="s">
        <v>7010</v>
      </c>
      <c r="H1978" s="898" t="s">
        <v>507</v>
      </c>
      <c r="I1978" s="943" t="s">
        <v>6946</v>
      </c>
      <c r="J1978" s="943" t="s">
        <v>507</v>
      </c>
      <c r="K1978" s="944" t="s">
        <v>429</v>
      </c>
      <c r="L1978" s="1249" t="s">
        <v>429</v>
      </c>
      <c r="M1978" s="899">
        <f t="shared" si="74"/>
        <v>930</v>
      </c>
      <c r="N1978" s="1249"/>
      <c r="O1978" s="1249"/>
      <c r="P1978" s="899">
        <f t="shared" si="75"/>
        <v>930</v>
      </c>
    </row>
    <row r="1979" spans="1:16" ht="36" x14ac:dyDescent="0.2">
      <c r="A1979" s="916" t="s">
        <v>6518</v>
      </c>
      <c r="B1979" s="898" t="s">
        <v>6985</v>
      </c>
      <c r="C1979" s="916" t="s">
        <v>4875</v>
      </c>
      <c r="D1979" s="898" t="s">
        <v>6977</v>
      </c>
      <c r="E1979" s="1144">
        <v>1200</v>
      </c>
      <c r="F1979" s="898" t="s">
        <v>6877</v>
      </c>
      <c r="G1979" s="898" t="s">
        <v>6878</v>
      </c>
      <c r="H1979" s="898" t="s">
        <v>6977</v>
      </c>
      <c r="I1979" s="943" t="s">
        <v>6935</v>
      </c>
      <c r="J1979" s="943" t="s">
        <v>507</v>
      </c>
      <c r="K1979" s="944" t="s">
        <v>3683</v>
      </c>
      <c r="L1979" s="1249" t="s">
        <v>3683</v>
      </c>
      <c r="M1979" s="899">
        <f t="shared" si="74"/>
        <v>8400</v>
      </c>
      <c r="N1979" s="1249" t="s">
        <v>429</v>
      </c>
      <c r="O1979" s="1249" t="s">
        <v>429</v>
      </c>
      <c r="P1979" s="899">
        <f t="shared" si="75"/>
        <v>8400</v>
      </c>
    </row>
    <row r="1980" spans="1:16" ht="36" x14ac:dyDescent="0.2">
      <c r="A1980" s="916" t="s">
        <v>6518</v>
      </c>
      <c r="B1980" s="898" t="s">
        <v>6985</v>
      </c>
      <c r="C1980" s="916" t="s">
        <v>4875</v>
      </c>
      <c r="D1980" s="898" t="s">
        <v>6977</v>
      </c>
      <c r="E1980" s="1144">
        <v>1200</v>
      </c>
      <c r="F1980" s="898" t="s">
        <v>7011</v>
      </c>
      <c r="G1980" s="898" t="s">
        <v>7012</v>
      </c>
      <c r="H1980" s="898" t="s">
        <v>6977</v>
      </c>
      <c r="I1980" s="943" t="s">
        <v>6935</v>
      </c>
      <c r="J1980" s="943" t="s">
        <v>507</v>
      </c>
      <c r="K1980" s="944" t="s">
        <v>429</v>
      </c>
      <c r="L1980" s="1249" t="s">
        <v>429</v>
      </c>
      <c r="M1980" s="899">
        <f t="shared" si="74"/>
        <v>1200</v>
      </c>
      <c r="N1980" s="1249"/>
      <c r="O1980" s="1249"/>
      <c r="P1980" s="899">
        <f t="shared" si="75"/>
        <v>1200</v>
      </c>
    </row>
    <row r="1981" spans="1:16" ht="36" x14ac:dyDescent="0.2">
      <c r="A1981" s="916" t="s">
        <v>6518</v>
      </c>
      <c r="B1981" s="898" t="s">
        <v>6985</v>
      </c>
      <c r="C1981" s="916" t="s">
        <v>4875</v>
      </c>
      <c r="D1981" s="898" t="s">
        <v>6977</v>
      </c>
      <c r="E1981" s="1144">
        <v>1200</v>
      </c>
      <c r="F1981" s="898" t="s">
        <v>7013</v>
      </c>
      <c r="G1981" s="898" t="s">
        <v>7014</v>
      </c>
      <c r="H1981" s="898" t="s">
        <v>6977</v>
      </c>
      <c r="I1981" s="943" t="s">
        <v>6935</v>
      </c>
      <c r="J1981" s="943" t="s">
        <v>507</v>
      </c>
      <c r="K1981" s="944" t="s">
        <v>429</v>
      </c>
      <c r="L1981" s="1249" t="s">
        <v>429</v>
      </c>
      <c r="M1981" s="899">
        <f t="shared" si="74"/>
        <v>1200</v>
      </c>
      <c r="N1981" s="1249"/>
      <c r="O1981" s="1249"/>
      <c r="P1981" s="899">
        <f t="shared" si="75"/>
        <v>1200</v>
      </c>
    </row>
    <row r="1982" spans="1:16" ht="36" x14ac:dyDescent="0.2">
      <c r="A1982" s="916" t="s">
        <v>6518</v>
      </c>
      <c r="B1982" s="898" t="s">
        <v>6985</v>
      </c>
      <c r="C1982" s="916" t="s">
        <v>4875</v>
      </c>
      <c r="D1982" s="898" t="s">
        <v>3164</v>
      </c>
      <c r="E1982" s="1144">
        <v>930</v>
      </c>
      <c r="F1982" s="898" t="s">
        <v>7015</v>
      </c>
      <c r="G1982" s="898" t="s">
        <v>7016</v>
      </c>
      <c r="H1982" s="898" t="s">
        <v>3164</v>
      </c>
      <c r="I1982" s="943" t="s">
        <v>6946</v>
      </c>
      <c r="J1982" s="943" t="s">
        <v>507</v>
      </c>
      <c r="K1982" s="944" t="s">
        <v>429</v>
      </c>
      <c r="L1982" s="1249" t="s">
        <v>429</v>
      </c>
      <c r="M1982" s="899">
        <f t="shared" si="74"/>
        <v>930</v>
      </c>
      <c r="N1982" s="1249"/>
      <c r="O1982" s="1249"/>
      <c r="P1982" s="899">
        <f t="shared" si="75"/>
        <v>930</v>
      </c>
    </row>
    <row r="1983" spans="1:16" ht="36" x14ac:dyDescent="0.2">
      <c r="A1983" s="916" t="s">
        <v>6518</v>
      </c>
      <c r="B1983" s="898" t="s">
        <v>6985</v>
      </c>
      <c r="C1983" s="916" t="s">
        <v>4875</v>
      </c>
      <c r="D1983" s="898" t="s">
        <v>3164</v>
      </c>
      <c r="E1983" s="1144">
        <v>465</v>
      </c>
      <c r="F1983" s="898" t="s">
        <v>7017</v>
      </c>
      <c r="G1983" s="898" t="s">
        <v>7018</v>
      </c>
      <c r="H1983" s="898" t="s">
        <v>3164</v>
      </c>
      <c r="I1983" s="943" t="s">
        <v>6946</v>
      </c>
      <c r="J1983" s="943" t="s">
        <v>507</v>
      </c>
      <c r="K1983" s="944" t="s">
        <v>429</v>
      </c>
      <c r="L1983" s="1249" t="s">
        <v>429</v>
      </c>
      <c r="M1983" s="899">
        <f t="shared" si="74"/>
        <v>465</v>
      </c>
      <c r="N1983" s="1249"/>
      <c r="O1983" s="1249"/>
      <c r="P1983" s="899">
        <f t="shared" si="75"/>
        <v>465</v>
      </c>
    </row>
    <row r="1984" spans="1:16" ht="36" x14ac:dyDescent="0.2">
      <c r="A1984" s="916" t="s">
        <v>6518</v>
      </c>
      <c r="B1984" s="898" t="s">
        <v>6985</v>
      </c>
      <c r="C1984" s="916" t="s">
        <v>4875</v>
      </c>
      <c r="D1984" s="898" t="s">
        <v>3330</v>
      </c>
      <c r="E1984" s="1144">
        <v>1100</v>
      </c>
      <c r="F1984" s="898" t="s">
        <v>7019</v>
      </c>
      <c r="G1984" s="898" t="s">
        <v>7020</v>
      </c>
      <c r="H1984" s="898" t="s">
        <v>507</v>
      </c>
      <c r="I1984" s="943" t="s">
        <v>6946</v>
      </c>
      <c r="J1984" s="943" t="s">
        <v>507</v>
      </c>
      <c r="K1984" s="944" t="s">
        <v>3824</v>
      </c>
      <c r="L1984" s="1249" t="s">
        <v>3824</v>
      </c>
      <c r="M1984" s="899">
        <f t="shared" si="74"/>
        <v>0</v>
      </c>
      <c r="N1984" s="1249" t="s">
        <v>429</v>
      </c>
      <c r="O1984" s="1249" t="s">
        <v>429</v>
      </c>
      <c r="P1984" s="899">
        <f t="shared" si="75"/>
        <v>0</v>
      </c>
    </row>
    <row r="1985" spans="1:16" ht="36" x14ac:dyDescent="0.2">
      <c r="A1985" s="916" t="s">
        <v>6518</v>
      </c>
      <c r="B1985" s="898" t="s">
        <v>7021</v>
      </c>
      <c r="C1985" s="916" t="s">
        <v>4875</v>
      </c>
      <c r="D1985" s="898" t="s">
        <v>6990</v>
      </c>
      <c r="E1985" s="1144">
        <v>930</v>
      </c>
      <c r="F1985" s="898" t="s">
        <v>7022</v>
      </c>
      <c r="G1985" s="898" t="s">
        <v>7023</v>
      </c>
      <c r="H1985" s="898" t="s">
        <v>7008</v>
      </c>
      <c r="I1985" s="943" t="s">
        <v>6937</v>
      </c>
      <c r="J1985" s="943" t="s">
        <v>3650</v>
      </c>
      <c r="K1985" s="944" t="s">
        <v>3672</v>
      </c>
      <c r="L1985" s="1249" t="s">
        <v>3672</v>
      </c>
      <c r="M1985" s="899">
        <f t="shared" si="74"/>
        <v>4650</v>
      </c>
      <c r="N1985" s="1249"/>
      <c r="O1985" s="1249"/>
      <c r="P1985" s="899">
        <f t="shared" si="75"/>
        <v>4650</v>
      </c>
    </row>
    <row r="1986" spans="1:16" ht="36" x14ac:dyDescent="0.2">
      <c r="A1986" s="916" t="s">
        <v>6518</v>
      </c>
      <c r="B1986" s="898" t="s">
        <v>7021</v>
      </c>
      <c r="C1986" s="916" t="s">
        <v>4875</v>
      </c>
      <c r="D1986" s="898" t="s">
        <v>6990</v>
      </c>
      <c r="E1986" s="1144">
        <v>930</v>
      </c>
      <c r="F1986" s="898" t="s">
        <v>7024</v>
      </c>
      <c r="G1986" s="898" t="s">
        <v>7025</v>
      </c>
      <c r="H1986" s="898" t="s">
        <v>7008</v>
      </c>
      <c r="I1986" s="943" t="s">
        <v>6937</v>
      </c>
      <c r="J1986" s="943" t="s">
        <v>3650</v>
      </c>
      <c r="K1986" s="944" t="s">
        <v>3672</v>
      </c>
      <c r="L1986" s="1249" t="s">
        <v>3672</v>
      </c>
      <c r="M1986" s="899">
        <f t="shared" si="74"/>
        <v>4650</v>
      </c>
      <c r="N1986" s="1249"/>
      <c r="O1986" s="1249"/>
      <c r="P1986" s="899">
        <f t="shared" si="75"/>
        <v>4650</v>
      </c>
    </row>
    <row r="1987" spans="1:16" ht="36" x14ac:dyDescent="0.2">
      <c r="A1987" s="916" t="s">
        <v>6518</v>
      </c>
      <c r="B1987" s="898" t="s">
        <v>7021</v>
      </c>
      <c r="C1987" s="916" t="s">
        <v>4875</v>
      </c>
      <c r="D1987" s="898" t="s">
        <v>6990</v>
      </c>
      <c r="E1987" s="1144">
        <v>930</v>
      </c>
      <c r="F1987" s="898" t="s">
        <v>6596</v>
      </c>
      <c r="G1987" s="898" t="s">
        <v>6597</v>
      </c>
      <c r="H1987" s="898" t="s">
        <v>7008</v>
      </c>
      <c r="I1987" s="943" t="s">
        <v>6937</v>
      </c>
      <c r="J1987" s="943" t="s">
        <v>3650</v>
      </c>
      <c r="K1987" s="944" t="s">
        <v>3662</v>
      </c>
      <c r="L1987" s="1249" t="s">
        <v>3662</v>
      </c>
      <c r="M1987" s="899">
        <f t="shared" si="74"/>
        <v>3720</v>
      </c>
      <c r="N1987" s="1249"/>
      <c r="O1987" s="1249"/>
      <c r="P1987" s="899">
        <f t="shared" si="75"/>
        <v>3720</v>
      </c>
    </row>
    <row r="1988" spans="1:16" ht="36" x14ac:dyDescent="0.2">
      <c r="A1988" s="916" t="s">
        <v>6518</v>
      </c>
      <c r="B1988" s="898" t="s">
        <v>7021</v>
      </c>
      <c r="C1988" s="916" t="s">
        <v>4875</v>
      </c>
      <c r="D1988" s="898" t="s">
        <v>6990</v>
      </c>
      <c r="E1988" s="1144">
        <v>930</v>
      </c>
      <c r="F1988" s="898" t="s">
        <v>6774</v>
      </c>
      <c r="G1988" s="898" t="s">
        <v>6775</v>
      </c>
      <c r="H1988" s="898" t="s">
        <v>7008</v>
      </c>
      <c r="I1988" s="943" t="s">
        <v>6937</v>
      </c>
      <c r="J1988" s="943" t="s">
        <v>3650</v>
      </c>
      <c r="K1988" s="944" t="s">
        <v>3672</v>
      </c>
      <c r="L1988" s="1249" t="s">
        <v>3672</v>
      </c>
      <c r="M1988" s="899">
        <f t="shared" si="74"/>
        <v>4650</v>
      </c>
      <c r="N1988" s="1249"/>
      <c r="O1988" s="1249"/>
      <c r="P1988" s="899">
        <f t="shared" si="75"/>
        <v>4650</v>
      </c>
    </row>
    <row r="1989" spans="1:16" ht="36" x14ac:dyDescent="0.2">
      <c r="A1989" s="916" t="s">
        <v>6518</v>
      </c>
      <c r="B1989" s="898" t="s">
        <v>7021</v>
      </c>
      <c r="C1989" s="916" t="s">
        <v>4875</v>
      </c>
      <c r="D1989" s="898" t="s">
        <v>6990</v>
      </c>
      <c r="E1989" s="1144">
        <v>930</v>
      </c>
      <c r="F1989" s="898" t="s">
        <v>6822</v>
      </c>
      <c r="G1989" s="898" t="s">
        <v>6823</v>
      </c>
      <c r="H1989" s="898" t="s">
        <v>7008</v>
      </c>
      <c r="I1989" s="943" t="s">
        <v>6937</v>
      </c>
      <c r="J1989" s="943" t="s">
        <v>3650</v>
      </c>
      <c r="K1989" s="944" t="s">
        <v>3672</v>
      </c>
      <c r="L1989" s="1249" t="s">
        <v>3672</v>
      </c>
      <c r="M1989" s="899">
        <f t="shared" si="74"/>
        <v>4650</v>
      </c>
      <c r="N1989" s="1249"/>
      <c r="O1989" s="1249"/>
      <c r="P1989" s="899">
        <f t="shared" si="75"/>
        <v>4650</v>
      </c>
    </row>
    <row r="1990" spans="1:16" ht="36" x14ac:dyDescent="0.2">
      <c r="A1990" s="916" t="s">
        <v>6518</v>
      </c>
      <c r="B1990" s="898" t="s">
        <v>7021</v>
      </c>
      <c r="C1990" s="916" t="s">
        <v>4875</v>
      </c>
      <c r="D1990" s="898" t="s">
        <v>6990</v>
      </c>
      <c r="E1990" s="1144">
        <v>930</v>
      </c>
      <c r="F1990" s="898" t="s">
        <v>7026</v>
      </c>
      <c r="G1990" s="898" t="s">
        <v>7027</v>
      </c>
      <c r="H1990" s="898" t="s">
        <v>7008</v>
      </c>
      <c r="I1990" s="943" t="s">
        <v>6937</v>
      </c>
      <c r="J1990" s="943" t="s">
        <v>3650</v>
      </c>
      <c r="K1990" s="944" t="s">
        <v>3672</v>
      </c>
      <c r="L1990" s="1249" t="s">
        <v>3672</v>
      </c>
      <c r="M1990" s="899">
        <f t="shared" si="74"/>
        <v>4650</v>
      </c>
      <c r="N1990" s="1249"/>
      <c r="O1990" s="1249"/>
      <c r="P1990" s="899">
        <f t="shared" si="75"/>
        <v>4650</v>
      </c>
    </row>
    <row r="1991" spans="1:16" ht="36" x14ac:dyDescent="0.2">
      <c r="A1991" s="916" t="s">
        <v>6518</v>
      </c>
      <c r="B1991" s="898" t="s">
        <v>7021</v>
      </c>
      <c r="C1991" s="916" t="s">
        <v>4875</v>
      </c>
      <c r="D1991" s="898" t="s">
        <v>6990</v>
      </c>
      <c r="E1991" s="1144">
        <v>930</v>
      </c>
      <c r="F1991" s="898" t="s">
        <v>7028</v>
      </c>
      <c r="G1991" s="898" t="s">
        <v>7029</v>
      </c>
      <c r="H1991" s="898" t="s">
        <v>7008</v>
      </c>
      <c r="I1991" s="943" t="s">
        <v>6937</v>
      </c>
      <c r="J1991" s="943" t="s">
        <v>3650</v>
      </c>
      <c r="K1991" s="944" t="s">
        <v>3672</v>
      </c>
      <c r="L1991" s="1249" t="s">
        <v>3672</v>
      </c>
      <c r="M1991" s="899">
        <f t="shared" ref="M1991:M2017" si="76">+E1991*L1991</f>
        <v>4650</v>
      </c>
      <c r="N1991" s="1249"/>
      <c r="O1991" s="1249"/>
      <c r="P1991" s="899">
        <f t="shared" ref="P1991:P2017" si="77">M1991</f>
        <v>4650</v>
      </c>
    </row>
    <row r="1992" spans="1:16" ht="36" x14ac:dyDescent="0.2">
      <c r="A1992" s="916" t="s">
        <v>6518</v>
      </c>
      <c r="B1992" s="898" t="s">
        <v>7021</v>
      </c>
      <c r="C1992" s="916" t="s">
        <v>4875</v>
      </c>
      <c r="D1992" s="898" t="s">
        <v>6990</v>
      </c>
      <c r="E1992" s="1144">
        <v>930</v>
      </c>
      <c r="F1992" s="898" t="s">
        <v>7030</v>
      </c>
      <c r="G1992" s="898" t="s">
        <v>7031</v>
      </c>
      <c r="H1992" s="898" t="s">
        <v>7008</v>
      </c>
      <c r="I1992" s="943" t="s">
        <v>6937</v>
      </c>
      <c r="J1992" s="943" t="s">
        <v>3650</v>
      </c>
      <c r="K1992" s="944" t="s">
        <v>3672</v>
      </c>
      <c r="L1992" s="1249" t="s">
        <v>3672</v>
      </c>
      <c r="M1992" s="899">
        <f t="shared" si="76"/>
        <v>4650</v>
      </c>
      <c r="N1992" s="1249"/>
      <c r="O1992" s="1249"/>
      <c r="P1992" s="899">
        <f t="shared" si="77"/>
        <v>4650</v>
      </c>
    </row>
    <row r="1993" spans="1:16" ht="36" x14ac:dyDescent="0.2">
      <c r="A1993" s="916" t="s">
        <v>6518</v>
      </c>
      <c r="B1993" s="898" t="s">
        <v>7021</v>
      </c>
      <c r="C1993" s="916" t="s">
        <v>4875</v>
      </c>
      <c r="D1993" s="898" t="s">
        <v>6990</v>
      </c>
      <c r="E1993" s="1144">
        <v>930</v>
      </c>
      <c r="F1993" s="898" t="s">
        <v>7032</v>
      </c>
      <c r="G1993" s="898" t="s">
        <v>7033</v>
      </c>
      <c r="H1993" s="898" t="s">
        <v>7008</v>
      </c>
      <c r="I1993" s="943" t="s">
        <v>6937</v>
      </c>
      <c r="J1993" s="943" t="s">
        <v>3650</v>
      </c>
      <c r="K1993" s="944" t="s">
        <v>3672</v>
      </c>
      <c r="L1993" s="1249" t="s">
        <v>3672</v>
      </c>
      <c r="M1993" s="899">
        <f t="shared" si="76"/>
        <v>4650</v>
      </c>
      <c r="N1993" s="1249"/>
      <c r="O1993" s="1249"/>
      <c r="P1993" s="899">
        <f t="shared" si="77"/>
        <v>4650</v>
      </c>
    </row>
    <row r="1994" spans="1:16" ht="36" x14ac:dyDescent="0.2">
      <c r="A1994" s="916" t="s">
        <v>6518</v>
      </c>
      <c r="B1994" s="898" t="s">
        <v>7021</v>
      </c>
      <c r="C1994" s="916" t="s">
        <v>4875</v>
      </c>
      <c r="D1994" s="898" t="s">
        <v>6990</v>
      </c>
      <c r="E1994" s="1144">
        <v>930</v>
      </c>
      <c r="F1994" s="898" t="s">
        <v>7034</v>
      </c>
      <c r="G1994" s="898" t="s">
        <v>7035</v>
      </c>
      <c r="H1994" s="898" t="s">
        <v>7008</v>
      </c>
      <c r="I1994" s="943" t="s">
        <v>6937</v>
      </c>
      <c r="J1994" s="943" t="s">
        <v>3650</v>
      </c>
      <c r="K1994" s="944" t="s">
        <v>3672</v>
      </c>
      <c r="L1994" s="1249" t="s">
        <v>3672</v>
      </c>
      <c r="M1994" s="899">
        <f t="shared" si="76"/>
        <v>4650</v>
      </c>
      <c r="N1994" s="1249"/>
      <c r="O1994" s="1249"/>
      <c r="P1994" s="899">
        <f t="shared" si="77"/>
        <v>4650</v>
      </c>
    </row>
    <row r="1995" spans="1:16" ht="36" x14ac:dyDescent="0.2">
      <c r="A1995" s="916" t="s">
        <v>6518</v>
      </c>
      <c r="B1995" s="898" t="s">
        <v>7021</v>
      </c>
      <c r="C1995" s="916" t="s">
        <v>4875</v>
      </c>
      <c r="D1995" s="898" t="s">
        <v>6990</v>
      </c>
      <c r="E1995" s="1144">
        <v>930</v>
      </c>
      <c r="F1995" s="898" t="s">
        <v>7036</v>
      </c>
      <c r="G1995" s="898" t="s">
        <v>7037</v>
      </c>
      <c r="H1995" s="898" t="s">
        <v>7008</v>
      </c>
      <c r="I1995" s="943" t="s">
        <v>6937</v>
      </c>
      <c r="J1995" s="943" t="s">
        <v>3650</v>
      </c>
      <c r="K1995" s="944" t="s">
        <v>3672</v>
      </c>
      <c r="L1995" s="1249" t="s">
        <v>3672</v>
      </c>
      <c r="M1995" s="899">
        <f t="shared" si="76"/>
        <v>4650</v>
      </c>
      <c r="N1995" s="1249"/>
      <c r="O1995" s="1249"/>
      <c r="P1995" s="899">
        <f t="shared" si="77"/>
        <v>4650</v>
      </c>
    </row>
    <row r="1996" spans="1:16" ht="36" x14ac:dyDescent="0.2">
      <c r="A1996" s="916" t="s">
        <v>6518</v>
      </c>
      <c r="B1996" s="898" t="s">
        <v>7021</v>
      </c>
      <c r="C1996" s="916" t="s">
        <v>4875</v>
      </c>
      <c r="D1996" s="898" t="s">
        <v>6990</v>
      </c>
      <c r="E1996" s="1144">
        <v>930</v>
      </c>
      <c r="F1996" s="898" t="s">
        <v>7038</v>
      </c>
      <c r="G1996" s="898" t="s">
        <v>7039</v>
      </c>
      <c r="H1996" s="898" t="s">
        <v>7008</v>
      </c>
      <c r="I1996" s="943" t="s">
        <v>6937</v>
      </c>
      <c r="J1996" s="943" t="s">
        <v>3650</v>
      </c>
      <c r="K1996" s="944" t="s">
        <v>3672</v>
      </c>
      <c r="L1996" s="1249" t="s">
        <v>3672</v>
      </c>
      <c r="M1996" s="899">
        <f t="shared" si="76"/>
        <v>4650</v>
      </c>
      <c r="N1996" s="1249"/>
      <c r="O1996" s="1249"/>
      <c r="P1996" s="899">
        <f t="shared" si="77"/>
        <v>4650</v>
      </c>
    </row>
    <row r="1997" spans="1:16" ht="36" x14ac:dyDescent="0.2">
      <c r="A1997" s="916" t="s">
        <v>6518</v>
      </c>
      <c r="B1997" s="898" t="s">
        <v>7021</v>
      </c>
      <c r="C1997" s="916" t="s">
        <v>4875</v>
      </c>
      <c r="D1997" s="898" t="s">
        <v>6990</v>
      </c>
      <c r="E1997" s="1144">
        <v>930</v>
      </c>
      <c r="F1997" s="898" t="s">
        <v>7040</v>
      </c>
      <c r="G1997" s="898" t="s">
        <v>7041</v>
      </c>
      <c r="H1997" s="898" t="s">
        <v>7008</v>
      </c>
      <c r="I1997" s="943" t="s">
        <v>6937</v>
      </c>
      <c r="J1997" s="943" t="s">
        <v>3650</v>
      </c>
      <c r="K1997" s="944" t="s">
        <v>3672</v>
      </c>
      <c r="L1997" s="1249" t="s">
        <v>3672</v>
      </c>
      <c r="M1997" s="899">
        <f t="shared" si="76"/>
        <v>4650</v>
      </c>
      <c r="N1997" s="1249"/>
      <c r="O1997" s="1249"/>
      <c r="P1997" s="899">
        <f t="shared" si="77"/>
        <v>4650</v>
      </c>
    </row>
    <row r="1998" spans="1:16" ht="36" x14ac:dyDescent="0.2">
      <c r="A1998" s="916" t="s">
        <v>6518</v>
      </c>
      <c r="B1998" s="898" t="s">
        <v>7021</v>
      </c>
      <c r="C1998" s="916" t="s">
        <v>4875</v>
      </c>
      <c r="D1998" s="898" t="s">
        <v>6990</v>
      </c>
      <c r="E1998" s="1144">
        <v>930</v>
      </c>
      <c r="F1998" s="898" t="s">
        <v>7042</v>
      </c>
      <c r="G1998" s="898" t="s">
        <v>7043</v>
      </c>
      <c r="H1998" s="898" t="s">
        <v>7008</v>
      </c>
      <c r="I1998" s="943" t="s">
        <v>6937</v>
      </c>
      <c r="J1998" s="943" t="s">
        <v>3650</v>
      </c>
      <c r="K1998" s="944" t="s">
        <v>3672</v>
      </c>
      <c r="L1998" s="1249" t="s">
        <v>3672</v>
      </c>
      <c r="M1998" s="899">
        <f t="shared" si="76"/>
        <v>4650</v>
      </c>
      <c r="N1998" s="1249"/>
      <c r="O1998" s="1249"/>
      <c r="P1998" s="899">
        <f t="shared" si="77"/>
        <v>4650</v>
      </c>
    </row>
    <row r="1999" spans="1:16" ht="36" x14ac:dyDescent="0.2">
      <c r="A1999" s="916" t="s">
        <v>6518</v>
      </c>
      <c r="B1999" s="898" t="s">
        <v>7021</v>
      </c>
      <c r="C1999" s="916" t="s">
        <v>4875</v>
      </c>
      <c r="D1999" s="898" t="s">
        <v>6990</v>
      </c>
      <c r="E1999" s="1144">
        <v>930</v>
      </c>
      <c r="F1999" s="898" t="s">
        <v>6549</v>
      </c>
      <c r="G1999" s="898" t="s">
        <v>6550</v>
      </c>
      <c r="H1999" s="898" t="s">
        <v>7008</v>
      </c>
      <c r="I1999" s="943" t="s">
        <v>6937</v>
      </c>
      <c r="J1999" s="943" t="s">
        <v>3650</v>
      </c>
      <c r="K1999" s="944" t="s">
        <v>3662</v>
      </c>
      <c r="L1999" s="1249" t="s">
        <v>3662</v>
      </c>
      <c r="M1999" s="899">
        <f t="shared" si="76"/>
        <v>3720</v>
      </c>
      <c r="N1999" s="1249"/>
      <c r="O1999" s="1249"/>
      <c r="P1999" s="899">
        <f t="shared" si="77"/>
        <v>3720</v>
      </c>
    </row>
    <row r="2000" spans="1:16" ht="36" x14ac:dyDescent="0.2">
      <c r="A2000" s="916" t="s">
        <v>6518</v>
      </c>
      <c r="B2000" s="898" t="s">
        <v>7021</v>
      </c>
      <c r="C2000" s="916" t="s">
        <v>4875</v>
      </c>
      <c r="D2000" s="898" t="s">
        <v>6984</v>
      </c>
      <c r="E2000" s="1144">
        <v>4000</v>
      </c>
      <c r="F2000" s="898" t="s">
        <v>6720</v>
      </c>
      <c r="G2000" s="898" t="s">
        <v>6721</v>
      </c>
      <c r="H2000" s="898" t="s">
        <v>5077</v>
      </c>
      <c r="I2000" s="943" t="s">
        <v>6933</v>
      </c>
      <c r="J2000" s="943" t="s">
        <v>4004</v>
      </c>
      <c r="K2000" s="944" t="s">
        <v>3604</v>
      </c>
      <c r="L2000" s="1249" t="s">
        <v>3604</v>
      </c>
      <c r="M2000" s="899">
        <f t="shared" si="76"/>
        <v>48000</v>
      </c>
      <c r="N2000" s="1249" t="s">
        <v>429</v>
      </c>
      <c r="O2000" s="1249" t="s">
        <v>429</v>
      </c>
      <c r="P2000" s="899">
        <f t="shared" si="77"/>
        <v>48000</v>
      </c>
    </row>
    <row r="2001" spans="1:16" ht="36" x14ac:dyDescent="0.2">
      <c r="A2001" s="916" t="s">
        <v>6518</v>
      </c>
      <c r="B2001" s="898" t="s">
        <v>7021</v>
      </c>
      <c r="C2001" s="916" t="s">
        <v>4875</v>
      </c>
      <c r="D2001" s="898" t="s">
        <v>6990</v>
      </c>
      <c r="E2001" s="1144">
        <v>930</v>
      </c>
      <c r="F2001" s="898" t="s">
        <v>7044</v>
      </c>
      <c r="G2001" s="898" t="s">
        <v>7045</v>
      </c>
      <c r="H2001" s="898" t="s">
        <v>7008</v>
      </c>
      <c r="I2001" s="943" t="s">
        <v>6937</v>
      </c>
      <c r="J2001" s="943" t="s">
        <v>3650</v>
      </c>
      <c r="K2001" s="944" t="s">
        <v>429</v>
      </c>
      <c r="L2001" s="1249" t="s">
        <v>429</v>
      </c>
      <c r="M2001" s="899">
        <f t="shared" si="76"/>
        <v>930</v>
      </c>
      <c r="N2001" s="1249"/>
      <c r="O2001" s="1249"/>
      <c r="P2001" s="899">
        <f t="shared" si="77"/>
        <v>930</v>
      </c>
    </row>
    <row r="2002" spans="1:16" ht="36" x14ac:dyDescent="0.2">
      <c r="A2002" s="916" t="s">
        <v>6518</v>
      </c>
      <c r="B2002" s="898" t="s">
        <v>7021</v>
      </c>
      <c r="C2002" s="916" t="s">
        <v>4875</v>
      </c>
      <c r="D2002" s="898" t="s">
        <v>6990</v>
      </c>
      <c r="E2002" s="1144">
        <v>1100</v>
      </c>
      <c r="F2002" s="898" t="s">
        <v>7044</v>
      </c>
      <c r="G2002" s="898" t="s">
        <v>7045</v>
      </c>
      <c r="H2002" s="898" t="s">
        <v>7008</v>
      </c>
      <c r="I2002" s="943" t="s">
        <v>6937</v>
      </c>
      <c r="J2002" s="943" t="s">
        <v>3650</v>
      </c>
      <c r="K2002" s="944" t="s">
        <v>3683</v>
      </c>
      <c r="L2002" s="1249" t="s">
        <v>3683</v>
      </c>
      <c r="M2002" s="899">
        <f t="shared" si="76"/>
        <v>7700</v>
      </c>
      <c r="N2002" s="1249" t="s">
        <v>430</v>
      </c>
      <c r="O2002" s="1249" t="s">
        <v>430</v>
      </c>
      <c r="P2002" s="899">
        <f t="shared" si="77"/>
        <v>7700</v>
      </c>
    </row>
    <row r="2003" spans="1:16" ht="36" x14ac:dyDescent="0.2">
      <c r="A2003" s="916" t="s">
        <v>6518</v>
      </c>
      <c r="B2003" s="898" t="s">
        <v>7021</v>
      </c>
      <c r="C2003" s="916" t="s">
        <v>4875</v>
      </c>
      <c r="D2003" s="898" t="s">
        <v>6990</v>
      </c>
      <c r="E2003" s="1144">
        <v>1100</v>
      </c>
      <c r="F2003" s="898" t="s">
        <v>7040</v>
      </c>
      <c r="G2003" s="898" t="s">
        <v>7041</v>
      </c>
      <c r="H2003" s="898" t="s">
        <v>7008</v>
      </c>
      <c r="I2003" s="943" t="s">
        <v>6937</v>
      </c>
      <c r="J2003" s="943" t="s">
        <v>3650</v>
      </c>
      <c r="K2003" s="944" t="s">
        <v>3683</v>
      </c>
      <c r="L2003" s="1249" t="s">
        <v>3683</v>
      </c>
      <c r="M2003" s="899">
        <f t="shared" si="76"/>
        <v>7700</v>
      </c>
      <c r="N2003" s="1249" t="s">
        <v>430</v>
      </c>
      <c r="O2003" s="1249" t="s">
        <v>430</v>
      </c>
      <c r="P2003" s="899">
        <f t="shared" si="77"/>
        <v>7700</v>
      </c>
    </row>
    <row r="2004" spans="1:16" ht="36" x14ac:dyDescent="0.2">
      <c r="A2004" s="916" t="s">
        <v>6518</v>
      </c>
      <c r="B2004" s="898" t="s">
        <v>7021</v>
      </c>
      <c r="C2004" s="916" t="s">
        <v>4875</v>
      </c>
      <c r="D2004" s="898" t="s">
        <v>6990</v>
      </c>
      <c r="E2004" s="1144">
        <v>1100</v>
      </c>
      <c r="F2004" s="898" t="s">
        <v>7022</v>
      </c>
      <c r="G2004" s="898" t="s">
        <v>7023</v>
      </c>
      <c r="H2004" s="898" t="s">
        <v>7008</v>
      </c>
      <c r="I2004" s="943" t="s">
        <v>6937</v>
      </c>
      <c r="J2004" s="943" t="s">
        <v>3650</v>
      </c>
      <c r="K2004" s="944" t="s">
        <v>3683</v>
      </c>
      <c r="L2004" s="1249" t="s">
        <v>3683</v>
      </c>
      <c r="M2004" s="899">
        <f t="shared" si="76"/>
        <v>7700</v>
      </c>
      <c r="N2004" s="1249" t="s">
        <v>430</v>
      </c>
      <c r="O2004" s="1249" t="s">
        <v>430</v>
      </c>
      <c r="P2004" s="899">
        <f t="shared" si="77"/>
        <v>7700</v>
      </c>
    </row>
    <row r="2005" spans="1:16" ht="36" x14ac:dyDescent="0.2">
      <c r="A2005" s="916" t="s">
        <v>6518</v>
      </c>
      <c r="B2005" s="898" t="s">
        <v>7021</v>
      </c>
      <c r="C2005" s="916" t="s">
        <v>4875</v>
      </c>
      <c r="D2005" s="898" t="s">
        <v>6990</v>
      </c>
      <c r="E2005" s="1144">
        <v>1100</v>
      </c>
      <c r="F2005" s="898" t="s">
        <v>6774</v>
      </c>
      <c r="G2005" s="898" t="s">
        <v>6775</v>
      </c>
      <c r="H2005" s="898" t="s">
        <v>7008</v>
      </c>
      <c r="I2005" s="943" t="s">
        <v>6937</v>
      </c>
      <c r="J2005" s="943" t="s">
        <v>3650</v>
      </c>
      <c r="K2005" s="944" t="s">
        <v>429</v>
      </c>
      <c r="L2005" s="1249" t="s">
        <v>429</v>
      </c>
      <c r="M2005" s="899">
        <f t="shared" si="76"/>
        <v>1100</v>
      </c>
      <c r="N2005" s="1249"/>
      <c r="O2005" s="1249"/>
      <c r="P2005" s="899">
        <f t="shared" si="77"/>
        <v>1100</v>
      </c>
    </row>
    <row r="2006" spans="1:16" ht="36" x14ac:dyDescent="0.2">
      <c r="A2006" s="916" t="s">
        <v>6518</v>
      </c>
      <c r="B2006" s="898" t="s">
        <v>7021</v>
      </c>
      <c r="C2006" s="916" t="s">
        <v>4875</v>
      </c>
      <c r="D2006" s="898" t="s">
        <v>6990</v>
      </c>
      <c r="E2006" s="1144">
        <v>1100</v>
      </c>
      <c r="F2006" s="898" t="s">
        <v>7024</v>
      </c>
      <c r="G2006" s="898" t="s">
        <v>7025</v>
      </c>
      <c r="H2006" s="898" t="s">
        <v>7008</v>
      </c>
      <c r="I2006" s="943" t="s">
        <v>6937</v>
      </c>
      <c r="J2006" s="943" t="s">
        <v>3650</v>
      </c>
      <c r="K2006" s="944" t="s">
        <v>3683</v>
      </c>
      <c r="L2006" s="1249" t="s">
        <v>3683</v>
      </c>
      <c r="M2006" s="899">
        <f t="shared" si="76"/>
        <v>7700</v>
      </c>
      <c r="N2006" s="1249" t="s">
        <v>430</v>
      </c>
      <c r="O2006" s="1249" t="s">
        <v>430</v>
      </c>
      <c r="P2006" s="899">
        <f t="shared" si="77"/>
        <v>7700</v>
      </c>
    </row>
    <row r="2007" spans="1:16" ht="36" x14ac:dyDescent="0.2">
      <c r="A2007" s="916" t="s">
        <v>6518</v>
      </c>
      <c r="B2007" s="898" t="s">
        <v>7021</v>
      </c>
      <c r="C2007" s="916" t="s">
        <v>4875</v>
      </c>
      <c r="D2007" s="898" t="s">
        <v>6990</v>
      </c>
      <c r="E2007" s="1144">
        <v>1100</v>
      </c>
      <c r="F2007" s="898" t="s">
        <v>7032</v>
      </c>
      <c r="G2007" s="898" t="s">
        <v>7033</v>
      </c>
      <c r="H2007" s="898" t="s">
        <v>7008</v>
      </c>
      <c r="I2007" s="943" t="s">
        <v>6937</v>
      </c>
      <c r="J2007" s="943" t="s">
        <v>3650</v>
      </c>
      <c r="K2007" s="944" t="s">
        <v>3683</v>
      </c>
      <c r="L2007" s="1249" t="s">
        <v>3683</v>
      </c>
      <c r="M2007" s="899">
        <f t="shared" si="76"/>
        <v>7700</v>
      </c>
      <c r="N2007" s="1249" t="s">
        <v>430</v>
      </c>
      <c r="O2007" s="1249" t="s">
        <v>430</v>
      </c>
      <c r="P2007" s="899">
        <f t="shared" si="77"/>
        <v>7700</v>
      </c>
    </row>
    <row r="2008" spans="1:16" ht="36" x14ac:dyDescent="0.2">
      <c r="A2008" s="916" t="s">
        <v>6518</v>
      </c>
      <c r="B2008" s="898" t="s">
        <v>7021</v>
      </c>
      <c r="C2008" s="916" t="s">
        <v>4875</v>
      </c>
      <c r="D2008" s="898" t="s">
        <v>6990</v>
      </c>
      <c r="E2008" s="1144">
        <v>1100</v>
      </c>
      <c r="F2008" s="898" t="s">
        <v>7034</v>
      </c>
      <c r="G2008" s="898" t="s">
        <v>7035</v>
      </c>
      <c r="H2008" s="898" t="s">
        <v>7008</v>
      </c>
      <c r="I2008" s="943" t="s">
        <v>6937</v>
      </c>
      <c r="J2008" s="943" t="s">
        <v>3650</v>
      </c>
      <c r="K2008" s="944" t="s">
        <v>3683</v>
      </c>
      <c r="L2008" s="1249" t="s">
        <v>3683</v>
      </c>
      <c r="M2008" s="899">
        <f t="shared" si="76"/>
        <v>7700</v>
      </c>
      <c r="N2008" s="1249" t="s">
        <v>3672</v>
      </c>
      <c r="O2008" s="1249" t="s">
        <v>3672</v>
      </c>
      <c r="P2008" s="899">
        <f t="shared" si="77"/>
        <v>7700</v>
      </c>
    </row>
    <row r="2009" spans="1:16" ht="36" x14ac:dyDescent="0.2">
      <c r="A2009" s="916" t="s">
        <v>6518</v>
      </c>
      <c r="B2009" s="898" t="s">
        <v>7021</v>
      </c>
      <c r="C2009" s="916" t="s">
        <v>4875</v>
      </c>
      <c r="D2009" s="898" t="s">
        <v>6990</v>
      </c>
      <c r="E2009" s="1144">
        <v>1100</v>
      </c>
      <c r="F2009" s="898" t="s">
        <v>7030</v>
      </c>
      <c r="G2009" s="898" t="s">
        <v>7031</v>
      </c>
      <c r="H2009" s="898" t="s">
        <v>7008</v>
      </c>
      <c r="I2009" s="943" t="s">
        <v>6937</v>
      </c>
      <c r="J2009" s="943" t="s">
        <v>3650</v>
      </c>
      <c r="K2009" s="944" t="s">
        <v>3683</v>
      </c>
      <c r="L2009" s="1249" t="s">
        <v>3683</v>
      </c>
      <c r="M2009" s="899">
        <f t="shared" si="76"/>
        <v>7700</v>
      </c>
      <c r="N2009" s="1249" t="s">
        <v>430</v>
      </c>
      <c r="O2009" s="1249" t="s">
        <v>430</v>
      </c>
      <c r="P2009" s="899">
        <f t="shared" si="77"/>
        <v>7700</v>
      </c>
    </row>
    <row r="2010" spans="1:16" ht="36" x14ac:dyDescent="0.2">
      <c r="A2010" s="916" t="s">
        <v>6518</v>
      </c>
      <c r="B2010" s="898" t="s">
        <v>7021</v>
      </c>
      <c r="C2010" s="916" t="s">
        <v>4875</v>
      </c>
      <c r="D2010" s="898" t="s">
        <v>6990</v>
      </c>
      <c r="E2010" s="1144">
        <v>1100</v>
      </c>
      <c r="F2010" s="898" t="s">
        <v>7036</v>
      </c>
      <c r="G2010" s="898" t="s">
        <v>7037</v>
      </c>
      <c r="H2010" s="898" t="s">
        <v>7008</v>
      </c>
      <c r="I2010" s="943" t="s">
        <v>6937</v>
      </c>
      <c r="J2010" s="943" t="s">
        <v>3650</v>
      </c>
      <c r="K2010" s="944" t="s">
        <v>3683</v>
      </c>
      <c r="L2010" s="1249" t="s">
        <v>3683</v>
      </c>
      <c r="M2010" s="899">
        <f t="shared" si="76"/>
        <v>7700</v>
      </c>
      <c r="N2010" s="1249" t="s">
        <v>430</v>
      </c>
      <c r="O2010" s="1249" t="s">
        <v>430</v>
      </c>
      <c r="P2010" s="899">
        <f t="shared" si="77"/>
        <v>7700</v>
      </c>
    </row>
    <row r="2011" spans="1:16" ht="36" x14ac:dyDescent="0.2">
      <c r="A2011" s="916" t="s">
        <v>6518</v>
      </c>
      <c r="B2011" s="898" t="s">
        <v>7021</v>
      </c>
      <c r="C2011" s="916" t="s">
        <v>4875</v>
      </c>
      <c r="D2011" s="898" t="s">
        <v>6990</v>
      </c>
      <c r="E2011" s="1144">
        <v>1100</v>
      </c>
      <c r="F2011" s="898" t="s">
        <v>7038</v>
      </c>
      <c r="G2011" s="898" t="s">
        <v>7039</v>
      </c>
      <c r="H2011" s="898" t="s">
        <v>7008</v>
      </c>
      <c r="I2011" s="943" t="s">
        <v>6937</v>
      </c>
      <c r="J2011" s="943" t="s">
        <v>3650</v>
      </c>
      <c r="K2011" s="944" t="s">
        <v>3683</v>
      </c>
      <c r="L2011" s="1249" t="s">
        <v>3683</v>
      </c>
      <c r="M2011" s="899">
        <f t="shared" si="76"/>
        <v>7700</v>
      </c>
      <c r="N2011" s="1249" t="s">
        <v>430</v>
      </c>
      <c r="O2011" s="1249" t="s">
        <v>430</v>
      </c>
      <c r="P2011" s="899">
        <f t="shared" si="77"/>
        <v>7700</v>
      </c>
    </row>
    <row r="2012" spans="1:16" ht="36" x14ac:dyDescent="0.2">
      <c r="A2012" s="916" t="s">
        <v>6518</v>
      </c>
      <c r="B2012" s="898" t="s">
        <v>7021</v>
      </c>
      <c r="C2012" s="916" t="s">
        <v>4875</v>
      </c>
      <c r="D2012" s="898" t="s">
        <v>6990</v>
      </c>
      <c r="E2012" s="1144">
        <v>1100</v>
      </c>
      <c r="F2012" s="898" t="s">
        <v>7026</v>
      </c>
      <c r="G2012" s="898" t="s">
        <v>7027</v>
      </c>
      <c r="H2012" s="898" t="s">
        <v>7008</v>
      </c>
      <c r="I2012" s="943" t="s">
        <v>6937</v>
      </c>
      <c r="J2012" s="943" t="s">
        <v>3650</v>
      </c>
      <c r="K2012" s="944" t="s">
        <v>3683</v>
      </c>
      <c r="L2012" s="1249" t="s">
        <v>3683</v>
      </c>
      <c r="M2012" s="899">
        <f t="shared" si="76"/>
        <v>7700</v>
      </c>
      <c r="N2012" s="1249" t="s">
        <v>430</v>
      </c>
      <c r="O2012" s="1249" t="s">
        <v>430</v>
      </c>
      <c r="P2012" s="899">
        <f t="shared" si="77"/>
        <v>7700</v>
      </c>
    </row>
    <row r="2013" spans="1:16" ht="36" x14ac:dyDescent="0.2">
      <c r="A2013" s="916" t="s">
        <v>6518</v>
      </c>
      <c r="B2013" s="898" t="s">
        <v>7021</v>
      </c>
      <c r="C2013" s="916" t="s">
        <v>4875</v>
      </c>
      <c r="D2013" s="898" t="s">
        <v>6990</v>
      </c>
      <c r="E2013" s="1144">
        <v>1100</v>
      </c>
      <c r="F2013" s="898" t="s">
        <v>7028</v>
      </c>
      <c r="G2013" s="898" t="s">
        <v>7029</v>
      </c>
      <c r="H2013" s="898" t="s">
        <v>7008</v>
      </c>
      <c r="I2013" s="943" t="s">
        <v>6937</v>
      </c>
      <c r="J2013" s="943" t="s">
        <v>3650</v>
      </c>
      <c r="K2013" s="944" t="s">
        <v>430</v>
      </c>
      <c r="L2013" s="1249" t="s">
        <v>430</v>
      </c>
      <c r="M2013" s="899">
        <f t="shared" si="76"/>
        <v>6600</v>
      </c>
      <c r="N2013" s="1249" t="s">
        <v>430</v>
      </c>
      <c r="O2013" s="1249" t="s">
        <v>430</v>
      </c>
      <c r="P2013" s="899">
        <f t="shared" si="77"/>
        <v>6600</v>
      </c>
    </row>
    <row r="2014" spans="1:16" ht="36" x14ac:dyDescent="0.2">
      <c r="A2014" s="916" t="s">
        <v>6518</v>
      </c>
      <c r="B2014" s="898" t="s">
        <v>7021</v>
      </c>
      <c r="C2014" s="916" t="s">
        <v>4875</v>
      </c>
      <c r="D2014" s="898" t="s">
        <v>6990</v>
      </c>
      <c r="E2014" s="1144">
        <v>1100</v>
      </c>
      <c r="F2014" s="898" t="s">
        <v>7042</v>
      </c>
      <c r="G2014" s="898" t="s">
        <v>7043</v>
      </c>
      <c r="H2014" s="898" t="s">
        <v>7008</v>
      </c>
      <c r="I2014" s="943" t="s">
        <v>6937</v>
      </c>
      <c r="J2014" s="943" t="s">
        <v>3650</v>
      </c>
      <c r="K2014" s="944" t="s">
        <v>430</v>
      </c>
      <c r="L2014" s="1249" t="s">
        <v>430</v>
      </c>
      <c r="M2014" s="899">
        <f t="shared" si="76"/>
        <v>6600</v>
      </c>
      <c r="N2014" s="1249" t="s">
        <v>430</v>
      </c>
      <c r="O2014" s="1249" t="s">
        <v>430</v>
      </c>
      <c r="P2014" s="899">
        <f t="shared" si="77"/>
        <v>6600</v>
      </c>
    </row>
    <row r="2015" spans="1:16" ht="36" x14ac:dyDescent="0.2">
      <c r="A2015" s="916" t="s">
        <v>6518</v>
      </c>
      <c r="B2015" s="898" t="s">
        <v>7021</v>
      </c>
      <c r="C2015" s="916" t="s">
        <v>4875</v>
      </c>
      <c r="D2015" s="898" t="s">
        <v>6990</v>
      </c>
      <c r="E2015" s="1144">
        <v>1100</v>
      </c>
      <c r="F2015" s="898" t="s">
        <v>7046</v>
      </c>
      <c r="G2015" s="898" t="s">
        <v>7047</v>
      </c>
      <c r="H2015" s="898" t="s">
        <v>7008</v>
      </c>
      <c r="I2015" s="943" t="s">
        <v>6937</v>
      </c>
      <c r="J2015" s="943" t="s">
        <v>3650</v>
      </c>
      <c r="K2015" s="944" t="s">
        <v>429</v>
      </c>
      <c r="L2015" s="1249" t="s">
        <v>429</v>
      </c>
      <c r="M2015" s="899">
        <f t="shared" si="76"/>
        <v>1100</v>
      </c>
      <c r="N2015" s="1249" t="s">
        <v>429</v>
      </c>
      <c r="O2015" s="1249" t="s">
        <v>429</v>
      </c>
      <c r="P2015" s="899">
        <f t="shared" si="77"/>
        <v>1100</v>
      </c>
    </row>
    <row r="2016" spans="1:16" ht="36" x14ac:dyDescent="0.2">
      <c r="A2016" s="916" t="s">
        <v>6518</v>
      </c>
      <c r="B2016" s="898" t="s">
        <v>7021</v>
      </c>
      <c r="C2016" s="916" t="s">
        <v>4875</v>
      </c>
      <c r="D2016" s="898" t="s">
        <v>6990</v>
      </c>
      <c r="E2016" s="1144">
        <v>930</v>
      </c>
      <c r="F2016" s="898" t="s">
        <v>7048</v>
      </c>
      <c r="G2016" s="898" t="s">
        <v>7049</v>
      </c>
      <c r="H2016" s="898" t="s">
        <v>7008</v>
      </c>
      <c r="I2016" s="943" t="s">
        <v>6937</v>
      </c>
      <c r="J2016" s="943" t="s">
        <v>3650</v>
      </c>
      <c r="K2016" s="944" t="s">
        <v>3824</v>
      </c>
      <c r="L2016" s="1249" t="s">
        <v>3824</v>
      </c>
      <c r="M2016" s="899">
        <f t="shared" si="76"/>
        <v>0</v>
      </c>
      <c r="N2016" s="1249" t="s">
        <v>3601</v>
      </c>
      <c r="O2016" s="1249" t="s">
        <v>3601</v>
      </c>
      <c r="P2016" s="899">
        <f t="shared" si="77"/>
        <v>0</v>
      </c>
    </row>
    <row r="2017" spans="1:16" ht="36" x14ac:dyDescent="0.2">
      <c r="A2017" s="916" t="s">
        <v>6518</v>
      </c>
      <c r="B2017" s="898" t="s">
        <v>7021</v>
      </c>
      <c r="C2017" s="916" t="s">
        <v>4875</v>
      </c>
      <c r="D2017" s="898" t="s">
        <v>6984</v>
      </c>
      <c r="E2017" s="1144">
        <v>5000</v>
      </c>
      <c r="F2017" s="898" t="s">
        <v>5890</v>
      </c>
      <c r="G2017" s="898" t="s">
        <v>5891</v>
      </c>
      <c r="H2017" s="898" t="s">
        <v>5077</v>
      </c>
      <c r="I2017" s="943" t="s">
        <v>6933</v>
      </c>
      <c r="J2017" s="943" t="s">
        <v>4004</v>
      </c>
      <c r="K2017" s="944" t="s">
        <v>3824</v>
      </c>
      <c r="L2017" s="1249" t="s">
        <v>3824</v>
      </c>
      <c r="M2017" s="899">
        <f t="shared" si="76"/>
        <v>0</v>
      </c>
      <c r="N2017" s="1249" t="s">
        <v>3672</v>
      </c>
      <c r="O2017" s="1249" t="s">
        <v>3672</v>
      </c>
      <c r="P2017" s="899">
        <f t="shared" si="77"/>
        <v>0</v>
      </c>
    </row>
    <row r="2018" spans="1:16" x14ac:dyDescent="0.2">
      <c r="A2018" s="916"/>
      <c r="B2018" s="898"/>
      <c r="C2018" s="916"/>
      <c r="D2018" s="898"/>
      <c r="E2018" s="1144"/>
      <c r="F2018" s="898"/>
      <c r="G2018" s="898"/>
      <c r="H2018" s="898"/>
      <c r="I2018" s="943"/>
      <c r="J2018" s="943"/>
      <c r="K2018" s="944"/>
      <c r="L2018" s="1249"/>
      <c r="M2018" s="899"/>
      <c r="N2018" s="1249"/>
      <c r="O2018" s="1249"/>
      <c r="P2018" s="899"/>
    </row>
    <row r="2019" spans="1:16" x14ac:dyDescent="0.2">
      <c r="A2019" s="1545" t="s">
        <v>3485</v>
      </c>
      <c r="B2019" s="1545"/>
      <c r="C2019" s="1545"/>
      <c r="D2019" s="1276"/>
      <c r="E2019" s="1277">
        <f>SUM(E1927:E2018)</f>
        <v>147213</v>
      </c>
      <c r="F2019" s="1247"/>
      <c r="G2019" s="898"/>
      <c r="H2019" s="898"/>
      <c r="I2019" s="943"/>
      <c r="J2019" s="943"/>
      <c r="K2019" s="944"/>
      <c r="L2019" s="1249"/>
      <c r="M2019" s="899">
        <f>SUM(M1927:M2018)</f>
        <v>363573</v>
      </c>
      <c r="N2019" s="1249"/>
      <c r="O2019" s="1249"/>
      <c r="P2019" s="899">
        <f>SUM(P1927:P2018)</f>
        <v>363573</v>
      </c>
    </row>
    <row r="2020" spans="1:16" x14ac:dyDescent="0.2">
      <c r="A2020" s="1231"/>
      <c r="B2020" s="1230"/>
      <c r="C2020" s="1237" t="s">
        <v>169</v>
      </c>
      <c r="D2020" s="1236"/>
      <c r="E2020" s="1238">
        <f>+E1925+E2019</f>
        <v>485753</v>
      </c>
      <c r="F2020" s="1230"/>
      <c r="G2020" s="1230"/>
      <c r="H2020" s="1230"/>
      <c r="I2020" s="1233"/>
      <c r="J2020" s="1233"/>
      <c r="K2020" s="1368"/>
      <c r="L2020" s="1234"/>
      <c r="M2020" s="1235">
        <f>M1925+M2019</f>
        <v>363573</v>
      </c>
      <c r="N2020" s="1230"/>
      <c r="O2020" s="1230"/>
      <c r="P2020" s="1235">
        <f>P2019+M2020</f>
        <v>727146</v>
      </c>
    </row>
    <row r="2021" spans="1:16" x14ac:dyDescent="0.2">
      <c r="A2021" s="63"/>
      <c r="C2021" s="63"/>
      <c r="E2021" s="63"/>
      <c r="I2021" s="63"/>
      <c r="J2021" s="63"/>
      <c r="L2021" s="63"/>
      <c r="M2021" s="63"/>
      <c r="P2021" s="63"/>
    </row>
    <row r="2022" spans="1:16" x14ac:dyDescent="0.2">
      <c r="A2022" s="63"/>
      <c r="C2022" s="63"/>
      <c r="E2022" s="63"/>
      <c r="I2022" s="63"/>
      <c r="J2022" s="63"/>
      <c r="L2022" s="63"/>
      <c r="M2022" s="63"/>
      <c r="P2022" s="63"/>
    </row>
    <row r="2023" spans="1:16" x14ac:dyDescent="0.2">
      <c r="A2023" s="1546" t="s">
        <v>7050</v>
      </c>
      <c r="B2023" s="1546"/>
      <c r="C2023" s="1546"/>
      <c r="D2023" s="1546"/>
      <c r="E2023" s="1546"/>
      <c r="F2023" s="1230"/>
      <c r="G2023" s="1230"/>
      <c r="H2023" s="1230"/>
      <c r="I2023" s="1233"/>
      <c r="J2023" s="1233"/>
      <c r="K2023" s="1368"/>
      <c r="L2023" s="1234"/>
      <c r="M2023" s="1235"/>
      <c r="N2023" s="1230"/>
      <c r="O2023" s="1230"/>
      <c r="P2023" s="1235"/>
    </row>
    <row r="2024" spans="1:16" x14ac:dyDescent="0.2">
      <c r="A2024" s="1543" t="s">
        <v>3075</v>
      </c>
      <c r="B2024" s="1543"/>
      <c r="C2024" s="1543"/>
      <c r="D2024" s="1543"/>
      <c r="E2024" s="1543"/>
      <c r="F2024" s="1543" t="s">
        <v>3076</v>
      </c>
      <c r="G2024" s="1543"/>
      <c r="H2024" s="1543"/>
      <c r="I2024" s="1543"/>
      <c r="J2024" s="1543"/>
      <c r="K2024" s="1544" t="s">
        <v>3077</v>
      </c>
      <c r="L2024" s="1544"/>
      <c r="M2024" s="1544"/>
      <c r="N2024" s="1544" t="s">
        <v>3078</v>
      </c>
      <c r="O2024" s="1544"/>
      <c r="P2024" s="1544"/>
    </row>
    <row r="2025" spans="1:16" ht="90" customHeight="1" x14ac:dyDescent="0.2">
      <c r="A2025" s="1237" t="s">
        <v>2829</v>
      </c>
      <c r="B2025" s="1239" t="s">
        <v>3079</v>
      </c>
      <c r="C2025" s="1237" t="s">
        <v>3080</v>
      </c>
      <c r="D2025" s="1239" t="s">
        <v>3081</v>
      </c>
      <c r="E2025" s="1240" t="s">
        <v>3082</v>
      </c>
      <c r="F2025" s="1239" t="s">
        <v>3083</v>
      </c>
      <c r="G2025" s="1239" t="s">
        <v>3084</v>
      </c>
      <c r="H2025" s="1239" t="s">
        <v>3085</v>
      </c>
      <c r="I2025" s="1239" t="s">
        <v>3086</v>
      </c>
      <c r="J2025" s="1239" t="s">
        <v>3087</v>
      </c>
      <c r="K2025" s="1369" t="s">
        <v>3088</v>
      </c>
      <c r="L2025" s="1241" t="s">
        <v>3089</v>
      </c>
      <c r="M2025" s="1242" t="s">
        <v>3090</v>
      </c>
      <c r="N2025" s="1241" t="s">
        <v>3088</v>
      </c>
      <c r="O2025" s="1241" t="s">
        <v>3089</v>
      </c>
      <c r="P2025" s="1242" t="s">
        <v>3090</v>
      </c>
    </row>
    <row r="2026" spans="1:16" x14ac:dyDescent="0.2">
      <c r="A2026" s="1248">
        <v>2020</v>
      </c>
      <c r="B2026" s="1247"/>
      <c r="C2026" s="1248"/>
      <c r="D2026" s="1247"/>
      <c r="E2026" s="1278"/>
      <c r="F2026" s="1248"/>
      <c r="G2026" s="1247"/>
      <c r="H2026" s="1247"/>
      <c r="I2026" s="1247"/>
      <c r="J2026" s="1247"/>
      <c r="K2026" s="1377"/>
      <c r="L2026" s="1279"/>
      <c r="M2026" s="1280"/>
      <c r="N2026" s="1279"/>
      <c r="O2026" s="1279"/>
      <c r="P2026" s="1280"/>
    </row>
    <row r="2027" spans="1:16" ht="36" x14ac:dyDescent="0.2">
      <c r="A2027" s="916" t="s">
        <v>7051</v>
      </c>
      <c r="B2027" s="898" t="s">
        <v>4291</v>
      </c>
      <c r="C2027" s="916" t="s">
        <v>398</v>
      </c>
      <c r="D2027" s="898" t="s">
        <v>5040</v>
      </c>
      <c r="E2027" s="1281">
        <v>930</v>
      </c>
      <c r="F2027" s="916" t="s">
        <v>7052</v>
      </c>
      <c r="G2027" s="1282" t="s">
        <v>7053</v>
      </c>
      <c r="H2027" s="1282" t="s">
        <v>7054</v>
      </c>
      <c r="I2027" s="1283" t="s">
        <v>7055</v>
      </c>
      <c r="J2027" s="943"/>
      <c r="K2027" s="1378">
        <v>354</v>
      </c>
      <c r="L2027" s="1284">
        <v>12</v>
      </c>
      <c r="M2027" s="1285">
        <v>930</v>
      </c>
      <c r="N2027" s="1249"/>
      <c r="O2027" s="1249"/>
      <c r="P2027" s="899"/>
    </row>
    <row r="2028" spans="1:16" ht="36" x14ac:dyDescent="0.2">
      <c r="A2028" s="916" t="s">
        <v>7051</v>
      </c>
      <c r="B2028" s="898" t="s">
        <v>4291</v>
      </c>
      <c r="C2028" s="916" t="s">
        <v>398</v>
      </c>
      <c r="D2028" s="898" t="s">
        <v>5040</v>
      </c>
      <c r="E2028" s="1286">
        <v>930</v>
      </c>
      <c r="F2028" s="916" t="s">
        <v>7056</v>
      </c>
      <c r="G2028" s="898" t="s">
        <v>7057</v>
      </c>
      <c r="H2028" s="1287" t="s">
        <v>7054</v>
      </c>
      <c r="I2028" s="1288" t="s">
        <v>7055</v>
      </c>
      <c r="J2028" s="943"/>
      <c r="K2028" s="1378">
        <v>339</v>
      </c>
      <c r="L2028" s="1284">
        <v>12</v>
      </c>
      <c r="M2028" s="1289">
        <v>930</v>
      </c>
      <c r="N2028" s="1249"/>
      <c r="O2028" s="1249"/>
      <c r="P2028" s="899"/>
    </row>
    <row r="2029" spans="1:16" ht="36" x14ac:dyDescent="0.2">
      <c r="A2029" s="916" t="s">
        <v>7051</v>
      </c>
      <c r="B2029" s="898" t="s">
        <v>4291</v>
      </c>
      <c r="C2029" s="916" t="s">
        <v>398</v>
      </c>
      <c r="D2029" s="898" t="s">
        <v>5040</v>
      </c>
      <c r="E2029" s="1281">
        <v>930</v>
      </c>
      <c r="F2029" s="916" t="s">
        <v>7058</v>
      </c>
      <c r="G2029" s="898" t="s">
        <v>7059</v>
      </c>
      <c r="H2029" s="1282" t="s">
        <v>7054</v>
      </c>
      <c r="I2029" s="1283" t="s">
        <v>7055</v>
      </c>
      <c r="J2029" s="943"/>
      <c r="K2029" s="1378">
        <v>344</v>
      </c>
      <c r="L2029" s="1284">
        <v>12</v>
      </c>
      <c r="M2029" s="1285">
        <v>930</v>
      </c>
      <c r="N2029" s="1249"/>
      <c r="O2029" s="1249"/>
      <c r="P2029" s="899"/>
    </row>
    <row r="2030" spans="1:16" ht="36" x14ac:dyDescent="0.2">
      <c r="A2030" s="916" t="s">
        <v>7051</v>
      </c>
      <c r="B2030" s="898" t="s">
        <v>4291</v>
      </c>
      <c r="C2030" s="916" t="s">
        <v>398</v>
      </c>
      <c r="D2030" s="898" t="s">
        <v>578</v>
      </c>
      <c r="E2030" s="1286">
        <v>1800</v>
      </c>
      <c r="F2030" s="916" t="s">
        <v>7060</v>
      </c>
      <c r="G2030" s="898" t="s">
        <v>7061</v>
      </c>
      <c r="H2030" s="1287" t="s">
        <v>3157</v>
      </c>
      <c r="I2030" s="1288" t="s">
        <v>7062</v>
      </c>
      <c r="J2030" s="943"/>
      <c r="K2030" s="1378">
        <v>353</v>
      </c>
      <c r="L2030" s="1284">
        <v>12</v>
      </c>
      <c r="M2030" s="1289">
        <v>1800</v>
      </c>
      <c r="N2030" s="1249"/>
      <c r="O2030" s="1249"/>
      <c r="P2030" s="899"/>
    </row>
    <row r="2031" spans="1:16" ht="36" x14ac:dyDescent="0.2">
      <c r="A2031" s="916" t="s">
        <v>7051</v>
      </c>
      <c r="B2031" s="898" t="s">
        <v>4291</v>
      </c>
      <c r="C2031" s="916" t="s">
        <v>398</v>
      </c>
      <c r="D2031" s="898" t="s">
        <v>5040</v>
      </c>
      <c r="E2031" s="1281">
        <v>930</v>
      </c>
      <c r="F2031" s="916" t="s">
        <v>7063</v>
      </c>
      <c r="G2031" s="898" t="s">
        <v>7064</v>
      </c>
      <c r="H2031" s="1282" t="s">
        <v>3187</v>
      </c>
      <c r="I2031" s="1283" t="s">
        <v>7055</v>
      </c>
      <c r="J2031" s="943"/>
      <c r="K2031" s="1378">
        <v>336</v>
      </c>
      <c r="L2031" s="1284">
        <v>12</v>
      </c>
      <c r="M2031" s="1285">
        <v>930</v>
      </c>
      <c r="N2031" s="1249"/>
      <c r="O2031" s="1249"/>
      <c r="P2031" s="899"/>
    </row>
    <row r="2032" spans="1:16" ht="36" x14ac:dyDescent="0.2">
      <c r="A2032" s="916" t="s">
        <v>7051</v>
      </c>
      <c r="B2032" s="898" t="s">
        <v>4291</v>
      </c>
      <c r="C2032" s="916" t="s">
        <v>398</v>
      </c>
      <c r="D2032" s="898" t="s">
        <v>578</v>
      </c>
      <c r="E2032" s="1286">
        <v>1200</v>
      </c>
      <c r="F2032" s="916" t="s">
        <v>7065</v>
      </c>
      <c r="G2032" s="898" t="s">
        <v>7066</v>
      </c>
      <c r="H2032" s="1287" t="s">
        <v>7067</v>
      </c>
      <c r="I2032" s="1288" t="s">
        <v>7055</v>
      </c>
      <c r="J2032" s="943"/>
      <c r="K2032" s="1378">
        <v>410</v>
      </c>
      <c r="L2032" s="1284">
        <v>12</v>
      </c>
      <c r="M2032" s="1289">
        <v>1200</v>
      </c>
      <c r="N2032" s="1249"/>
      <c r="O2032" s="1249"/>
      <c r="P2032" s="899"/>
    </row>
    <row r="2033" spans="1:16" ht="36" x14ac:dyDescent="0.2">
      <c r="A2033" s="916" t="s">
        <v>7051</v>
      </c>
      <c r="B2033" s="898" t="s">
        <v>4291</v>
      </c>
      <c r="C2033" s="916" t="s">
        <v>398</v>
      </c>
      <c r="D2033" s="898" t="s">
        <v>578</v>
      </c>
      <c r="E2033" s="1281">
        <v>1200</v>
      </c>
      <c r="F2033" s="916" t="s">
        <v>7068</v>
      </c>
      <c r="G2033" s="898" t="s">
        <v>7069</v>
      </c>
      <c r="H2033" s="1282" t="s">
        <v>3186</v>
      </c>
      <c r="I2033" s="1283" t="s">
        <v>7062</v>
      </c>
      <c r="J2033" s="943"/>
      <c r="K2033" s="1378">
        <v>363</v>
      </c>
      <c r="L2033" s="1284">
        <v>12</v>
      </c>
      <c r="M2033" s="1285">
        <v>1200</v>
      </c>
      <c r="N2033" s="1249"/>
      <c r="O2033" s="1249"/>
      <c r="P2033" s="899"/>
    </row>
    <row r="2034" spans="1:16" ht="36" x14ac:dyDescent="0.2">
      <c r="A2034" s="916" t="s">
        <v>7051</v>
      </c>
      <c r="B2034" s="898" t="s">
        <v>4291</v>
      </c>
      <c r="C2034" s="916" t="s">
        <v>398</v>
      </c>
      <c r="D2034" s="898" t="s">
        <v>578</v>
      </c>
      <c r="E2034" s="1286">
        <v>930</v>
      </c>
      <c r="F2034" s="916" t="s">
        <v>7070</v>
      </c>
      <c r="G2034" s="898" t="s">
        <v>7071</v>
      </c>
      <c r="H2034" s="1287" t="s">
        <v>7072</v>
      </c>
      <c r="I2034" s="1288" t="s">
        <v>7062</v>
      </c>
      <c r="J2034" s="943"/>
      <c r="K2034" s="1378">
        <v>324</v>
      </c>
      <c r="L2034" s="1284">
        <v>12</v>
      </c>
      <c r="M2034" s="1289">
        <v>930</v>
      </c>
      <c r="N2034" s="1249"/>
      <c r="O2034" s="1249"/>
      <c r="P2034" s="899"/>
    </row>
    <row r="2035" spans="1:16" ht="36" x14ac:dyDescent="0.2">
      <c r="A2035" s="916" t="s">
        <v>7051</v>
      </c>
      <c r="B2035" s="898" t="s">
        <v>4291</v>
      </c>
      <c r="C2035" s="916" t="s">
        <v>398</v>
      </c>
      <c r="D2035" s="898" t="s">
        <v>5040</v>
      </c>
      <c r="E2035" s="1281">
        <v>930</v>
      </c>
      <c r="F2035" s="916" t="s">
        <v>7073</v>
      </c>
      <c r="G2035" s="898" t="s">
        <v>7074</v>
      </c>
      <c r="H2035" s="1282" t="s">
        <v>7054</v>
      </c>
      <c r="I2035" s="1283" t="s">
        <v>7055</v>
      </c>
      <c r="J2035" s="943"/>
      <c r="K2035" s="1378">
        <v>327</v>
      </c>
      <c r="L2035" s="1284">
        <v>12</v>
      </c>
      <c r="M2035" s="1285">
        <v>930</v>
      </c>
      <c r="N2035" s="1249"/>
      <c r="O2035" s="1249"/>
      <c r="P2035" s="899"/>
    </row>
    <row r="2036" spans="1:16" ht="36" x14ac:dyDescent="0.2">
      <c r="A2036" s="916" t="s">
        <v>7051</v>
      </c>
      <c r="B2036" s="898" t="s">
        <v>4291</v>
      </c>
      <c r="C2036" s="916" t="s">
        <v>398</v>
      </c>
      <c r="D2036" s="898" t="s">
        <v>5040</v>
      </c>
      <c r="E2036" s="1281">
        <v>930</v>
      </c>
      <c r="F2036" s="916" t="s">
        <v>7075</v>
      </c>
      <c r="G2036" s="898" t="s">
        <v>7076</v>
      </c>
      <c r="H2036" s="1282" t="s">
        <v>7077</v>
      </c>
      <c r="I2036" s="1283" t="s">
        <v>7062</v>
      </c>
      <c r="J2036" s="943"/>
      <c r="K2036" s="1378">
        <v>457</v>
      </c>
      <c r="L2036" s="1284">
        <v>12</v>
      </c>
      <c r="M2036" s="1285">
        <v>930</v>
      </c>
      <c r="N2036" s="1249"/>
      <c r="O2036" s="1249"/>
      <c r="P2036" s="899"/>
    </row>
    <row r="2037" spans="1:16" ht="36" x14ac:dyDescent="0.2">
      <c r="A2037" s="916" t="s">
        <v>7051</v>
      </c>
      <c r="B2037" s="898" t="s">
        <v>4291</v>
      </c>
      <c r="C2037" s="916" t="s">
        <v>398</v>
      </c>
      <c r="D2037" s="898" t="s">
        <v>5040</v>
      </c>
      <c r="E2037" s="1286">
        <v>930</v>
      </c>
      <c r="F2037" s="916" t="s">
        <v>7078</v>
      </c>
      <c r="G2037" s="898" t="s">
        <v>7079</v>
      </c>
      <c r="H2037" s="1287" t="s">
        <v>7080</v>
      </c>
      <c r="I2037" s="1288" t="s">
        <v>7062</v>
      </c>
      <c r="J2037" s="943"/>
      <c r="K2037" s="1378">
        <v>408</v>
      </c>
      <c r="L2037" s="1284">
        <v>12</v>
      </c>
      <c r="M2037" s="1289">
        <v>930</v>
      </c>
      <c r="N2037" s="1249"/>
      <c r="O2037" s="1249"/>
      <c r="P2037" s="899"/>
    </row>
    <row r="2038" spans="1:16" ht="36" x14ac:dyDescent="0.2">
      <c r="A2038" s="916" t="s">
        <v>7051</v>
      </c>
      <c r="B2038" s="898" t="s">
        <v>4291</v>
      </c>
      <c r="C2038" s="916" t="s">
        <v>398</v>
      </c>
      <c r="D2038" s="898" t="s">
        <v>5040</v>
      </c>
      <c r="E2038" s="1281">
        <v>930</v>
      </c>
      <c r="F2038" s="916" t="s">
        <v>7081</v>
      </c>
      <c r="G2038" s="898" t="s">
        <v>7082</v>
      </c>
      <c r="H2038" s="1282" t="s">
        <v>7077</v>
      </c>
      <c r="I2038" s="1283" t="s">
        <v>7062</v>
      </c>
      <c r="J2038" s="943"/>
      <c r="K2038" s="1378">
        <v>433</v>
      </c>
      <c r="L2038" s="1284">
        <v>12</v>
      </c>
      <c r="M2038" s="1285">
        <v>930</v>
      </c>
      <c r="N2038" s="1249"/>
      <c r="O2038" s="1249"/>
      <c r="P2038" s="899"/>
    </row>
    <row r="2039" spans="1:16" ht="36" x14ac:dyDescent="0.2">
      <c r="A2039" s="916" t="s">
        <v>7051</v>
      </c>
      <c r="B2039" s="898" t="s">
        <v>4291</v>
      </c>
      <c r="C2039" s="916" t="s">
        <v>398</v>
      </c>
      <c r="D2039" s="898" t="s">
        <v>578</v>
      </c>
      <c r="E2039" s="1286">
        <v>930</v>
      </c>
      <c r="F2039" s="916" t="s">
        <v>7083</v>
      </c>
      <c r="G2039" s="898" t="s">
        <v>7084</v>
      </c>
      <c r="H2039" s="1287" t="s">
        <v>7072</v>
      </c>
      <c r="I2039" s="1288" t="s">
        <v>7062</v>
      </c>
      <c r="J2039" s="943"/>
      <c r="K2039" s="1378">
        <v>331</v>
      </c>
      <c r="L2039" s="1284">
        <v>12</v>
      </c>
      <c r="M2039" s="1289">
        <v>930</v>
      </c>
      <c r="N2039" s="1249"/>
      <c r="O2039" s="1249"/>
      <c r="P2039" s="899"/>
    </row>
    <row r="2040" spans="1:16" ht="36" x14ac:dyDescent="0.2">
      <c r="A2040" s="916" t="s">
        <v>7051</v>
      </c>
      <c r="B2040" s="898" t="s">
        <v>4291</v>
      </c>
      <c r="C2040" s="916" t="s">
        <v>398</v>
      </c>
      <c r="D2040" s="898" t="s">
        <v>5040</v>
      </c>
      <c r="E2040" s="1281">
        <v>1500</v>
      </c>
      <c r="F2040" s="916" t="s">
        <v>7085</v>
      </c>
      <c r="G2040" s="898" t="s">
        <v>7086</v>
      </c>
      <c r="H2040" s="1282" t="s">
        <v>7087</v>
      </c>
      <c r="I2040" s="1283" t="s">
        <v>7088</v>
      </c>
      <c r="J2040" s="943"/>
      <c r="K2040" s="1378">
        <v>348</v>
      </c>
      <c r="L2040" s="1284">
        <v>6</v>
      </c>
      <c r="M2040" s="1285">
        <v>1500</v>
      </c>
      <c r="N2040" s="1249"/>
      <c r="O2040" s="1249"/>
      <c r="P2040" s="899"/>
    </row>
    <row r="2041" spans="1:16" ht="36" x14ac:dyDescent="0.2">
      <c r="A2041" s="916" t="s">
        <v>7051</v>
      </c>
      <c r="B2041" s="898" t="s">
        <v>4291</v>
      </c>
      <c r="C2041" s="916" t="s">
        <v>398</v>
      </c>
      <c r="D2041" s="898" t="s">
        <v>5040</v>
      </c>
      <c r="E2041" s="1286">
        <v>930</v>
      </c>
      <c r="F2041" s="916" t="s">
        <v>7089</v>
      </c>
      <c r="G2041" s="898" t="s">
        <v>7090</v>
      </c>
      <c r="H2041" s="1287" t="s">
        <v>5095</v>
      </c>
      <c r="I2041" s="1288" t="s">
        <v>7055</v>
      </c>
      <c r="J2041" s="943"/>
      <c r="K2041" s="1378">
        <v>362</v>
      </c>
      <c r="L2041" s="1284">
        <v>12</v>
      </c>
      <c r="M2041" s="1289">
        <v>930</v>
      </c>
      <c r="N2041" s="1249"/>
      <c r="O2041" s="1249"/>
      <c r="P2041" s="899"/>
    </row>
    <row r="2042" spans="1:16" ht="36" x14ac:dyDescent="0.2">
      <c r="A2042" s="916" t="s">
        <v>7051</v>
      </c>
      <c r="B2042" s="898" t="s">
        <v>4291</v>
      </c>
      <c r="C2042" s="916" t="s">
        <v>398</v>
      </c>
      <c r="D2042" s="898" t="s">
        <v>578</v>
      </c>
      <c r="E2042" s="1281">
        <v>1500</v>
      </c>
      <c r="F2042" s="916" t="s">
        <v>7091</v>
      </c>
      <c r="G2042" s="898" t="s">
        <v>7092</v>
      </c>
      <c r="H2042" s="1282" t="s">
        <v>3157</v>
      </c>
      <c r="I2042" s="1283" t="s">
        <v>7062</v>
      </c>
      <c r="J2042" s="943"/>
      <c r="K2042" s="1378">
        <v>370</v>
      </c>
      <c r="L2042" s="1284">
        <v>12</v>
      </c>
      <c r="M2042" s="1285">
        <v>1500</v>
      </c>
      <c r="N2042" s="1249"/>
      <c r="O2042" s="1249"/>
      <c r="P2042" s="899"/>
    </row>
    <row r="2043" spans="1:16" ht="36" x14ac:dyDescent="0.2">
      <c r="A2043" s="916" t="s">
        <v>7051</v>
      </c>
      <c r="B2043" s="898" t="s">
        <v>4291</v>
      </c>
      <c r="C2043" s="916" t="s">
        <v>398</v>
      </c>
      <c r="D2043" s="898" t="s">
        <v>578</v>
      </c>
      <c r="E2043" s="1286">
        <v>930</v>
      </c>
      <c r="F2043" s="916" t="s">
        <v>7093</v>
      </c>
      <c r="G2043" s="898" t="s">
        <v>7094</v>
      </c>
      <c r="H2043" s="1287" t="s">
        <v>7072</v>
      </c>
      <c r="I2043" s="1288" t="s">
        <v>7062</v>
      </c>
      <c r="J2043" s="943"/>
      <c r="K2043" s="1378">
        <v>367</v>
      </c>
      <c r="L2043" s="1284">
        <v>12</v>
      </c>
      <c r="M2043" s="1289">
        <v>930</v>
      </c>
      <c r="N2043" s="1249"/>
      <c r="O2043" s="1249"/>
      <c r="P2043" s="899"/>
    </row>
    <row r="2044" spans="1:16" ht="36" x14ac:dyDescent="0.2">
      <c r="A2044" s="916" t="s">
        <v>7051</v>
      </c>
      <c r="B2044" s="898" t="s">
        <v>4291</v>
      </c>
      <c r="C2044" s="916" t="s">
        <v>398</v>
      </c>
      <c r="D2044" s="898" t="s">
        <v>5040</v>
      </c>
      <c r="E2044" s="1281">
        <v>930</v>
      </c>
      <c r="F2044" s="916" t="s">
        <v>7095</v>
      </c>
      <c r="G2044" s="898" t="s">
        <v>7096</v>
      </c>
      <c r="H2044" s="1282" t="s">
        <v>7054</v>
      </c>
      <c r="I2044" s="1283" t="s">
        <v>7055</v>
      </c>
      <c r="J2044" s="943"/>
      <c r="K2044" s="1378">
        <v>420</v>
      </c>
      <c r="L2044" s="1284">
        <v>12</v>
      </c>
      <c r="M2044" s="1285">
        <v>930</v>
      </c>
      <c r="N2044" s="1249"/>
      <c r="O2044" s="1249"/>
      <c r="P2044" s="899"/>
    </row>
    <row r="2045" spans="1:16" ht="36" x14ac:dyDescent="0.2">
      <c r="A2045" s="916" t="s">
        <v>7051</v>
      </c>
      <c r="B2045" s="898" t="s">
        <v>4291</v>
      </c>
      <c r="C2045" s="916" t="s">
        <v>398</v>
      </c>
      <c r="D2045" s="898" t="s">
        <v>578</v>
      </c>
      <c r="E2045" s="1286">
        <v>1200</v>
      </c>
      <c r="F2045" s="916" t="s">
        <v>7097</v>
      </c>
      <c r="G2045" s="898" t="s">
        <v>7098</v>
      </c>
      <c r="H2045" s="1287" t="s">
        <v>7072</v>
      </c>
      <c r="I2045" s="1288" t="s">
        <v>7062</v>
      </c>
      <c r="J2045" s="943"/>
      <c r="K2045" s="1378">
        <v>458</v>
      </c>
      <c r="L2045" s="1284">
        <v>12</v>
      </c>
      <c r="M2045" s="1289">
        <v>1200</v>
      </c>
      <c r="N2045" s="1249"/>
      <c r="O2045" s="1249"/>
      <c r="P2045" s="899"/>
    </row>
    <row r="2046" spans="1:16" ht="36" x14ac:dyDescent="0.2">
      <c r="A2046" s="916" t="s">
        <v>7051</v>
      </c>
      <c r="B2046" s="898" t="s">
        <v>4291</v>
      </c>
      <c r="C2046" s="916" t="s">
        <v>398</v>
      </c>
      <c r="D2046" s="898" t="s">
        <v>5040</v>
      </c>
      <c r="E2046" s="1281">
        <v>930</v>
      </c>
      <c r="F2046" s="916" t="s">
        <v>7099</v>
      </c>
      <c r="G2046" s="898" t="s">
        <v>7100</v>
      </c>
      <c r="H2046" s="1282" t="s">
        <v>3164</v>
      </c>
      <c r="I2046" s="1283" t="s">
        <v>7055</v>
      </c>
      <c r="J2046" s="943"/>
      <c r="K2046" s="1378">
        <v>380</v>
      </c>
      <c r="L2046" s="1284">
        <v>6</v>
      </c>
      <c r="M2046" s="1285">
        <v>930</v>
      </c>
      <c r="N2046" s="1249"/>
      <c r="O2046" s="1249"/>
      <c r="P2046" s="899"/>
    </row>
    <row r="2047" spans="1:16" ht="36" x14ac:dyDescent="0.2">
      <c r="A2047" s="916" t="s">
        <v>7051</v>
      </c>
      <c r="B2047" s="898" t="s">
        <v>4291</v>
      </c>
      <c r="C2047" s="916" t="s">
        <v>398</v>
      </c>
      <c r="D2047" s="898" t="s">
        <v>578</v>
      </c>
      <c r="E2047" s="1286">
        <v>930</v>
      </c>
      <c r="F2047" s="916" t="s">
        <v>7101</v>
      </c>
      <c r="G2047" s="898" t="s">
        <v>7102</v>
      </c>
      <c r="H2047" s="1287" t="s">
        <v>3186</v>
      </c>
      <c r="I2047" s="1288" t="s">
        <v>7062</v>
      </c>
      <c r="J2047" s="943"/>
      <c r="K2047" s="1378">
        <v>398</v>
      </c>
      <c r="L2047" s="1284">
        <v>12</v>
      </c>
      <c r="M2047" s="1289">
        <v>930</v>
      </c>
      <c r="N2047" s="1249"/>
      <c r="O2047" s="1249"/>
      <c r="P2047" s="899"/>
    </row>
    <row r="2048" spans="1:16" ht="36" x14ac:dyDescent="0.2">
      <c r="A2048" s="916" t="s">
        <v>7051</v>
      </c>
      <c r="B2048" s="898" t="s">
        <v>4291</v>
      </c>
      <c r="C2048" s="916" t="s">
        <v>398</v>
      </c>
      <c r="D2048" s="898" t="s">
        <v>5040</v>
      </c>
      <c r="E2048" s="1281">
        <v>930</v>
      </c>
      <c r="F2048" s="916" t="s">
        <v>7103</v>
      </c>
      <c r="G2048" s="898" t="s">
        <v>7104</v>
      </c>
      <c r="H2048" s="1282" t="s">
        <v>7054</v>
      </c>
      <c r="I2048" s="1283" t="s">
        <v>7055</v>
      </c>
      <c r="J2048" s="943"/>
      <c r="K2048" s="1378">
        <v>474</v>
      </c>
      <c r="L2048" s="1284">
        <v>12</v>
      </c>
      <c r="M2048" s="1285">
        <v>930</v>
      </c>
      <c r="N2048" s="1249"/>
      <c r="O2048" s="1249"/>
      <c r="P2048" s="899"/>
    </row>
    <row r="2049" spans="1:16" ht="36" x14ac:dyDescent="0.2">
      <c r="A2049" s="916" t="s">
        <v>7051</v>
      </c>
      <c r="B2049" s="898" t="s">
        <v>4291</v>
      </c>
      <c r="C2049" s="916" t="s">
        <v>398</v>
      </c>
      <c r="D2049" s="898" t="s">
        <v>578</v>
      </c>
      <c r="E2049" s="1286">
        <v>3000</v>
      </c>
      <c r="F2049" s="916" t="s">
        <v>7105</v>
      </c>
      <c r="G2049" s="898" t="s">
        <v>7106</v>
      </c>
      <c r="H2049" s="1287" t="s">
        <v>3168</v>
      </c>
      <c r="I2049" s="1288" t="s">
        <v>7107</v>
      </c>
      <c r="J2049" s="943"/>
      <c r="K2049" s="1378">
        <v>450</v>
      </c>
      <c r="L2049" s="1284">
        <v>12</v>
      </c>
      <c r="M2049" s="1289">
        <v>3000</v>
      </c>
      <c r="N2049" s="1249"/>
      <c r="O2049" s="1249"/>
      <c r="P2049" s="899"/>
    </row>
    <row r="2050" spans="1:16" ht="36" x14ac:dyDescent="0.2">
      <c r="A2050" s="916" t="s">
        <v>7051</v>
      </c>
      <c r="B2050" s="898" t="s">
        <v>4291</v>
      </c>
      <c r="C2050" s="916" t="s">
        <v>398</v>
      </c>
      <c r="D2050" s="898" t="s">
        <v>5040</v>
      </c>
      <c r="E2050" s="1281">
        <v>930</v>
      </c>
      <c r="F2050" s="916" t="s">
        <v>7108</v>
      </c>
      <c r="G2050" s="898" t="s">
        <v>7109</v>
      </c>
      <c r="H2050" s="1282" t="s">
        <v>7054</v>
      </c>
      <c r="I2050" s="1283" t="s">
        <v>7055</v>
      </c>
      <c r="J2050" s="943"/>
      <c r="K2050" s="1378">
        <v>325</v>
      </c>
      <c r="L2050" s="1284">
        <v>12</v>
      </c>
      <c r="M2050" s="1285">
        <v>930</v>
      </c>
      <c r="N2050" s="1249"/>
      <c r="O2050" s="1249"/>
      <c r="P2050" s="899"/>
    </row>
    <row r="2051" spans="1:16" ht="36" x14ac:dyDescent="0.2">
      <c r="A2051" s="916" t="s">
        <v>7051</v>
      </c>
      <c r="B2051" s="898" t="s">
        <v>4291</v>
      </c>
      <c r="C2051" s="916" t="s">
        <v>398</v>
      </c>
      <c r="D2051" s="898" t="s">
        <v>578</v>
      </c>
      <c r="E2051" s="1286">
        <v>930</v>
      </c>
      <c r="F2051" s="916" t="s">
        <v>7110</v>
      </c>
      <c r="G2051" s="898" t="s">
        <v>7111</v>
      </c>
      <c r="H2051" s="1287" t="s">
        <v>583</v>
      </c>
      <c r="I2051" s="1288" t="s">
        <v>7055</v>
      </c>
      <c r="J2051" s="943"/>
      <c r="K2051" s="1378">
        <v>441</v>
      </c>
      <c r="L2051" s="1284">
        <v>12</v>
      </c>
      <c r="M2051" s="1289">
        <v>930</v>
      </c>
      <c r="N2051" s="1249"/>
      <c r="O2051" s="1249"/>
      <c r="P2051" s="899"/>
    </row>
    <row r="2052" spans="1:16" ht="36" x14ac:dyDescent="0.2">
      <c r="A2052" s="916" t="s">
        <v>7051</v>
      </c>
      <c r="B2052" s="898" t="s">
        <v>4291</v>
      </c>
      <c r="C2052" s="916" t="s">
        <v>398</v>
      </c>
      <c r="D2052" s="898" t="s">
        <v>578</v>
      </c>
      <c r="E2052" s="1281">
        <v>1500</v>
      </c>
      <c r="F2052" s="916" t="s">
        <v>7112</v>
      </c>
      <c r="G2052" s="898" t="s">
        <v>7113</v>
      </c>
      <c r="H2052" s="1282" t="s">
        <v>3552</v>
      </c>
      <c r="I2052" s="1283" t="s">
        <v>7107</v>
      </c>
      <c r="J2052" s="943"/>
      <c r="K2052" s="1378">
        <v>351</v>
      </c>
      <c r="L2052" s="1284">
        <v>12</v>
      </c>
      <c r="M2052" s="1285">
        <v>1500</v>
      </c>
      <c r="N2052" s="1249"/>
      <c r="O2052" s="1249"/>
      <c r="P2052" s="899"/>
    </row>
    <row r="2053" spans="1:16" ht="36" x14ac:dyDescent="0.2">
      <c r="A2053" s="916" t="s">
        <v>7051</v>
      </c>
      <c r="B2053" s="898" t="s">
        <v>4291</v>
      </c>
      <c r="C2053" s="916" t="s">
        <v>398</v>
      </c>
      <c r="D2053" s="898" t="s">
        <v>5040</v>
      </c>
      <c r="E2053" s="1286">
        <v>930</v>
      </c>
      <c r="F2053" s="916" t="s">
        <v>7114</v>
      </c>
      <c r="G2053" s="898" t="s">
        <v>7115</v>
      </c>
      <c r="H2053" s="1287" t="s">
        <v>7077</v>
      </c>
      <c r="I2053" s="1288" t="s">
        <v>7062</v>
      </c>
      <c r="J2053" s="943"/>
      <c r="K2053" s="1378">
        <v>386</v>
      </c>
      <c r="L2053" s="1284">
        <v>12</v>
      </c>
      <c r="M2053" s="1289">
        <v>930</v>
      </c>
      <c r="N2053" s="1249"/>
      <c r="O2053" s="1249"/>
      <c r="P2053" s="899"/>
    </row>
    <row r="2054" spans="1:16" ht="36" x14ac:dyDescent="0.2">
      <c r="A2054" s="916" t="s">
        <v>7051</v>
      </c>
      <c r="B2054" s="898" t="s">
        <v>4291</v>
      </c>
      <c r="C2054" s="916" t="s">
        <v>398</v>
      </c>
      <c r="D2054" s="898" t="s">
        <v>578</v>
      </c>
      <c r="E2054" s="1281">
        <v>2500</v>
      </c>
      <c r="F2054" s="916" t="s">
        <v>7116</v>
      </c>
      <c r="G2054" s="898" t="s">
        <v>7117</v>
      </c>
      <c r="H2054" s="1282" t="s">
        <v>3552</v>
      </c>
      <c r="I2054" s="1283" t="s">
        <v>7107</v>
      </c>
      <c r="J2054" s="943"/>
      <c r="K2054" s="1378">
        <v>393</v>
      </c>
      <c r="L2054" s="1284">
        <v>12</v>
      </c>
      <c r="M2054" s="1285">
        <v>2500</v>
      </c>
      <c r="N2054" s="1249"/>
      <c r="O2054" s="1249"/>
      <c r="P2054" s="899"/>
    </row>
    <row r="2055" spans="1:16" ht="36" x14ac:dyDescent="0.2">
      <c r="A2055" s="916" t="s">
        <v>7051</v>
      </c>
      <c r="B2055" s="898" t="s">
        <v>4291</v>
      </c>
      <c r="C2055" s="916" t="s">
        <v>398</v>
      </c>
      <c r="D2055" s="898" t="s">
        <v>5040</v>
      </c>
      <c r="E2055" s="1286">
        <v>930</v>
      </c>
      <c r="F2055" s="916" t="s">
        <v>7118</v>
      </c>
      <c r="G2055" s="898" t="s">
        <v>7119</v>
      </c>
      <c r="H2055" s="1287" t="s">
        <v>7077</v>
      </c>
      <c r="I2055" s="1288" t="s">
        <v>7062</v>
      </c>
      <c r="J2055" s="943"/>
      <c r="K2055" s="1378">
        <v>342</v>
      </c>
      <c r="L2055" s="1284">
        <v>12</v>
      </c>
      <c r="M2055" s="1289">
        <v>930</v>
      </c>
      <c r="N2055" s="1249"/>
      <c r="O2055" s="1249"/>
      <c r="P2055" s="899"/>
    </row>
    <row r="2056" spans="1:16" ht="36" x14ac:dyDescent="0.2">
      <c r="A2056" s="916" t="s">
        <v>7051</v>
      </c>
      <c r="B2056" s="898" t="s">
        <v>4291</v>
      </c>
      <c r="C2056" s="916" t="s">
        <v>398</v>
      </c>
      <c r="D2056" s="898" t="s">
        <v>578</v>
      </c>
      <c r="E2056" s="1281">
        <v>1200</v>
      </c>
      <c r="F2056" s="916" t="s">
        <v>7120</v>
      </c>
      <c r="G2056" s="898" t="s">
        <v>7121</v>
      </c>
      <c r="H2056" s="1282" t="s">
        <v>7072</v>
      </c>
      <c r="I2056" s="1283" t="s">
        <v>7062</v>
      </c>
      <c r="J2056" s="943"/>
      <c r="K2056" s="1378">
        <v>424</v>
      </c>
      <c r="L2056" s="1284">
        <v>12</v>
      </c>
      <c r="M2056" s="1285">
        <v>1200</v>
      </c>
      <c r="N2056" s="1249"/>
      <c r="O2056" s="1249"/>
      <c r="P2056" s="899"/>
    </row>
    <row r="2057" spans="1:16" ht="36" x14ac:dyDescent="0.2">
      <c r="A2057" s="916" t="s">
        <v>7051</v>
      </c>
      <c r="B2057" s="898" t="s">
        <v>4291</v>
      </c>
      <c r="C2057" s="916" t="s">
        <v>398</v>
      </c>
      <c r="D2057" s="898" t="s">
        <v>5040</v>
      </c>
      <c r="E2057" s="1286">
        <v>930</v>
      </c>
      <c r="F2057" s="916" t="s">
        <v>7122</v>
      </c>
      <c r="G2057" s="898" t="s">
        <v>7123</v>
      </c>
      <c r="H2057" s="1287" t="s">
        <v>7077</v>
      </c>
      <c r="I2057" s="1288" t="s">
        <v>7062</v>
      </c>
      <c r="J2057" s="943"/>
      <c r="K2057" s="1378">
        <v>379</v>
      </c>
      <c r="L2057" s="1284">
        <v>12</v>
      </c>
      <c r="M2057" s="1289">
        <v>930</v>
      </c>
      <c r="N2057" s="1249"/>
      <c r="O2057" s="1249"/>
      <c r="P2057" s="899"/>
    </row>
    <row r="2058" spans="1:16" ht="36" x14ac:dyDescent="0.2">
      <c r="A2058" s="916" t="s">
        <v>7051</v>
      </c>
      <c r="B2058" s="898" t="s">
        <v>4291</v>
      </c>
      <c r="C2058" s="916" t="s">
        <v>398</v>
      </c>
      <c r="D2058" s="898" t="s">
        <v>5040</v>
      </c>
      <c r="E2058" s="1281">
        <v>1500</v>
      </c>
      <c r="F2058" s="916" t="s">
        <v>7124</v>
      </c>
      <c r="G2058" s="898" t="s">
        <v>7125</v>
      </c>
      <c r="H2058" s="1282" t="s">
        <v>5106</v>
      </c>
      <c r="I2058" s="1283" t="s">
        <v>7088</v>
      </c>
      <c r="J2058" s="943"/>
      <c r="K2058" s="1378">
        <v>418</v>
      </c>
      <c r="L2058" s="1284">
        <v>12</v>
      </c>
      <c r="M2058" s="1285">
        <v>1500</v>
      </c>
      <c r="N2058" s="1249"/>
      <c r="O2058" s="1249"/>
      <c r="P2058" s="899"/>
    </row>
    <row r="2059" spans="1:16" ht="36" x14ac:dyDescent="0.2">
      <c r="A2059" s="916" t="s">
        <v>7051</v>
      </c>
      <c r="B2059" s="898" t="s">
        <v>4291</v>
      </c>
      <c r="C2059" s="916" t="s">
        <v>398</v>
      </c>
      <c r="D2059" s="898" t="s">
        <v>5040</v>
      </c>
      <c r="E2059" s="1286">
        <v>930</v>
      </c>
      <c r="F2059" s="916" t="s">
        <v>7126</v>
      </c>
      <c r="G2059" s="898" t="s">
        <v>7127</v>
      </c>
      <c r="H2059" s="1287" t="s">
        <v>5095</v>
      </c>
      <c r="I2059" s="1288" t="s">
        <v>7055</v>
      </c>
      <c r="J2059" s="943"/>
      <c r="K2059" s="1378">
        <v>355</v>
      </c>
      <c r="L2059" s="1284">
        <v>12</v>
      </c>
      <c r="M2059" s="1289">
        <v>930</v>
      </c>
      <c r="N2059" s="1249"/>
      <c r="O2059" s="1249"/>
      <c r="P2059" s="899"/>
    </row>
    <row r="2060" spans="1:16" ht="36" x14ac:dyDescent="0.2">
      <c r="A2060" s="916" t="s">
        <v>7051</v>
      </c>
      <c r="B2060" s="898" t="s">
        <v>4291</v>
      </c>
      <c r="C2060" s="916" t="s">
        <v>398</v>
      </c>
      <c r="D2060" s="898" t="s">
        <v>5040</v>
      </c>
      <c r="E2060" s="1286">
        <v>930</v>
      </c>
      <c r="F2060" s="916" t="s">
        <v>7128</v>
      </c>
      <c r="G2060" s="898" t="s">
        <v>7129</v>
      </c>
      <c r="H2060" s="1287" t="s">
        <v>7054</v>
      </c>
      <c r="I2060" s="1288" t="s">
        <v>7055</v>
      </c>
      <c r="J2060" s="943"/>
      <c r="K2060" s="1378">
        <v>338</v>
      </c>
      <c r="L2060" s="1284">
        <v>12</v>
      </c>
      <c r="M2060" s="1289">
        <v>930</v>
      </c>
      <c r="N2060" s="1249"/>
      <c r="O2060" s="1249"/>
      <c r="P2060" s="899"/>
    </row>
    <row r="2061" spans="1:16" ht="36" x14ac:dyDescent="0.2">
      <c r="A2061" s="916" t="s">
        <v>7051</v>
      </c>
      <c r="B2061" s="898" t="s">
        <v>4291</v>
      </c>
      <c r="C2061" s="916" t="s">
        <v>398</v>
      </c>
      <c r="D2061" s="898" t="s">
        <v>5040</v>
      </c>
      <c r="E2061" s="1281">
        <v>930</v>
      </c>
      <c r="F2061" s="916" t="s">
        <v>7130</v>
      </c>
      <c r="G2061" s="898" t="s">
        <v>7131</v>
      </c>
      <c r="H2061" s="1282" t="s">
        <v>7054</v>
      </c>
      <c r="I2061" s="1283" t="s">
        <v>7055</v>
      </c>
      <c r="J2061" s="943"/>
      <c r="K2061" s="1378">
        <v>357</v>
      </c>
      <c r="L2061" s="1284">
        <v>12</v>
      </c>
      <c r="M2061" s="1285">
        <v>930</v>
      </c>
      <c r="N2061" s="1249"/>
      <c r="O2061" s="1249"/>
      <c r="P2061" s="899"/>
    </row>
    <row r="2062" spans="1:16" ht="36" x14ac:dyDescent="0.2">
      <c r="A2062" s="916" t="s">
        <v>7051</v>
      </c>
      <c r="B2062" s="898" t="s">
        <v>4291</v>
      </c>
      <c r="C2062" s="916" t="s">
        <v>398</v>
      </c>
      <c r="D2062" s="898" t="s">
        <v>578</v>
      </c>
      <c r="E2062" s="1281">
        <v>1200</v>
      </c>
      <c r="F2062" s="916" t="s">
        <v>7132</v>
      </c>
      <c r="G2062" s="898" t="s">
        <v>7133</v>
      </c>
      <c r="H2062" s="1282" t="s">
        <v>7072</v>
      </c>
      <c r="I2062" s="1283" t="s">
        <v>7062</v>
      </c>
      <c r="J2062" s="943"/>
      <c r="K2062" s="1378">
        <v>480</v>
      </c>
      <c r="L2062" s="1284">
        <v>12</v>
      </c>
      <c r="M2062" s="1285">
        <v>1200</v>
      </c>
      <c r="N2062" s="1249"/>
      <c r="O2062" s="1249"/>
      <c r="P2062" s="899"/>
    </row>
    <row r="2063" spans="1:16" ht="36" x14ac:dyDescent="0.2">
      <c r="A2063" s="916" t="s">
        <v>7051</v>
      </c>
      <c r="B2063" s="898" t="s">
        <v>4291</v>
      </c>
      <c r="C2063" s="916" t="s">
        <v>398</v>
      </c>
      <c r="D2063" s="898" t="s">
        <v>5040</v>
      </c>
      <c r="E2063" s="1286">
        <v>930</v>
      </c>
      <c r="F2063" s="916" t="s">
        <v>7134</v>
      </c>
      <c r="G2063" s="898" t="s">
        <v>7135</v>
      </c>
      <c r="H2063" s="1287" t="s">
        <v>3187</v>
      </c>
      <c r="I2063" s="1288" t="s">
        <v>7055</v>
      </c>
      <c r="J2063" s="943"/>
      <c r="K2063" s="1378">
        <v>388</v>
      </c>
      <c r="L2063" s="1284">
        <v>12</v>
      </c>
      <c r="M2063" s="1289">
        <v>930</v>
      </c>
      <c r="N2063" s="1249"/>
      <c r="O2063" s="1249"/>
      <c r="P2063" s="899"/>
    </row>
    <row r="2064" spans="1:16" ht="36" x14ac:dyDescent="0.2">
      <c r="A2064" s="916" t="s">
        <v>7051</v>
      </c>
      <c r="B2064" s="898" t="s">
        <v>4291</v>
      </c>
      <c r="C2064" s="916" t="s">
        <v>398</v>
      </c>
      <c r="D2064" s="898" t="s">
        <v>5040</v>
      </c>
      <c r="E2064" s="1281">
        <v>3000</v>
      </c>
      <c r="F2064" s="916" t="s">
        <v>7136</v>
      </c>
      <c r="G2064" s="898" t="s">
        <v>7137</v>
      </c>
      <c r="H2064" s="1282" t="s">
        <v>3164</v>
      </c>
      <c r="I2064" s="1283" t="s">
        <v>7055</v>
      </c>
      <c r="J2064" s="943"/>
      <c r="K2064" s="1378">
        <v>369</v>
      </c>
      <c r="L2064" s="1284">
        <v>12</v>
      </c>
      <c r="M2064" s="1285">
        <v>3000</v>
      </c>
      <c r="N2064" s="1249"/>
      <c r="O2064" s="1249"/>
      <c r="P2064" s="899"/>
    </row>
    <row r="2065" spans="1:16" ht="36" x14ac:dyDescent="0.2">
      <c r="A2065" s="916" t="s">
        <v>7051</v>
      </c>
      <c r="B2065" s="898" t="s">
        <v>4291</v>
      </c>
      <c r="C2065" s="916" t="s">
        <v>398</v>
      </c>
      <c r="D2065" s="898" t="s">
        <v>578</v>
      </c>
      <c r="E2065" s="1286">
        <v>1000</v>
      </c>
      <c r="F2065" s="916" t="s">
        <v>7138</v>
      </c>
      <c r="G2065" s="898" t="s">
        <v>7139</v>
      </c>
      <c r="H2065" s="1287" t="s">
        <v>583</v>
      </c>
      <c r="I2065" s="1288" t="s">
        <v>7055</v>
      </c>
      <c r="J2065" s="943"/>
      <c r="K2065" s="1378">
        <v>451</v>
      </c>
      <c r="L2065" s="1284">
        <v>12</v>
      </c>
      <c r="M2065" s="1289">
        <v>1000</v>
      </c>
      <c r="N2065" s="1249"/>
      <c r="O2065" s="1249"/>
      <c r="P2065" s="899"/>
    </row>
    <row r="2066" spans="1:16" ht="36" x14ac:dyDescent="0.2">
      <c r="A2066" s="916" t="s">
        <v>7051</v>
      </c>
      <c r="B2066" s="898" t="s">
        <v>4291</v>
      </c>
      <c r="C2066" s="916" t="s">
        <v>398</v>
      </c>
      <c r="D2066" s="898" t="s">
        <v>5040</v>
      </c>
      <c r="E2066" s="1281">
        <v>930</v>
      </c>
      <c r="F2066" s="916" t="s">
        <v>7140</v>
      </c>
      <c r="G2066" s="898" t="s">
        <v>7141</v>
      </c>
      <c r="H2066" s="1282" t="s">
        <v>3187</v>
      </c>
      <c r="I2066" s="1283" t="s">
        <v>7055</v>
      </c>
      <c r="J2066" s="943"/>
      <c r="K2066" s="1378">
        <v>385</v>
      </c>
      <c r="L2066" s="1284">
        <v>12</v>
      </c>
      <c r="M2066" s="1285">
        <v>930</v>
      </c>
      <c r="N2066" s="1249"/>
      <c r="O2066" s="1249"/>
      <c r="P2066" s="899"/>
    </row>
    <row r="2067" spans="1:16" ht="36" x14ac:dyDescent="0.2">
      <c r="A2067" s="916" t="s">
        <v>7051</v>
      </c>
      <c r="B2067" s="898" t="s">
        <v>4291</v>
      </c>
      <c r="C2067" s="916" t="s">
        <v>398</v>
      </c>
      <c r="D2067" s="898" t="s">
        <v>5040</v>
      </c>
      <c r="E2067" s="1286">
        <v>930</v>
      </c>
      <c r="F2067" s="916" t="s">
        <v>7142</v>
      </c>
      <c r="G2067" s="898" t="s">
        <v>7143</v>
      </c>
      <c r="H2067" s="1287" t="s">
        <v>3187</v>
      </c>
      <c r="I2067" s="1288" t="s">
        <v>7055</v>
      </c>
      <c r="J2067" s="943"/>
      <c r="K2067" s="1378">
        <v>387</v>
      </c>
      <c r="L2067" s="1284">
        <v>12</v>
      </c>
      <c r="M2067" s="1289">
        <v>930</v>
      </c>
      <c r="N2067" s="1249"/>
      <c r="O2067" s="1249"/>
      <c r="P2067" s="899"/>
    </row>
    <row r="2068" spans="1:16" ht="36" x14ac:dyDescent="0.2">
      <c r="A2068" s="916" t="s">
        <v>7051</v>
      </c>
      <c r="B2068" s="898" t="s">
        <v>4291</v>
      </c>
      <c r="C2068" s="916" t="s">
        <v>398</v>
      </c>
      <c r="D2068" s="898" t="s">
        <v>5040</v>
      </c>
      <c r="E2068" s="1281">
        <v>930</v>
      </c>
      <c r="F2068" s="916" t="s">
        <v>7144</v>
      </c>
      <c r="G2068" s="898" t="s">
        <v>7145</v>
      </c>
      <c r="H2068" s="1282" t="s">
        <v>581</v>
      </c>
      <c r="I2068" s="1283" t="s">
        <v>7062</v>
      </c>
      <c r="J2068" s="943"/>
      <c r="K2068" s="1378">
        <v>184</v>
      </c>
      <c r="L2068" s="1284">
        <v>6</v>
      </c>
      <c r="M2068" s="1285">
        <v>930</v>
      </c>
      <c r="N2068" s="1249"/>
      <c r="O2068" s="1249"/>
      <c r="P2068" s="899"/>
    </row>
    <row r="2069" spans="1:16" ht="36" x14ac:dyDescent="0.2">
      <c r="A2069" s="916" t="s">
        <v>7051</v>
      </c>
      <c r="B2069" s="898" t="s">
        <v>4291</v>
      </c>
      <c r="C2069" s="916" t="s">
        <v>398</v>
      </c>
      <c r="D2069" s="898" t="s">
        <v>5040</v>
      </c>
      <c r="E2069" s="1286">
        <v>930</v>
      </c>
      <c r="F2069" s="916" t="s">
        <v>7146</v>
      </c>
      <c r="G2069" s="898" t="s">
        <v>7147</v>
      </c>
      <c r="H2069" s="1287" t="s">
        <v>7054</v>
      </c>
      <c r="I2069" s="1288" t="s">
        <v>7055</v>
      </c>
      <c r="J2069" s="943"/>
      <c r="K2069" s="1378">
        <v>316</v>
      </c>
      <c r="L2069" s="1284">
        <v>12</v>
      </c>
      <c r="M2069" s="1289">
        <v>930</v>
      </c>
      <c r="N2069" s="1249"/>
      <c r="O2069" s="1249"/>
      <c r="P2069" s="899"/>
    </row>
    <row r="2070" spans="1:16" ht="36" x14ac:dyDescent="0.2">
      <c r="A2070" s="916" t="s">
        <v>7051</v>
      </c>
      <c r="B2070" s="898" t="s">
        <v>4291</v>
      </c>
      <c r="C2070" s="916" t="s">
        <v>398</v>
      </c>
      <c r="D2070" s="898" t="s">
        <v>5040</v>
      </c>
      <c r="E2070" s="1281">
        <v>930</v>
      </c>
      <c r="F2070" s="916" t="s">
        <v>7148</v>
      </c>
      <c r="G2070" s="898" t="s">
        <v>7149</v>
      </c>
      <c r="H2070" s="1282" t="s">
        <v>7054</v>
      </c>
      <c r="I2070" s="1283" t="s">
        <v>7055</v>
      </c>
      <c r="J2070" s="943"/>
      <c r="K2070" s="1378">
        <v>382</v>
      </c>
      <c r="L2070" s="1284">
        <v>12</v>
      </c>
      <c r="M2070" s="1285">
        <v>930</v>
      </c>
      <c r="N2070" s="1249"/>
      <c r="O2070" s="1249"/>
      <c r="P2070" s="899"/>
    </row>
    <row r="2071" spans="1:16" ht="36" x14ac:dyDescent="0.2">
      <c r="A2071" s="916" t="s">
        <v>7051</v>
      </c>
      <c r="B2071" s="898" t="s">
        <v>4291</v>
      </c>
      <c r="C2071" s="916" t="s">
        <v>398</v>
      </c>
      <c r="D2071" s="898" t="s">
        <v>578</v>
      </c>
      <c r="E2071" s="1286">
        <v>930</v>
      </c>
      <c r="F2071" s="916" t="s">
        <v>7150</v>
      </c>
      <c r="G2071" s="898" t="s">
        <v>7151</v>
      </c>
      <c r="H2071" s="1287" t="s">
        <v>7072</v>
      </c>
      <c r="I2071" s="1288" t="s">
        <v>7062</v>
      </c>
      <c r="J2071" s="943"/>
      <c r="K2071" s="1378">
        <v>392</v>
      </c>
      <c r="L2071" s="1284">
        <v>12</v>
      </c>
      <c r="M2071" s="1289">
        <v>930</v>
      </c>
      <c r="N2071" s="1249"/>
      <c r="O2071" s="1249"/>
      <c r="P2071" s="899"/>
    </row>
    <row r="2072" spans="1:16" ht="36" x14ac:dyDescent="0.2">
      <c r="A2072" s="916" t="s">
        <v>7051</v>
      </c>
      <c r="B2072" s="898" t="s">
        <v>4291</v>
      </c>
      <c r="C2072" s="916" t="s">
        <v>398</v>
      </c>
      <c r="D2072" s="898" t="s">
        <v>5040</v>
      </c>
      <c r="E2072" s="1281">
        <v>930</v>
      </c>
      <c r="F2072" s="916" t="s">
        <v>7152</v>
      </c>
      <c r="G2072" s="898" t="s">
        <v>7153</v>
      </c>
      <c r="H2072" s="1282" t="s">
        <v>7054</v>
      </c>
      <c r="I2072" s="1283" t="s">
        <v>7055</v>
      </c>
      <c r="J2072" s="943"/>
      <c r="K2072" s="1378">
        <v>343</v>
      </c>
      <c r="L2072" s="1284">
        <v>12</v>
      </c>
      <c r="M2072" s="1285">
        <v>930</v>
      </c>
      <c r="N2072" s="1249"/>
      <c r="O2072" s="1249"/>
      <c r="P2072" s="899"/>
    </row>
    <row r="2073" spans="1:16" ht="36" x14ac:dyDescent="0.2">
      <c r="A2073" s="916" t="s">
        <v>7051</v>
      </c>
      <c r="B2073" s="898" t="s">
        <v>4291</v>
      </c>
      <c r="C2073" s="916" t="s">
        <v>398</v>
      </c>
      <c r="D2073" s="898" t="s">
        <v>5040</v>
      </c>
      <c r="E2073" s="1286">
        <v>930</v>
      </c>
      <c r="F2073" s="916" t="s">
        <v>7154</v>
      </c>
      <c r="G2073" s="898" t="s">
        <v>7155</v>
      </c>
      <c r="H2073" s="1287" t="s">
        <v>7054</v>
      </c>
      <c r="I2073" s="1288" t="s">
        <v>7055</v>
      </c>
      <c r="J2073" s="943"/>
      <c r="K2073" s="1378">
        <v>346</v>
      </c>
      <c r="L2073" s="1284">
        <v>12</v>
      </c>
      <c r="M2073" s="1289">
        <v>930</v>
      </c>
      <c r="N2073" s="1249"/>
      <c r="O2073" s="1249"/>
      <c r="P2073" s="899"/>
    </row>
    <row r="2074" spans="1:16" ht="36" x14ac:dyDescent="0.2">
      <c r="A2074" s="916" t="s">
        <v>7051</v>
      </c>
      <c r="B2074" s="898" t="s">
        <v>4291</v>
      </c>
      <c r="C2074" s="916" t="s">
        <v>398</v>
      </c>
      <c r="D2074" s="898" t="s">
        <v>5040</v>
      </c>
      <c r="E2074" s="1281">
        <v>1200</v>
      </c>
      <c r="F2074" s="916" t="s">
        <v>7156</v>
      </c>
      <c r="G2074" s="898" t="s">
        <v>7157</v>
      </c>
      <c r="H2074" s="1282" t="s">
        <v>7158</v>
      </c>
      <c r="I2074" s="1283" t="s">
        <v>7062</v>
      </c>
      <c r="J2074" s="943"/>
      <c r="K2074" s="1378">
        <v>436</v>
      </c>
      <c r="L2074" s="1284">
        <v>12</v>
      </c>
      <c r="M2074" s="1285">
        <v>1200</v>
      </c>
      <c r="N2074" s="1249"/>
      <c r="O2074" s="1249"/>
      <c r="P2074" s="899"/>
    </row>
    <row r="2075" spans="1:16" ht="36" x14ac:dyDescent="0.2">
      <c r="A2075" s="916" t="s">
        <v>7051</v>
      </c>
      <c r="B2075" s="898" t="s">
        <v>4291</v>
      </c>
      <c r="C2075" s="916" t="s">
        <v>398</v>
      </c>
      <c r="D2075" s="898" t="s">
        <v>5040</v>
      </c>
      <c r="E2075" s="1286">
        <v>1500</v>
      </c>
      <c r="F2075" s="916" t="s">
        <v>7159</v>
      </c>
      <c r="G2075" s="898" t="s">
        <v>7160</v>
      </c>
      <c r="H2075" s="1287" t="s">
        <v>561</v>
      </c>
      <c r="I2075" s="1288" t="s">
        <v>7088</v>
      </c>
      <c r="J2075" s="943"/>
      <c r="K2075" s="1378">
        <v>328</v>
      </c>
      <c r="L2075" s="1284">
        <v>12</v>
      </c>
      <c r="M2075" s="1289">
        <v>1500</v>
      </c>
      <c r="N2075" s="1249"/>
      <c r="O2075" s="1249"/>
      <c r="P2075" s="899"/>
    </row>
    <row r="2076" spans="1:16" ht="36" x14ac:dyDescent="0.2">
      <c r="A2076" s="916" t="s">
        <v>7051</v>
      </c>
      <c r="B2076" s="898" t="s">
        <v>4291</v>
      </c>
      <c r="C2076" s="916" t="s">
        <v>398</v>
      </c>
      <c r="D2076" s="898" t="s">
        <v>5040</v>
      </c>
      <c r="E2076" s="1281">
        <v>930</v>
      </c>
      <c r="F2076" s="916" t="s">
        <v>7161</v>
      </c>
      <c r="G2076" s="898" t="s">
        <v>7162</v>
      </c>
      <c r="H2076" s="1282" t="s">
        <v>7054</v>
      </c>
      <c r="I2076" s="1283" t="s">
        <v>7055</v>
      </c>
      <c r="J2076" s="943"/>
      <c r="K2076" s="1378">
        <v>455</v>
      </c>
      <c r="L2076" s="1284">
        <v>12</v>
      </c>
      <c r="M2076" s="1285">
        <v>930</v>
      </c>
      <c r="N2076" s="1249"/>
      <c r="O2076" s="1249"/>
      <c r="P2076" s="899"/>
    </row>
    <row r="2077" spans="1:16" ht="36" x14ac:dyDescent="0.2">
      <c r="A2077" s="916" t="s">
        <v>7051</v>
      </c>
      <c r="B2077" s="898" t="s">
        <v>4291</v>
      </c>
      <c r="C2077" s="916" t="s">
        <v>398</v>
      </c>
      <c r="D2077" s="898" t="s">
        <v>578</v>
      </c>
      <c r="E2077" s="1286">
        <v>930</v>
      </c>
      <c r="F2077" s="916" t="s">
        <v>7163</v>
      </c>
      <c r="G2077" s="898" t="s">
        <v>7164</v>
      </c>
      <c r="H2077" s="1287" t="s">
        <v>3186</v>
      </c>
      <c r="I2077" s="1288" t="s">
        <v>7062</v>
      </c>
      <c r="J2077" s="943"/>
      <c r="K2077" s="1378">
        <v>352</v>
      </c>
      <c r="L2077" s="1284">
        <v>12</v>
      </c>
      <c r="M2077" s="1289">
        <v>930</v>
      </c>
      <c r="N2077" s="1249"/>
      <c r="O2077" s="1249"/>
      <c r="P2077" s="899"/>
    </row>
    <row r="2078" spans="1:16" ht="36" x14ac:dyDescent="0.2">
      <c r="A2078" s="916" t="s">
        <v>7051</v>
      </c>
      <c r="B2078" s="898" t="s">
        <v>4291</v>
      </c>
      <c r="C2078" s="916" t="s">
        <v>398</v>
      </c>
      <c r="D2078" s="898" t="s">
        <v>5040</v>
      </c>
      <c r="E2078" s="1281">
        <v>930</v>
      </c>
      <c r="F2078" s="916" t="s">
        <v>7165</v>
      </c>
      <c r="G2078" s="898" t="s">
        <v>7166</v>
      </c>
      <c r="H2078" s="1282" t="s">
        <v>7054</v>
      </c>
      <c r="I2078" s="1283" t="s">
        <v>7055</v>
      </c>
      <c r="J2078" s="943"/>
      <c r="K2078" s="1378">
        <v>462</v>
      </c>
      <c r="L2078" s="1284">
        <v>12</v>
      </c>
      <c r="M2078" s="1285">
        <v>930</v>
      </c>
      <c r="N2078" s="1249"/>
      <c r="O2078" s="1249"/>
      <c r="P2078" s="899"/>
    </row>
    <row r="2079" spans="1:16" ht="36" x14ac:dyDescent="0.2">
      <c r="A2079" s="916" t="s">
        <v>7051</v>
      </c>
      <c r="B2079" s="898" t="s">
        <v>4291</v>
      </c>
      <c r="C2079" s="916" t="s">
        <v>398</v>
      </c>
      <c r="D2079" s="898" t="s">
        <v>578</v>
      </c>
      <c r="E2079" s="1286">
        <v>930</v>
      </c>
      <c r="F2079" s="916" t="s">
        <v>7167</v>
      </c>
      <c r="G2079" s="898" t="s">
        <v>7168</v>
      </c>
      <c r="H2079" s="1287" t="s">
        <v>583</v>
      </c>
      <c r="I2079" s="1288" t="s">
        <v>7055</v>
      </c>
      <c r="J2079" s="943"/>
      <c r="K2079" s="1378">
        <v>463</v>
      </c>
      <c r="L2079" s="1284">
        <v>12</v>
      </c>
      <c r="M2079" s="1289">
        <v>930</v>
      </c>
      <c r="N2079" s="1249"/>
      <c r="O2079" s="1249"/>
      <c r="P2079" s="899"/>
    </row>
    <row r="2080" spans="1:16" ht="36" x14ac:dyDescent="0.2">
      <c r="A2080" s="916" t="s">
        <v>7051</v>
      </c>
      <c r="B2080" s="898" t="s">
        <v>4291</v>
      </c>
      <c r="C2080" s="916" t="s">
        <v>398</v>
      </c>
      <c r="D2080" s="898" t="s">
        <v>5040</v>
      </c>
      <c r="E2080" s="1281">
        <v>930</v>
      </c>
      <c r="F2080" s="916" t="s">
        <v>7169</v>
      </c>
      <c r="G2080" s="898" t="s">
        <v>7170</v>
      </c>
      <c r="H2080" s="1282" t="s">
        <v>7054</v>
      </c>
      <c r="I2080" s="1283" t="s">
        <v>7055</v>
      </c>
      <c r="J2080" s="943"/>
      <c r="K2080" s="1378">
        <v>475</v>
      </c>
      <c r="L2080" s="1284">
        <v>12</v>
      </c>
      <c r="M2080" s="1285">
        <v>930</v>
      </c>
      <c r="N2080" s="1249"/>
      <c r="O2080" s="1249"/>
      <c r="P2080" s="899"/>
    </row>
    <row r="2081" spans="1:16" ht="36" x14ac:dyDescent="0.2">
      <c r="A2081" s="916" t="s">
        <v>7051</v>
      </c>
      <c r="B2081" s="898" t="s">
        <v>4291</v>
      </c>
      <c r="C2081" s="916" t="s">
        <v>398</v>
      </c>
      <c r="D2081" s="898" t="s">
        <v>5040</v>
      </c>
      <c r="E2081" s="1286">
        <v>2239</v>
      </c>
      <c r="F2081" s="916" t="s">
        <v>7171</v>
      </c>
      <c r="G2081" s="898" t="s">
        <v>7172</v>
      </c>
      <c r="H2081" s="1287" t="s">
        <v>566</v>
      </c>
      <c r="I2081" s="1288" t="s">
        <v>7088</v>
      </c>
      <c r="J2081" s="943"/>
      <c r="K2081" s="1378">
        <v>267</v>
      </c>
      <c r="L2081" s="1284">
        <v>6</v>
      </c>
      <c r="M2081" s="1289">
        <v>2239</v>
      </c>
      <c r="N2081" s="1249"/>
      <c r="O2081" s="1249"/>
      <c r="P2081" s="899"/>
    </row>
    <row r="2082" spans="1:16" ht="36" x14ac:dyDescent="0.2">
      <c r="A2082" s="916" t="s">
        <v>7051</v>
      </c>
      <c r="B2082" s="898" t="s">
        <v>4291</v>
      </c>
      <c r="C2082" s="916" t="s">
        <v>398</v>
      </c>
      <c r="D2082" s="898" t="s">
        <v>578</v>
      </c>
      <c r="E2082" s="1281">
        <v>930</v>
      </c>
      <c r="F2082" s="916" t="s">
        <v>7173</v>
      </c>
      <c r="G2082" s="898" t="s">
        <v>7174</v>
      </c>
      <c r="H2082" s="1282" t="s">
        <v>3186</v>
      </c>
      <c r="I2082" s="1283" t="s">
        <v>7062</v>
      </c>
      <c r="J2082" s="943"/>
      <c r="K2082" s="1378">
        <v>468</v>
      </c>
      <c r="L2082" s="1284">
        <v>12</v>
      </c>
      <c r="M2082" s="1285">
        <v>930</v>
      </c>
      <c r="N2082" s="1249"/>
      <c r="O2082" s="1249"/>
      <c r="P2082" s="899"/>
    </row>
    <row r="2083" spans="1:16" ht="36" x14ac:dyDescent="0.2">
      <c r="A2083" s="916" t="s">
        <v>7051</v>
      </c>
      <c r="B2083" s="898" t="s">
        <v>4291</v>
      </c>
      <c r="C2083" s="916" t="s">
        <v>398</v>
      </c>
      <c r="D2083" s="898" t="s">
        <v>578</v>
      </c>
      <c r="E2083" s="1286">
        <v>2500</v>
      </c>
      <c r="F2083" s="916" t="s">
        <v>7175</v>
      </c>
      <c r="G2083" s="898" t="s">
        <v>7176</v>
      </c>
      <c r="H2083" s="1287" t="s">
        <v>3552</v>
      </c>
      <c r="I2083" s="1288" t="s">
        <v>7107</v>
      </c>
      <c r="J2083" s="943"/>
      <c r="K2083" s="1378">
        <v>361</v>
      </c>
      <c r="L2083" s="1284">
        <v>12</v>
      </c>
      <c r="M2083" s="1289">
        <v>2500</v>
      </c>
      <c r="N2083" s="1249"/>
      <c r="O2083" s="1249"/>
      <c r="P2083" s="899"/>
    </row>
    <row r="2084" spans="1:16" ht="36" x14ac:dyDescent="0.2">
      <c r="A2084" s="916" t="s">
        <v>7051</v>
      </c>
      <c r="B2084" s="898" t="s">
        <v>4291</v>
      </c>
      <c r="C2084" s="916" t="s">
        <v>398</v>
      </c>
      <c r="D2084" s="898" t="s">
        <v>578</v>
      </c>
      <c r="E2084" s="1281">
        <v>930</v>
      </c>
      <c r="F2084" s="916" t="s">
        <v>7177</v>
      </c>
      <c r="G2084" s="898" t="s">
        <v>7178</v>
      </c>
      <c r="H2084" s="1282" t="s">
        <v>7072</v>
      </c>
      <c r="I2084" s="1283" t="s">
        <v>7062</v>
      </c>
      <c r="J2084" s="943"/>
      <c r="K2084" s="1378">
        <v>412</v>
      </c>
      <c r="L2084" s="1284">
        <v>12</v>
      </c>
      <c r="M2084" s="1285">
        <v>930</v>
      </c>
      <c r="N2084" s="1249"/>
      <c r="O2084" s="1249"/>
      <c r="P2084" s="899"/>
    </row>
    <row r="2085" spans="1:16" ht="36" x14ac:dyDescent="0.2">
      <c r="A2085" s="916" t="s">
        <v>7051</v>
      </c>
      <c r="B2085" s="898" t="s">
        <v>4291</v>
      </c>
      <c r="C2085" s="916" t="s">
        <v>398</v>
      </c>
      <c r="D2085" s="898" t="s">
        <v>578</v>
      </c>
      <c r="E2085" s="1286">
        <v>1200</v>
      </c>
      <c r="F2085" s="916" t="s">
        <v>7179</v>
      </c>
      <c r="G2085" s="898" t="s">
        <v>7180</v>
      </c>
      <c r="H2085" s="1287" t="s">
        <v>583</v>
      </c>
      <c r="I2085" s="1288" t="s">
        <v>7055</v>
      </c>
      <c r="J2085" s="943"/>
      <c r="K2085" s="1378">
        <v>483</v>
      </c>
      <c r="L2085" s="1284">
        <v>12</v>
      </c>
      <c r="M2085" s="1289">
        <v>1200</v>
      </c>
      <c r="N2085" s="1249"/>
      <c r="O2085" s="1249"/>
      <c r="P2085" s="899"/>
    </row>
    <row r="2086" spans="1:16" ht="36" x14ac:dyDescent="0.2">
      <c r="A2086" s="916" t="s">
        <v>7051</v>
      </c>
      <c r="B2086" s="898" t="s">
        <v>4291</v>
      </c>
      <c r="C2086" s="916" t="s">
        <v>398</v>
      </c>
      <c r="D2086" s="898" t="s">
        <v>578</v>
      </c>
      <c r="E2086" s="1281">
        <v>1800</v>
      </c>
      <c r="F2086" s="916" t="s">
        <v>7181</v>
      </c>
      <c r="G2086" s="898" t="s">
        <v>7182</v>
      </c>
      <c r="H2086" s="1282" t="s">
        <v>3552</v>
      </c>
      <c r="I2086" s="1283" t="s">
        <v>7107</v>
      </c>
      <c r="J2086" s="943"/>
      <c r="K2086" s="1378">
        <v>427</v>
      </c>
      <c r="L2086" s="1284">
        <v>12</v>
      </c>
      <c r="M2086" s="1285">
        <v>1800</v>
      </c>
      <c r="N2086" s="1249"/>
      <c r="O2086" s="1249"/>
      <c r="P2086" s="899"/>
    </row>
    <row r="2087" spans="1:16" ht="36" x14ac:dyDescent="0.2">
      <c r="A2087" s="916" t="s">
        <v>7051</v>
      </c>
      <c r="B2087" s="898" t="s">
        <v>4291</v>
      </c>
      <c r="C2087" s="916" t="s">
        <v>398</v>
      </c>
      <c r="D2087" s="898" t="s">
        <v>578</v>
      </c>
      <c r="E2087" s="1286">
        <v>930</v>
      </c>
      <c r="F2087" s="916" t="s">
        <v>7183</v>
      </c>
      <c r="G2087" s="898" t="s">
        <v>7184</v>
      </c>
      <c r="H2087" s="1287" t="s">
        <v>3186</v>
      </c>
      <c r="I2087" s="1288" t="s">
        <v>7062</v>
      </c>
      <c r="J2087" s="943"/>
      <c r="K2087" s="1378">
        <v>407</v>
      </c>
      <c r="L2087" s="1284">
        <v>12</v>
      </c>
      <c r="M2087" s="1289">
        <v>930</v>
      </c>
      <c r="N2087" s="1249"/>
      <c r="O2087" s="1249"/>
      <c r="P2087" s="899"/>
    </row>
    <row r="2088" spans="1:16" ht="36" x14ac:dyDescent="0.2">
      <c r="A2088" s="916" t="s">
        <v>7051</v>
      </c>
      <c r="B2088" s="898" t="s">
        <v>4291</v>
      </c>
      <c r="C2088" s="916" t="s">
        <v>398</v>
      </c>
      <c r="D2088" s="898" t="s">
        <v>578</v>
      </c>
      <c r="E2088" s="1281">
        <v>930</v>
      </c>
      <c r="F2088" s="916" t="s">
        <v>7185</v>
      </c>
      <c r="G2088" s="898" t="s">
        <v>7186</v>
      </c>
      <c r="H2088" s="1282" t="s">
        <v>7072</v>
      </c>
      <c r="I2088" s="1283" t="s">
        <v>7062</v>
      </c>
      <c r="J2088" s="943"/>
      <c r="K2088" s="1378">
        <v>406</v>
      </c>
      <c r="L2088" s="1284">
        <v>12</v>
      </c>
      <c r="M2088" s="1285">
        <v>930</v>
      </c>
      <c r="N2088" s="1249"/>
      <c r="O2088" s="1249"/>
      <c r="P2088" s="899"/>
    </row>
    <row r="2089" spans="1:16" ht="36" x14ac:dyDescent="0.2">
      <c r="A2089" s="916" t="s">
        <v>7051</v>
      </c>
      <c r="B2089" s="898" t="s">
        <v>4291</v>
      </c>
      <c r="C2089" s="916" t="s">
        <v>398</v>
      </c>
      <c r="D2089" s="898" t="s">
        <v>578</v>
      </c>
      <c r="E2089" s="1286">
        <v>930</v>
      </c>
      <c r="F2089" s="916" t="s">
        <v>7187</v>
      </c>
      <c r="G2089" s="898" t="s">
        <v>7188</v>
      </c>
      <c r="H2089" s="1287" t="s">
        <v>583</v>
      </c>
      <c r="I2089" s="1288" t="s">
        <v>7055</v>
      </c>
      <c r="J2089" s="943"/>
      <c r="K2089" s="1378">
        <v>448</v>
      </c>
      <c r="L2089" s="1284">
        <v>12</v>
      </c>
      <c r="M2089" s="1289">
        <v>930</v>
      </c>
      <c r="N2089" s="898"/>
      <c r="O2089" s="898"/>
      <c r="P2089" s="899"/>
    </row>
    <row r="2090" spans="1:16" ht="36" x14ac:dyDescent="0.2">
      <c r="A2090" s="916" t="s">
        <v>7051</v>
      </c>
      <c r="B2090" s="898" t="s">
        <v>4291</v>
      </c>
      <c r="C2090" s="916" t="s">
        <v>398</v>
      </c>
      <c r="D2090" s="898" t="s">
        <v>578</v>
      </c>
      <c r="E2090" s="1281">
        <v>2000</v>
      </c>
      <c r="F2090" s="916" t="s">
        <v>7189</v>
      </c>
      <c r="G2090" s="898" t="s">
        <v>7190</v>
      </c>
      <c r="H2090" s="1282" t="s">
        <v>3157</v>
      </c>
      <c r="I2090" s="1283" t="s">
        <v>7062</v>
      </c>
      <c r="J2090" s="943"/>
      <c r="K2090" s="1378">
        <v>381</v>
      </c>
      <c r="L2090" s="1284">
        <v>12</v>
      </c>
      <c r="M2090" s="1285">
        <v>2000</v>
      </c>
      <c r="N2090" s="898"/>
      <c r="O2090" s="898"/>
      <c r="P2090" s="899"/>
    </row>
    <row r="2091" spans="1:16" ht="36" x14ac:dyDescent="0.2">
      <c r="A2091" s="916" t="s">
        <v>7051</v>
      </c>
      <c r="B2091" s="898" t="s">
        <v>4291</v>
      </c>
      <c r="C2091" s="916" t="s">
        <v>398</v>
      </c>
      <c r="D2091" s="898" t="s">
        <v>578</v>
      </c>
      <c r="E2091" s="1286">
        <v>930</v>
      </c>
      <c r="F2091" s="916" t="s">
        <v>7191</v>
      </c>
      <c r="G2091" s="898" t="s">
        <v>7192</v>
      </c>
      <c r="H2091" s="1287" t="s">
        <v>3186</v>
      </c>
      <c r="I2091" s="1288" t="s">
        <v>7062</v>
      </c>
      <c r="J2091" s="943"/>
      <c r="K2091" s="1378">
        <v>404</v>
      </c>
      <c r="L2091" s="1284">
        <v>12</v>
      </c>
      <c r="M2091" s="1289">
        <v>930</v>
      </c>
      <c r="N2091" s="898"/>
      <c r="O2091" s="898"/>
      <c r="P2091" s="899"/>
    </row>
    <row r="2092" spans="1:16" ht="36" x14ac:dyDescent="0.2">
      <c r="A2092" s="916" t="s">
        <v>7051</v>
      </c>
      <c r="B2092" s="898" t="s">
        <v>4291</v>
      </c>
      <c r="C2092" s="916" t="s">
        <v>398</v>
      </c>
      <c r="D2092" s="898" t="s">
        <v>578</v>
      </c>
      <c r="E2092" s="1281">
        <v>930</v>
      </c>
      <c r="F2092" s="916" t="s">
        <v>7193</v>
      </c>
      <c r="G2092" s="898" t="s">
        <v>7194</v>
      </c>
      <c r="H2092" s="1282" t="s">
        <v>583</v>
      </c>
      <c r="I2092" s="1283" t="s">
        <v>7055</v>
      </c>
      <c r="J2092" s="943"/>
      <c r="K2092" s="1378">
        <v>349</v>
      </c>
      <c r="L2092" s="1284">
        <v>12</v>
      </c>
      <c r="M2092" s="1285">
        <v>930</v>
      </c>
      <c r="N2092" s="898"/>
      <c r="O2092" s="898"/>
      <c r="P2092" s="899"/>
    </row>
    <row r="2093" spans="1:16" ht="36" x14ac:dyDescent="0.2">
      <c r="A2093" s="916" t="s">
        <v>7051</v>
      </c>
      <c r="B2093" s="898" t="s">
        <v>4291</v>
      </c>
      <c r="C2093" s="916" t="s">
        <v>398</v>
      </c>
      <c r="D2093" s="898" t="s">
        <v>578</v>
      </c>
      <c r="E2093" s="1286">
        <v>930</v>
      </c>
      <c r="F2093" s="916" t="s">
        <v>7195</v>
      </c>
      <c r="G2093" s="898" t="s">
        <v>7196</v>
      </c>
      <c r="H2093" s="1287" t="s">
        <v>7072</v>
      </c>
      <c r="I2093" s="1288" t="s">
        <v>7062</v>
      </c>
      <c r="J2093" s="943"/>
      <c r="K2093" s="1378">
        <v>421</v>
      </c>
      <c r="L2093" s="1284">
        <v>12</v>
      </c>
      <c r="M2093" s="1289">
        <v>930</v>
      </c>
      <c r="N2093" s="898"/>
      <c r="O2093" s="898"/>
      <c r="P2093" s="899"/>
    </row>
    <row r="2094" spans="1:16" ht="36" x14ac:dyDescent="0.2">
      <c r="A2094" s="916" t="s">
        <v>7051</v>
      </c>
      <c r="B2094" s="898" t="s">
        <v>4291</v>
      </c>
      <c r="C2094" s="916" t="s">
        <v>398</v>
      </c>
      <c r="D2094" s="898" t="s">
        <v>578</v>
      </c>
      <c r="E2094" s="1281">
        <v>930</v>
      </c>
      <c r="F2094" s="916" t="s">
        <v>7197</v>
      </c>
      <c r="G2094" s="898" t="s">
        <v>7198</v>
      </c>
      <c r="H2094" s="1282" t="s">
        <v>7072</v>
      </c>
      <c r="I2094" s="1283" t="s">
        <v>7062</v>
      </c>
      <c r="J2094" s="943"/>
      <c r="K2094" s="1378">
        <v>326</v>
      </c>
      <c r="L2094" s="1284">
        <v>12</v>
      </c>
      <c r="M2094" s="1285">
        <v>930</v>
      </c>
      <c r="N2094" s="898"/>
      <c r="O2094" s="898"/>
      <c r="P2094" s="899"/>
    </row>
    <row r="2095" spans="1:16" ht="36" x14ac:dyDescent="0.2">
      <c r="A2095" s="916" t="s">
        <v>7051</v>
      </c>
      <c r="B2095" s="898" t="s">
        <v>4291</v>
      </c>
      <c r="C2095" s="916" t="s">
        <v>398</v>
      </c>
      <c r="D2095" s="898" t="s">
        <v>578</v>
      </c>
      <c r="E2095" s="1286">
        <v>930</v>
      </c>
      <c r="F2095" s="916" t="s">
        <v>7199</v>
      </c>
      <c r="G2095" s="898" t="s">
        <v>7200</v>
      </c>
      <c r="H2095" s="1287" t="s">
        <v>3115</v>
      </c>
      <c r="I2095" s="1288" t="s">
        <v>7062</v>
      </c>
      <c r="J2095" s="943"/>
      <c r="K2095" s="1378">
        <v>323</v>
      </c>
      <c r="L2095" s="1284">
        <v>12</v>
      </c>
      <c r="M2095" s="1289">
        <v>930</v>
      </c>
      <c r="N2095" s="898"/>
      <c r="O2095" s="898"/>
      <c r="P2095" s="899"/>
    </row>
    <row r="2096" spans="1:16" ht="36" x14ac:dyDescent="0.2">
      <c r="A2096" s="916" t="s">
        <v>7051</v>
      </c>
      <c r="B2096" s="898" t="s">
        <v>4291</v>
      </c>
      <c r="C2096" s="916" t="s">
        <v>398</v>
      </c>
      <c r="D2096" s="898" t="s">
        <v>578</v>
      </c>
      <c r="E2096" s="1281">
        <v>930</v>
      </c>
      <c r="F2096" s="916" t="s">
        <v>7201</v>
      </c>
      <c r="G2096" s="898" t="s">
        <v>7202</v>
      </c>
      <c r="H2096" s="1282" t="s">
        <v>7203</v>
      </c>
      <c r="I2096" s="1283" t="s">
        <v>7062</v>
      </c>
      <c r="J2096" s="943"/>
      <c r="K2096" s="1378">
        <v>337</v>
      </c>
      <c r="L2096" s="1284">
        <v>6</v>
      </c>
      <c r="M2096" s="1285">
        <v>930</v>
      </c>
      <c r="N2096" s="898"/>
      <c r="O2096" s="898"/>
      <c r="P2096" s="899"/>
    </row>
    <row r="2097" spans="1:16" ht="36" x14ac:dyDescent="0.2">
      <c r="A2097" s="916" t="s">
        <v>7051</v>
      </c>
      <c r="B2097" s="898" t="s">
        <v>4291</v>
      </c>
      <c r="C2097" s="916" t="s">
        <v>398</v>
      </c>
      <c r="D2097" s="898" t="s">
        <v>578</v>
      </c>
      <c r="E2097" s="1286">
        <v>930</v>
      </c>
      <c r="F2097" s="916" t="s">
        <v>7204</v>
      </c>
      <c r="G2097" s="898" t="s">
        <v>7205</v>
      </c>
      <c r="H2097" s="1287" t="s">
        <v>3157</v>
      </c>
      <c r="I2097" s="1288" t="s">
        <v>7062</v>
      </c>
      <c r="J2097" s="943"/>
      <c r="K2097" s="1378">
        <v>482</v>
      </c>
      <c r="L2097" s="1284">
        <v>12</v>
      </c>
      <c r="M2097" s="1289">
        <v>930</v>
      </c>
      <c r="N2097" s="898"/>
      <c r="O2097" s="898"/>
      <c r="P2097" s="899"/>
    </row>
    <row r="2098" spans="1:16" ht="36" x14ac:dyDescent="0.2">
      <c r="A2098" s="916" t="s">
        <v>7051</v>
      </c>
      <c r="B2098" s="898" t="s">
        <v>4291</v>
      </c>
      <c r="C2098" s="916" t="s">
        <v>398</v>
      </c>
      <c r="D2098" s="898" t="s">
        <v>578</v>
      </c>
      <c r="E2098" s="1286">
        <v>930</v>
      </c>
      <c r="F2098" s="916" t="s">
        <v>7206</v>
      </c>
      <c r="G2098" s="898" t="s">
        <v>7207</v>
      </c>
      <c r="H2098" s="1287" t="s">
        <v>583</v>
      </c>
      <c r="I2098" s="1288" t="s">
        <v>7055</v>
      </c>
      <c r="J2098" s="943"/>
      <c r="K2098" s="1378">
        <v>417</v>
      </c>
      <c r="L2098" s="1284">
        <v>12</v>
      </c>
      <c r="M2098" s="1289">
        <v>930</v>
      </c>
      <c r="N2098" s="898"/>
      <c r="O2098" s="898"/>
      <c r="P2098" s="899"/>
    </row>
    <row r="2099" spans="1:16" ht="36" x14ac:dyDescent="0.2">
      <c r="A2099" s="916" t="s">
        <v>7051</v>
      </c>
      <c r="B2099" s="898" t="s">
        <v>4291</v>
      </c>
      <c r="C2099" s="916" t="s">
        <v>398</v>
      </c>
      <c r="D2099" s="898" t="s">
        <v>5040</v>
      </c>
      <c r="E2099" s="1281">
        <v>930</v>
      </c>
      <c r="F2099" s="916" t="s">
        <v>7208</v>
      </c>
      <c r="G2099" s="898" t="s">
        <v>7209</v>
      </c>
      <c r="H2099" s="1282" t="s">
        <v>7077</v>
      </c>
      <c r="I2099" s="1283" t="s">
        <v>7062</v>
      </c>
      <c r="J2099" s="943"/>
      <c r="K2099" s="1378">
        <v>401</v>
      </c>
      <c r="L2099" s="1284">
        <v>12</v>
      </c>
      <c r="M2099" s="1285">
        <v>930</v>
      </c>
      <c r="N2099" s="898"/>
      <c r="O2099" s="898"/>
      <c r="P2099" s="899"/>
    </row>
    <row r="2100" spans="1:16" ht="36" x14ac:dyDescent="0.2">
      <c r="A2100" s="916" t="s">
        <v>7051</v>
      </c>
      <c r="B2100" s="898" t="s">
        <v>4291</v>
      </c>
      <c r="C2100" s="916" t="s">
        <v>398</v>
      </c>
      <c r="D2100" s="898" t="s">
        <v>5040</v>
      </c>
      <c r="E2100" s="1281">
        <v>930</v>
      </c>
      <c r="F2100" s="916" t="s">
        <v>7210</v>
      </c>
      <c r="G2100" s="898" t="s">
        <v>7211</v>
      </c>
      <c r="H2100" s="1282" t="s">
        <v>7054</v>
      </c>
      <c r="I2100" s="1283" t="s">
        <v>7055</v>
      </c>
      <c r="J2100" s="943"/>
      <c r="K2100" s="1378">
        <v>478</v>
      </c>
      <c r="L2100" s="1284">
        <v>12</v>
      </c>
      <c r="M2100" s="1285">
        <v>930</v>
      </c>
      <c r="N2100" s="898"/>
      <c r="O2100" s="898"/>
      <c r="P2100" s="899"/>
    </row>
    <row r="2101" spans="1:16" ht="36" x14ac:dyDescent="0.2">
      <c r="A2101" s="916" t="s">
        <v>7051</v>
      </c>
      <c r="B2101" s="898" t="s">
        <v>4291</v>
      </c>
      <c r="C2101" s="916" t="s">
        <v>398</v>
      </c>
      <c r="D2101" s="898" t="s">
        <v>578</v>
      </c>
      <c r="E2101" s="1286">
        <v>930</v>
      </c>
      <c r="F2101" s="916" t="s">
        <v>7212</v>
      </c>
      <c r="G2101" s="898" t="s">
        <v>7213</v>
      </c>
      <c r="H2101" s="1287" t="s">
        <v>583</v>
      </c>
      <c r="I2101" s="1288" t="s">
        <v>7055</v>
      </c>
      <c r="J2101" s="943"/>
      <c r="K2101" s="1378">
        <v>425</v>
      </c>
      <c r="L2101" s="1284">
        <v>12</v>
      </c>
      <c r="M2101" s="1289">
        <v>930</v>
      </c>
      <c r="N2101" s="898"/>
      <c r="O2101" s="898"/>
      <c r="P2101" s="899"/>
    </row>
    <row r="2102" spans="1:16" ht="36" x14ac:dyDescent="0.2">
      <c r="A2102" s="916" t="s">
        <v>7051</v>
      </c>
      <c r="B2102" s="898" t="s">
        <v>4291</v>
      </c>
      <c r="C2102" s="916" t="s">
        <v>398</v>
      </c>
      <c r="D2102" s="898" t="s">
        <v>5040</v>
      </c>
      <c r="E2102" s="1281">
        <v>930</v>
      </c>
      <c r="F2102" s="916" t="s">
        <v>7214</v>
      </c>
      <c r="G2102" s="898" t="s">
        <v>7215</v>
      </c>
      <c r="H2102" s="1282" t="s">
        <v>7077</v>
      </c>
      <c r="I2102" s="1283" t="s">
        <v>7062</v>
      </c>
      <c r="J2102" s="943"/>
      <c r="K2102" s="1378">
        <v>98</v>
      </c>
      <c r="L2102" s="1284">
        <v>6</v>
      </c>
      <c r="M2102" s="1285">
        <v>930</v>
      </c>
      <c r="N2102" s="898"/>
      <c r="O2102" s="898"/>
      <c r="P2102" s="899"/>
    </row>
    <row r="2103" spans="1:16" ht="36" x14ac:dyDescent="0.2">
      <c r="A2103" s="916" t="s">
        <v>7051</v>
      </c>
      <c r="B2103" s="898" t="s">
        <v>4291</v>
      </c>
      <c r="C2103" s="916" t="s">
        <v>398</v>
      </c>
      <c r="D2103" s="898" t="s">
        <v>5040</v>
      </c>
      <c r="E2103" s="1286">
        <v>930</v>
      </c>
      <c r="F2103" s="916" t="s">
        <v>7216</v>
      </c>
      <c r="G2103" s="898" t="s">
        <v>7217</v>
      </c>
      <c r="H2103" s="1287" t="s">
        <v>7077</v>
      </c>
      <c r="I2103" s="1288" t="s">
        <v>7062</v>
      </c>
      <c r="J2103" s="943"/>
      <c r="K2103" s="1378">
        <v>109</v>
      </c>
      <c r="L2103" s="1284">
        <v>9</v>
      </c>
      <c r="M2103" s="1289">
        <v>930</v>
      </c>
      <c r="N2103" s="898"/>
      <c r="O2103" s="898"/>
      <c r="P2103" s="899"/>
    </row>
    <row r="2104" spans="1:16" ht="36" x14ac:dyDescent="0.2">
      <c r="A2104" s="916" t="s">
        <v>7051</v>
      </c>
      <c r="B2104" s="898" t="s">
        <v>4291</v>
      </c>
      <c r="C2104" s="916" t="s">
        <v>398</v>
      </c>
      <c r="D2104" s="898" t="s">
        <v>5040</v>
      </c>
      <c r="E2104" s="1281">
        <v>1500</v>
      </c>
      <c r="F2104" s="916" t="s">
        <v>7218</v>
      </c>
      <c r="G2104" s="898" t="s">
        <v>7219</v>
      </c>
      <c r="H2104" s="1282" t="s">
        <v>7087</v>
      </c>
      <c r="I2104" s="1283" t="s">
        <v>7088</v>
      </c>
      <c r="J2104" s="943"/>
      <c r="K2104" s="1378">
        <v>0</v>
      </c>
      <c r="L2104" s="1284">
        <v>0</v>
      </c>
      <c r="M2104" s="1285">
        <v>1500</v>
      </c>
      <c r="N2104" s="898"/>
      <c r="O2104" s="898"/>
      <c r="P2104" s="899"/>
    </row>
    <row r="2105" spans="1:16" ht="36" x14ac:dyDescent="0.2">
      <c r="A2105" s="916" t="s">
        <v>7051</v>
      </c>
      <c r="B2105" s="898" t="s">
        <v>4291</v>
      </c>
      <c r="C2105" s="916" t="s">
        <v>398</v>
      </c>
      <c r="D2105" s="898" t="s">
        <v>578</v>
      </c>
      <c r="E2105" s="1286">
        <v>1500</v>
      </c>
      <c r="F2105" s="916" t="s">
        <v>7220</v>
      </c>
      <c r="G2105" s="898" t="s">
        <v>7221</v>
      </c>
      <c r="H2105" s="1287" t="s">
        <v>3281</v>
      </c>
      <c r="I2105" s="1288" t="s">
        <v>7062</v>
      </c>
      <c r="J2105" s="943"/>
      <c r="K2105" s="1378">
        <v>365</v>
      </c>
      <c r="L2105" s="1284">
        <v>12</v>
      </c>
      <c r="M2105" s="1289">
        <v>1500</v>
      </c>
      <c r="N2105" s="898"/>
      <c r="O2105" s="898"/>
      <c r="P2105" s="899"/>
    </row>
    <row r="2106" spans="1:16" ht="36" x14ac:dyDescent="0.2">
      <c r="A2106" s="916" t="s">
        <v>7051</v>
      </c>
      <c r="B2106" s="898" t="s">
        <v>4291</v>
      </c>
      <c r="C2106" s="916" t="s">
        <v>398</v>
      </c>
      <c r="D2106" s="898" t="s">
        <v>578</v>
      </c>
      <c r="E2106" s="1281">
        <v>1200</v>
      </c>
      <c r="F2106" s="916" t="s">
        <v>7222</v>
      </c>
      <c r="G2106" s="898" t="s">
        <v>7223</v>
      </c>
      <c r="H2106" s="1282" t="s">
        <v>3281</v>
      </c>
      <c r="I2106" s="1283" t="s">
        <v>7062</v>
      </c>
      <c r="J2106" s="943"/>
      <c r="K2106" s="1378">
        <v>422</v>
      </c>
      <c r="L2106" s="1284">
        <v>12</v>
      </c>
      <c r="M2106" s="1285">
        <v>1200</v>
      </c>
      <c r="N2106" s="898"/>
      <c r="O2106" s="898"/>
      <c r="P2106" s="899"/>
    </row>
    <row r="2107" spans="1:16" ht="36" x14ac:dyDescent="0.2">
      <c r="A2107" s="916" t="s">
        <v>7051</v>
      </c>
      <c r="B2107" s="898" t="s">
        <v>4291</v>
      </c>
      <c r="C2107" s="916" t="s">
        <v>398</v>
      </c>
      <c r="D2107" s="898" t="s">
        <v>578</v>
      </c>
      <c r="E2107" s="1286">
        <v>1200</v>
      </c>
      <c r="F2107" s="916" t="s">
        <v>7224</v>
      </c>
      <c r="G2107" s="898" t="s">
        <v>7225</v>
      </c>
      <c r="H2107" s="1287" t="s">
        <v>583</v>
      </c>
      <c r="I2107" s="1288" t="s">
        <v>7055</v>
      </c>
      <c r="J2107" s="943"/>
      <c r="K2107" s="1378">
        <v>358</v>
      </c>
      <c r="L2107" s="1284">
        <v>12</v>
      </c>
      <c r="M2107" s="1289">
        <v>1200</v>
      </c>
      <c r="N2107" s="898"/>
      <c r="O2107" s="898"/>
      <c r="P2107" s="899"/>
    </row>
    <row r="2108" spans="1:16" ht="36" x14ac:dyDescent="0.2">
      <c r="A2108" s="916" t="s">
        <v>7051</v>
      </c>
      <c r="B2108" s="898" t="s">
        <v>4291</v>
      </c>
      <c r="C2108" s="916" t="s">
        <v>398</v>
      </c>
      <c r="D2108" s="898" t="s">
        <v>578</v>
      </c>
      <c r="E2108" s="1281">
        <v>1200</v>
      </c>
      <c r="F2108" s="916" t="s">
        <v>7226</v>
      </c>
      <c r="G2108" s="898" t="s">
        <v>7227</v>
      </c>
      <c r="H2108" s="1282" t="s">
        <v>3157</v>
      </c>
      <c r="I2108" s="1283" t="s">
        <v>7062</v>
      </c>
      <c r="J2108" s="943"/>
      <c r="K2108" s="1378">
        <v>473</v>
      </c>
      <c r="L2108" s="1284">
        <v>12</v>
      </c>
      <c r="M2108" s="1285">
        <v>1200</v>
      </c>
      <c r="N2108" s="898"/>
      <c r="O2108" s="898"/>
      <c r="P2108" s="899"/>
    </row>
    <row r="2109" spans="1:16" ht="36" x14ac:dyDescent="0.2">
      <c r="A2109" s="916" t="s">
        <v>7051</v>
      </c>
      <c r="B2109" s="898" t="s">
        <v>4291</v>
      </c>
      <c r="C2109" s="916" t="s">
        <v>398</v>
      </c>
      <c r="D2109" s="898" t="s">
        <v>5040</v>
      </c>
      <c r="E2109" s="1286">
        <v>930</v>
      </c>
      <c r="F2109" s="916" t="s">
        <v>7228</v>
      </c>
      <c r="G2109" s="898" t="s">
        <v>7229</v>
      </c>
      <c r="H2109" s="1287" t="s">
        <v>7054</v>
      </c>
      <c r="I2109" s="1288" t="s">
        <v>7055</v>
      </c>
      <c r="J2109" s="943"/>
      <c r="K2109" s="1378">
        <v>469</v>
      </c>
      <c r="L2109" s="1284">
        <v>6</v>
      </c>
      <c r="M2109" s="1289">
        <v>930</v>
      </c>
      <c r="N2109" s="898"/>
      <c r="O2109" s="898"/>
      <c r="P2109" s="899"/>
    </row>
    <row r="2110" spans="1:16" ht="36" x14ac:dyDescent="0.2">
      <c r="A2110" s="916" t="s">
        <v>7051</v>
      </c>
      <c r="B2110" s="898" t="s">
        <v>4291</v>
      </c>
      <c r="C2110" s="916" t="s">
        <v>398</v>
      </c>
      <c r="D2110" s="898" t="s">
        <v>578</v>
      </c>
      <c r="E2110" s="1286">
        <v>930</v>
      </c>
      <c r="F2110" s="916" t="s">
        <v>7230</v>
      </c>
      <c r="G2110" s="898" t="s">
        <v>7231</v>
      </c>
      <c r="H2110" s="1287" t="s">
        <v>3186</v>
      </c>
      <c r="I2110" s="1288" t="s">
        <v>7062</v>
      </c>
      <c r="J2110" s="943"/>
      <c r="K2110" s="1378">
        <v>319</v>
      </c>
      <c r="L2110" s="1284">
        <v>12</v>
      </c>
      <c r="M2110" s="1289">
        <v>930</v>
      </c>
      <c r="N2110" s="898"/>
      <c r="O2110" s="898"/>
      <c r="P2110" s="899"/>
    </row>
    <row r="2111" spans="1:16" ht="36" x14ac:dyDescent="0.2">
      <c r="A2111" s="916" t="s">
        <v>7051</v>
      </c>
      <c r="B2111" s="898" t="s">
        <v>4291</v>
      </c>
      <c r="C2111" s="916" t="s">
        <v>398</v>
      </c>
      <c r="D2111" s="898" t="s">
        <v>5040</v>
      </c>
      <c r="E2111" s="1281">
        <v>930</v>
      </c>
      <c r="F2111" s="916" t="s">
        <v>7232</v>
      </c>
      <c r="G2111" s="898" t="s">
        <v>7233</v>
      </c>
      <c r="H2111" s="1282" t="s">
        <v>5095</v>
      </c>
      <c r="I2111" s="1283" t="s">
        <v>7055</v>
      </c>
      <c r="J2111" s="943"/>
      <c r="K2111" s="1378">
        <v>459</v>
      </c>
      <c r="L2111" s="1284">
        <v>12</v>
      </c>
      <c r="M2111" s="1285">
        <v>930</v>
      </c>
      <c r="N2111" s="898"/>
      <c r="O2111" s="898"/>
      <c r="P2111" s="899"/>
    </row>
    <row r="2112" spans="1:16" ht="36" x14ac:dyDescent="0.2">
      <c r="A2112" s="916" t="s">
        <v>7051</v>
      </c>
      <c r="B2112" s="898" t="s">
        <v>4291</v>
      </c>
      <c r="C2112" s="916" t="s">
        <v>398</v>
      </c>
      <c r="D2112" s="898" t="s">
        <v>5040</v>
      </c>
      <c r="E2112" s="1286">
        <v>930</v>
      </c>
      <c r="F2112" s="916" t="s">
        <v>7234</v>
      </c>
      <c r="G2112" s="898" t="s">
        <v>7235</v>
      </c>
      <c r="H2112" s="1287" t="s">
        <v>580</v>
      </c>
      <c r="I2112" s="1288" t="s">
        <v>7062</v>
      </c>
      <c r="J2112" s="943"/>
      <c r="K2112" s="1378">
        <v>444</v>
      </c>
      <c r="L2112" s="1284">
        <v>12</v>
      </c>
      <c r="M2112" s="1289">
        <v>930</v>
      </c>
      <c r="N2112" s="898"/>
      <c r="O2112" s="898"/>
      <c r="P2112" s="899"/>
    </row>
    <row r="2113" spans="1:16" ht="36" x14ac:dyDescent="0.2">
      <c r="A2113" s="916" t="s">
        <v>7051</v>
      </c>
      <c r="B2113" s="898" t="s">
        <v>4291</v>
      </c>
      <c r="C2113" s="916" t="s">
        <v>398</v>
      </c>
      <c r="D2113" s="898" t="s">
        <v>5040</v>
      </c>
      <c r="E2113" s="1281">
        <v>930</v>
      </c>
      <c r="F2113" s="916" t="s">
        <v>7236</v>
      </c>
      <c r="G2113" s="898" t="s">
        <v>7237</v>
      </c>
      <c r="H2113" s="1282" t="s">
        <v>580</v>
      </c>
      <c r="I2113" s="1283" t="s">
        <v>7062</v>
      </c>
      <c r="J2113" s="943"/>
      <c r="K2113" s="1378">
        <v>356</v>
      </c>
      <c r="L2113" s="1284">
        <v>12</v>
      </c>
      <c r="M2113" s="1285">
        <v>930</v>
      </c>
      <c r="N2113" s="898"/>
      <c r="O2113" s="898"/>
      <c r="P2113" s="899"/>
    </row>
    <row r="2114" spans="1:16" ht="36" x14ac:dyDescent="0.2">
      <c r="A2114" s="916" t="s">
        <v>7051</v>
      </c>
      <c r="B2114" s="898" t="s">
        <v>4291</v>
      </c>
      <c r="C2114" s="916" t="s">
        <v>398</v>
      </c>
      <c r="D2114" s="898" t="s">
        <v>5040</v>
      </c>
      <c r="E2114" s="1286">
        <v>930</v>
      </c>
      <c r="F2114" s="916" t="s">
        <v>7238</v>
      </c>
      <c r="G2114" s="898" t="s">
        <v>7239</v>
      </c>
      <c r="H2114" s="1287" t="s">
        <v>7054</v>
      </c>
      <c r="I2114" s="1288" t="s">
        <v>7055</v>
      </c>
      <c r="J2114" s="943"/>
      <c r="K2114" s="1378">
        <v>467</v>
      </c>
      <c r="L2114" s="1284">
        <v>12</v>
      </c>
      <c r="M2114" s="1289">
        <v>930</v>
      </c>
      <c r="N2114" s="898"/>
      <c r="O2114" s="898"/>
      <c r="P2114" s="899"/>
    </row>
    <row r="2115" spans="1:16" ht="36" x14ac:dyDescent="0.2">
      <c r="A2115" s="916" t="s">
        <v>7051</v>
      </c>
      <c r="B2115" s="898" t="s">
        <v>4291</v>
      </c>
      <c r="C2115" s="916" t="s">
        <v>398</v>
      </c>
      <c r="D2115" s="898" t="s">
        <v>5040</v>
      </c>
      <c r="E2115" s="1281">
        <v>930</v>
      </c>
      <c r="F2115" s="916" t="s">
        <v>7240</v>
      </c>
      <c r="G2115" s="898" t="s">
        <v>7241</v>
      </c>
      <c r="H2115" s="1282" t="s">
        <v>580</v>
      </c>
      <c r="I2115" s="1283" t="s">
        <v>7062</v>
      </c>
      <c r="J2115" s="943"/>
      <c r="K2115" s="1378">
        <v>466</v>
      </c>
      <c r="L2115" s="1284">
        <v>12</v>
      </c>
      <c r="M2115" s="1285">
        <v>930</v>
      </c>
      <c r="N2115" s="898"/>
      <c r="O2115" s="898"/>
      <c r="P2115" s="899"/>
    </row>
    <row r="2116" spans="1:16" ht="36" x14ac:dyDescent="0.2">
      <c r="A2116" s="916" t="s">
        <v>7051</v>
      </c>
      <c r="B2116" s="898" t="s">
        <v>4291</v>
      </c>
      <c r="C2116" s="916" t="s">
        <v>398</v>
      </c>
      <c r="D2116" s="898" t="s">
        <v>5040</v>
      </c>
      <c r="E2116" s="1286">
        <v>930</v>
      </c>
      <c r="F2116" s="916" t="s">
        <v>7242</v>
      </c>
      <c r="G2116" s="898" t="s">
        <v>7243</v>
      </c>
      <c r="H2116" s="1287" t="s">
        <v>7077</v>
      </c>
      <c r="I2116" s="1288" t="s">
        <v>7062</v>
      </c>
      <c r="J2116" s="943"/>
      <c r="K2116" s="1378">
        <v>373</v>
      </c>
      <c r="L2116" s="1284">
        <v>12</v>
      </c>
      <c r="M2116" s="1289">
        <v>930</v>
      </c>
      <c r="N2116" s="898"/>
      <c r="O2116" s="898"/>
      <c r="P2116" s="899"/>
    </row>
    <row r="2117" spans="1:16" ht="36" x14ac:dyDescent="0.2">
      <c r="A2117" s="916" t="s">
        <v>7051</v>
      </c>
      <c r="B2117" s="898" t="s">
        <v>4291</v>
      </c>
      <c r="C2117" s="916" t="s">
        <v>398</v>
      </c>
      <c r="D2117" s="898" t="s">
        <v>578</v>
      </c>
      <c r="E2117" s="1281">
        <v>930</v>
      </c>
      <c r="F2117" s="916" t="s">
        <v>7244</v>
      </c>
      <c r="G2117" s="898" t="s">
        <v>7245</v>
      </c>
      <c r="H2117" s="1282" t="s">
        <v>583</v>
      </c>
      <c r="I2117" s="1283" t="s">
        <v>7055</v>
      </c>
      <c r="J2117" s="943"/>
      <c r="K2117" s="1378">
        <v>477</v>
      </c>
      <c r="L2117" s="1284">
        <v>12</v>
      </c>
      <c r="M2117" s="1285">
        <v>930</v>
      </c>
      <c r="N2117" s="898"/>
      <c r="O2117" s="898"/>
      <c r="P2117" s="899"/>
    </row>
    <row r="2118" spans="1:16" ht="36" x14ac:dyDescent="0.2">
      <c r="A2118" s="916" t="s">
        <v>7051</v>
      </c>
      <c r="B2118" s="898" t="s">
        <v>4291</v>
      </c>
      <c r="C2118" s="916" t="s">
        <v>398</v>
      </c>
      <c r="D2118" s="898" t="s">
        <v>5040</v>
      </c>
      <c r="E2118" s="1281">
        <v>2000</v>
      </c>
      <c r="F2118" s="916" t="s">
        <v>7246</v>
      </c>
      <c r="G2118" s="898" t="s">
        <v>7247</v>
      </c>
      <c r="H2118" s="1282" t="s">
        <v>7087</v>
      </c>
      <c r="I2118" s="1283" t="s">
        <v>7088</v>
      </c>
      <c r="J2118" s="943"/>
      <c r="K2118" s="1378">
        <v>364</v>
      </c>
      <c r="L2118" s="1284">
        <v>12</v>
      </c>
      <c r="M2118" s="1285">
        <v>2000</v>
      </c>
      <c r="N2118" s="898"/>
      <c r="O2118" s="898"/>
      <c r="P2118" s="899"/>
    </row>
    <row r="2119" spans="1:16" ht="36" x14ac:dyDescent="0.2">
      <c r="A2119" s="916" t="s">
        <v>7051</v>
      </c>
      <c r="B2119" s="898" t="s">
        <v>4291</v>
      </c>
      <c r="C2119" s="916" t="s">
        <v>398</v>
      </c>
      <c r="D2119" s="898" t="s">
        <v>5040</v>
      </c>
      <c r="E2119" s="1286">
        <v>2000</v>
      </c>
      <c r="F2119" s="916" t="s">
        <v>7248</v>
      </c>
      <c r="G2119" s="898" t="s">
        <v>7249</v>
      </c>
      <c r="H2119" s="1287" t="s">
        <v>7087</v>
      </c>
      <c r="I2119" s="1288" t="s">
        <v>7088</v>
      </c>
      <c r="J2119" s="943"/>
      <c r="K2119" s="1378">
        <v>335</v>
      </c>
      <c r="L2119" s="1284">
        <v>12</v>
      </c>
      <c r="M2119" s="1289">
        <v>2000</v>
      </c>
      <c r="N2119" s="898"/>
      <c r="O2119" s="898"/>
      <c r="P2119" s="899"/>
    </row>
    <row r="2120" spans="1:16" ht="36" x14ac:dyDescent="0.2">
      <c r="A2120" s="916" t="s">
        <v>7051</v>
      </c>
      <c r="B2120" s="898" t="s">
        <v>4291</v>
      </c>
      <c r="C2120" s="916" t="s">
        <v>398</v>
      </c>
      <c r="D2120" s="898" t="s">
        <v>5040</v>
      </c>
      <c r="E2120" s="1286">
        <v>2000</v>
      </c>
      <c r="F2120" s="916" t="s">
        <v>7250</v>
      </c>
      <c r="G2120" s="898" t="s">
        <v>7251</v>
      </c>
      <c r="H2120" s="1287" t="s">
        <v>7087</v>
      </c>
      <c r="I2120" s="1288" t="s">
        <v>7088</v>
      </c>
      <c r="J2120" s="943"/>
      <c r="K2120" s="1378">
        <v>89</v>
      </c>
      <c r="L2120" s="1284">
        <v>12</v>
      </c>
      <c r="M2120" s="1289">
        <v>2000</v>
      </c>
      <c r="N2120" s="898"/>
      <c r="O2120" s="898"/>
      <c r="P2120" s="899"/>
    </row>
    <row r="2121" spans="1:16" ht="36" x14ac:dyDescent="0.2">
      <c r="A2121" s="916" t="s">
        <v>7051</v>
      </c>
      <c r="B2121" s="898" t="s">
        <v>4291</v>
      </c>
      <c r="C2121" s="916" t="s">
        <v>398</v>
      </c>
      <c r="D2121" s="898" t="s">
        <v>5040</v>
      </c>
      <c r="E2121" s="1281">
        <v>6000</v>
      </c>
      <c r="F2121" s="916" t="s">
        <v>7252</v>
      </c>
      <c r="G2121" s="898" t="s">
        <v>7253</v>
      </c>
      <c r="H2121" s="1282" t="s">
        <v>5077</v>
      </c>
      <c r="I2121" s="1283" t="s">
        <v>7088</v>
      </c>
      <c r="J2121" s="943"/>
      <c r="K2121" s="1378">
        <v>395</v>
      </c>
      <c r="L2121" s="1284">
        <v>12</v>
      </c>
      <c r="M2121" s="1285">
        <v>6000</v>
      </c>
      <c r="N2121" s="898"/>
      <c r="O2121" s="898"/>
      <c r="P2121" s="899"/>
    </row>
    <row r="2122" spans="1:16" ht="36" x14ac:dyDescent="0.2">
      <c r="A2122" s="916" t="s">
        <v>7051</v>
      </c>
      <c r="B2122" s="898" t="s">
        <v>4291</v>
      </c>
      <c r="C2122" s="916" t="s">
        <v>398</v>
      </c>
      <c r="D2122" s="898" t="s">
        <v>5040</v>
      </c>
      <c r="E2122" s="1286">
        <v>2000</v>
      </c>
      <c r="F2122" s="916" t="s">
        <v>7254</v>
      </c>
      <c r="G2122" s="898" t="s">
        <v>7255</v>
      </c>
      <c r="H2122" s="1287" t="s">
        <v>7087</v>
      </c>
      <c r="I2122" s="1288" t="s">
        <v>7088</v>
      </c>
      <c r="J2122" s="943"/>
      <c r="K2122" s="1378">
        <v>232</v>
      </c>
      <c r="L2122" s="1284">
        <v>6</v>
      </c>
      <c r="M2122" s="1289">
        <v>2000</v>
      </c>
      <c r="N2122" s="898"/>
      <c r="O2122" s="898"/>
      <c r="P2122" s="899"/>
    </row>
    <row r="2123" spans="1:16" ht="36" x14ac:dyDescent="0.2">
      <c r="A2123" s="916" t="s">
        <v>7051</v>
      </c>
      <c r="B2123" s="898" t="s">
        <v>4291</v>
      </c>
      <c r="C2123" s="916" t="s">
        <v>398</v>
      </c>
      <c r="D2123" s="898" t="s">
        <v>5040</v>
      </c>
      <c r="E2123" s="1281">
        <v>6000</v>
      </c>
      <c r="F2123" s="916" t="s">
        <v>7256</v>
      </c>
      <c r="G2123" s="898" t="s">
        <v>7257</v>
      </c>
      <c r="H2123" s="1282" t="s">
        <v>5077</v>
      </c>
      <c r="I2123" s="1283" t="s">
        <v>7088</v>
      </c>
      <c r="J2123" s="943"/>
      <c r="K2123" s="1378">
        <v>334</v>
      </c>
      <c r="L2123" s="1284">
        <v>12</v>
      </c>
      <c r="M2123" s="1285">
        <v>6000</v>
      </c>
      <c r="N2123" s="898"/>
      <c r="O2123" s="898"/>
      <c r="P2123" s="899"/>
    </row>
    <row r="2124" spans="1:16" ht="36" x14ac:dyDescent="0.2">
      <c r="A2124" s="916" t="s">
        <v>7051</v>
      </c>
      <c r="B2124" s="898" t="s">
        <v>4291</v>
      </c>
      <c r="C2124" s="916" t="s">
        <v>398</v>
      </c>
      <c r="D2124" s="898" t="s">
        <v>5040</v>
      </c>
      <c r="E2124" s="1286">
        <v>2000</v>
      </c>
      <c r="F2124" s="916" t="s">
        <v>7258</v>
      </c>
      <c r="G2124" s="898" t="s">
        <v>7259</v>
      </c>
      <c r="H2124" s="1287" t="s">
        <v>7087</v>
      </c>
      <c r="I2124" s="1288" t="s">
        <v>7088</v>
      </c>
      <c r="J2124" s="943"/>
      <c r="K2124" s="1378">
        <v>0</v>
      </c>
      <c r="L2124" s="1284">
        <v>0</v>
      </c>
      <c r="M2124" s="1289">
        <v>2000</v>
      </c>
      <c r="N2124" s="898"/>
      <c r="O2124" s="898"/>
      <c r="P2124" s="899"/>
    </row>
    <row r="2125" spans="1:16" ht="36" x14ac:dyDescent="0.2">
      <c r="A2125" s="916" t="s">
        <v>7051</v>
      </c>
      <c r="B2125" s="898" t="s">
        <v>4291</v>
      </c>
      <c r="C2125" s="916" t="s">
        <v>398</v>
      </c>
      <c r="D2125" s="898" t="s">
        <v>5040</v>
      </c>
      <c r="E2125" s="1281">
        <v>2000</v>
      </c>
      <c r="F2125" s="916" t="s">
        <v>7260</v>
      </c>
      <c r="G2125" s="898" t="s">
        <v>7261</v>
      </c>
      <c r="H2125" s="1282" t="s">
        <v>7087</v>
      </c>
      <c r="I2125" s="1283" t="s">
        <v>7088</v>
      </c>
      <c r="J2125" s="943"/>
      <c r="K2125" s="1378">
        <v>314</v>
      </c>
      <c r="L2125" s="1284">
        <v>6</v>
      </c>
      <c r="M2125" s="1285">
        <v>2000</v>
      </c>
      <c r="N2125" s="898"/>
      <c r="O2125" s="898"/>
      <c r="P2125" s="899"/>
    </row>
    <row r="2126" spans="1:16" ht="36" x14ac:dyDescent="0.2">
      <c r="A2126" s="916" t="s">
        <v>7051</v>
      </c>
      <c r="B2126" s="898" t="s">
        <v>4291</v>
      </c>
      <c r="C2126" s="916" t="s">
        <v>398</v>
      </c>
      <c r="D2126" s="898" t="s">
        <v>5040</v>
      </c>
      <c r="E2126" s="1286">
        <v>3800</v>
      </c>
      <c r="F2126" s="916" t="s">
        <v>7262</v>
      </c>
      <c r="G2126" s="898" t="s">
        <v>7263</v>
      </c>
      <c r="H2126" s="1287" t="s">
        <v>5077</v>
      </c>
      <c r="I2126" s="1288" t="s">
        <v>7088</v>
      </c>
      <c r="J2126" s="943"/>
      <c r="K2126" s="1378">
        <v>0</v>
      </c>
      <c r="L2126" s="1284">
        <v>0</v>
      </c>
      <c r="M2126" s="1289">
        <v>3800</v>
      </c>
      <c r="N2126" s="898"/>
      <c r="O2126" s="898"/>
      <c r="P2126" s="899"/>
    </row>
    <row r="2127" spans="1:16" ht="36" x14ac:dyDescent="0.2">
      <c r="A2127" s="916" t="s">
        <v>7051</v>
      </c>
      <c r="B2127" s="898" t="s">
        <v>4291</v>
      </c>
      <c r="C2127" s="916" t="s">
        <v>398</v>
      </c>
      <c r="D2127" s="898" t="s">
        <v>5040</v>
      </c>
      <c r="E2127" s="1281">
        <v>3800</v>
      </c>
      <c r="F2127" s="916" t="s">
        <v>7264</v>
      </c>
      <c r="G2127" s="898" t="s">
        <v>7265</v>
      </c>
      <c r="H2127" s="1282" t="s">
        <v>5077</v>
      </c>
      <c r="I2127" s="1283" t="s">
        <v>7088</v>
      </c>
      <c r="J2127" s="943"/>
      <c r="K2127" s="1378">
        <v>288</v>
      </c>
      <c r="L2127" s="1284">
        <v>6</v>
      </c>
      <c r="M2127" s="1285">
        <v>3800</v>
      </c>
      <c r="N2127" s="898"/>
      <c r="O2127" s="898"/>
      <c r="P2127" s="899"/>
    </row>
    <row r="2128" spans="1:16" ht="36" x14ac:dyDescent="0.2">
      <c r="A2128" s="916" t="s">
        <v>7051</v>
      </c>
      <c r="B2128" s="898" t="s">
        <v>4291</v>
      </c>
      <c r="C2128" s="916" t="s">
        <v>398</v>
      </c>
      <c r="D2128" s="898" t="s">
        <v>5040</v>
      </c>
      <c r="E2128" s="1286">
        <v>2000</v>
      </c>
      <c r="F2128" s="916" t="s">
        <v>7266</v>
      </c>
      <c r="G2128" s="898" t="s">
        <v>7267</v>
      </c>
      <c r="H2128" s="1287" t="s">
        <v>7087</v>
      </c>
      <c r="I2128" s="1288" t="s">
        <v>7088</v>
      </c>
      <c r="J2128" s="943"/>
      <c r="K2128" s="1378">
        <v>359</v>
      </c>
      <c r="L2128" s="1284">
        <v>6</v>
      </c>
      <c r="M2128" s="1289">
        <v>2000</v>
      </c>
      <c r="N2128" s="898"/>
      <c r="O2128" s="898"/>
      <c r="P2128" s="899"/>
    </row>
    <row r="2129" spans="1:16" ht="36" x14ac:dyDescent="0.2">
      <c r="A2129" s="916" t="s">
        <v>7051</v>
      </c>
      <c r="B2129" s="898" t="s">
        <v>4291</v>
      </c>
      <c r="C2129" s="916" t="s">
        <v>398</v>
      </c>
      <c r="D2129" s="898" t="s">
        <v>5040</v>
      </c>
      <c r="E2129" s="1286">
        <v>2000</v>
      </c>
      <c r="F2129" s="916" t="s">
        <v>7268</v>
      </c>
      <c r="G2129" s="898" t="s">
        <v>7269</v>
      </c>
      <c r="H2129" s="1287" t="s">
        <v>7087</v>
      </c>
      <c r="I2129" s="1288" t="s">
        <v>7088</v>
      </c>
      <c r="J2129" s="943"/>
      <c r="K2129" s="1378">
        <v>284</v>
      </c>
      <c r="L2129" s="1284">
        <v>6</v>
      </c>
      <c r="M2129" s="1289">
        <v>2000</v>
      </c>
      <c r="N2129" s="898"/>
      <c r="O2129" s="898"/>
      <c r="P2129" s="899"/>
    </row>
    <row r="2130" spans="1:16" ht="36" x14ac:dyDescent="0.2">
      <c r="A2130" s="916" t="s">
        <v>7051</v>
      </c>
      <c r="B2130" s="898" t="s">
        <v>4291</v>
      </c>
      <c r="C2130" s="916" t="s">
        <v>398</v>
      </c>
      <c r="D2130" s="898" t="s">
        <v>5040</v>
      </c>
      <c r="E2130" s="1281">
        <v>2000</v>
      </c>
      <c r="F2130" s="916" t="s">
        <v>7270</v>
      </c>
      <c r="G2130" s="898" t="s">
        <v>7271</v>
      </c>
      <c r="H2130" s="1282" t="s">
        <v>7087</v>
      </c>
      <c r="I2130" s="1283" t="s">
        <v>7088</v>
      </c>
      <c r="J2130" s="943"/>
      <c r="K2130" s="1378">
        <v>361</v>
      </c>
      <c r="L2130" s="1284">
        <v>6</v>
      </c>
      <c r="M2130" s="1285">
        <v>2000</v>
      </c>
      <c r="N2130" s="898"/>
      <c r="O2130" s="898"/>
      <c r="P2130" s="899"/>
    </row>
    <row r="2131" spans="1:16" ht="36" x14ac:dyDescent="0.2">
      <c r="A2131" s="916" t="s">
        <v>7051</v>
      </c>
      <c r="B2131" s="898" t="s">
        <v>4291</v>
      </c>
      <c r="C2131" s="916" t="s">
        <v>398</v>
      </c>
      <c r="D2131" s="898" t="s">
        <v>5040</v>
      </c>
      <c r="E2131" s="1286">
        <v>3800</v>
      </c>
      <c r="F2131" s="916" t="s">
        <v>7272</v>
      </c>
      <c r="G2131" s="898" t="s">
        <v>7273</v>
      </c>
      <c r="H2131" s="1287" t="s">
        <v>5077</v>
      </c>
      <c r="I2131" s="1288" t="s">
        <v>7088</v>
      </c>
      <c r="J2131" s="943"/>
      <c r="K2131" s="1378">
        <v>356</v>
      </c>
      <c r="L2131" s="1284">
        <v>6</v>
      </c>
      <c r="M2131" s="1289">
        <v>3800</v>
      </c>
      <c r="N2131" s="898"/>
      <c r="O2131" s="898"/>
      <c r="P2131" s="899"/>
    </row>
    <row r="2132" spans="1:16" ht="36" x14ac:dyDescent="0.2">
      <c r="A2132" s="916" t="s">
        <v>7051</v>
      </c>
      <c r="B2132" s="898" t="s">
        <v>4291</v>
      </c>
      <c r="C2132" s="916" t="s">
        <v>398</v>
      </c>
      <c r="D2132" s="898" t="s">
        <v>5040</v>
      </c>
      <c r="E2132" s="1286">
        <v>2000</v>
      </c>
      <c r="F2132" s="916" t="s">
        <v>7274</v>
      </c>
      <c r="G2132" s="898" t="s">
        <v>7275</v>
      </c>
      <c r="H2132" s="1287" t="s">
        <v>7087</v>
      </c>
      <c r="I2132" s="1288" t="s">
        <v>7088</v>
      </c>
      <c r="J2132" s="943"/>
      <c r="K2132" s="1378">
        <v>78</v>
      </c>
      <c r="L2132" s="1284">
        <v>8</v>
      </c>
      <c r="M2132" s="1289">
        <v>2000</v>
      </c>
      <c r="N2132" s="898"/>
      <c r="O2132" s="898"/>
      <c r="P2132" s="899"/>
    </row>
    <row r="2133" spans="1:16" ht="36" x14ac:dyDescent="0.2">
      <c r="A2133" s="916" t="s">
        <v>7051</v>
      </c>
      <c r="B2133" s="898" t="s">
        <v>4291</v>
      </c>
      <c r="C2133" s="916" t="s">
        <v>398</v>
      </c>
      <c r="D2133" s="898" t="s">
        <v>5040</v>
      </c>
      <c r="E2133" s="1281">
        <v>2000</v>
      </c>
      <c r="F2133" s="916" t="s">
        <v>7276</v>
      </c>
      <c r="G2133" s="898" t="s">
        <v>7277</v>
      </c>
      <c r="H2133" s="1282" t="s">
        <v>5106</v>
      </c>
      <c r="I2133" s="1283" t="s">
        <v>7088</v>
      </c>
      <c r="J2133" s="943"/>
      <c r="K2133" s="1378">
        <v>443</v>
      </c>
      <c r="L2133" s="1284">
        <v>12</v>
      </c>
      <c r="M2133" s="1285">
        <v>2000</v>
      </c>
      <c r="N2133" s="898"/>
      <c r="O2133" s="898"/>
      <c r="P2133" s="899"/>
    </row>
    <row r="2134" spans="1:16" ht="36" x14ac:dyDescent="0.2">
      <c r="A2134" s="916" t="s">
        <v>7051</v>
      </c>
      <c r="B2134" s="898" t="s">
        <v>4291</v>
      </c>
      <c r="C2134" s="916" t="s">
        <v>398</v>
      </c>
      <c r="D2134" s="898" t="s">
        <v>5040</v>
      </c>
      <c r="E2134" s="1286">
        <v>3800</v>
      </c>
      <c r="F2134" s="916" t="s">
        <v>7278</v>
      </c>
      <c r="G2134" s="898" t="s">
        <v>7279</v>
      </c>
      <c r="H2134" s="1287" t="s">
        <v>5077</v>
      </c>
      <c r="I2134" s="1288" t="s">
        <v>7088</v>
      </c>
      <c r="J2134" s="943"/>
      <c r="K2134" s="1378">
        <v>366</v>
      </c>
      <c r="L2134" s="1284">
        <v>12</v>
      </c>
      <c r="M2134" s="1289">
        <v>3800</v>
      </c>
      <c r="N2134" s="898"/>
      <c r="O2134" s="898"/>
      <c r="P2134" s="899"/>
    </row>
    <row r="2135" spans="1:16" ht="36" x14ac:dyDescent="0.2">
      <c r="A2135" s="916" t="s">
        <v>7051</v>
      </c>
      <c r="B2135" s="898" t="s">
        <v>4291</v>
      </c>
      <c r="C2135" s="916" t="s">
        <v>398</v>
      </c>
      <c r="D2135" s="898" t="s">
        <v>5040</v>
      </c>
      <c r="E2135" s="1286">
        <v>2000</v>
      </c>
      <c r="F2135" s="916" t="s">
        <v>7280</v>
      </c>
      <c r="G2135" s="898" t="s">
        <v>7281</v>
      </c>
      <c r="H2135" s="1287" t="s">
        <v>7087</v>
      </c>
      <c r="I2135" s="1288" t="s">
        <v>7088</v>
      </c>
      <c r="J2135" s="943"/>
      <c r="K2135" s="1378">
        <v>305</v>
      </c>
      <c r="L2135" s="1284">
        <v>8</v>
      </c>
      <c r="M2135" s="1289">
        <v>2000</v>
      </c>
      <c r="N2135" s="898"/>
      <c r="O2135" s="898"/>
      <c r="P2135" s="899"/>
    </row>
    <row r="2136" spans="1:16" ht="36" x14ac:dyDescent="0.2">
      <c r="A2136" s="916" t="s">
        <v>7051</v>
      </c>
      <c r="B2136" s="898" t="s">
        <v>4291</v>
      </c>
      <c r="C2136" s="916" t="s">
        <v>398</v>
      </c>
      <c r="D2136" s="898" t="s">
        <v>5040</v>
      </c>
      <c r="E2136" s="1281">
        <v>2000</v>
      </c>
      <c r="F2136" s="916" t="s">
        <v>7282</v>
      </c>
      <c r="G2136" s="898" t="s">
        <v>7283</v>
      </c>
      <c r="H2136" s="1282" t="s">
        <v>7087</v>
      </c>
      <c r="I2136" s="1283" t="s">
        <v>7088</v>
      </c>
      <c r="J2136" s="943"/>
      <c r="K2136" s="1378">
        <v>341</v>
      </c>
      <c r="L2136" s="1284">
        <v>12</v>
      </c>
      <c r="M2136" s="1285">
        <v>2000</v>
      </c>
      <c r="N2136" s="898"/>
      <c r="O2136" s="898"/>
      <c r="P2136" s="899"/>
    </row>
    <row r="2137" spans="1:16" ht="36" x14ac:dyDescent="0.2">
      <c r="A2137" s="916" t="s">
        <v>7051</v>
      </c>
      <c r="B2137" s="898" t="s">
        <v>4291</v>
      </c>
      <c r="C2137" s="916" t="s">
        <v>398</v>
      </c>
      <c r="D2137" s="898" t="s">
        <v>5040</v>
      </c>
      <c r="E2137" s="1286">
        <v>2000</v>
      </c>
      <c r="F2137" s="916" t="s">
        <v>7284</v>
      </c>
      <c r="G2137" s="898" t="s">
        <v>7285</v>
      </c>
      <c r="H2137" s="1287" t="s">
        <v>7087</v>
      </c>
      <c r="I2137" s="1288" t="s">
        <v>7088</v>
      </c>
      <c r="J2137" s="943"/>
      <c r="K2137" s="1378">
        <v>319</v>
      </c>
      <c r="L2137" s="1284">
        <v>6</v>
      </c>
      <c r="M2137" s="1289">
        <v>2000</v>
      </c>
      <c r="N2137" s="898"/>
      <c r="O2137" s="898"/>
      <c r="P2137" s="899"/>
    </row>
    <row r="2138" spans="1:16" ht="36" x14ac:dyDescent="0.2">
      <c r="A2138" s="916" t="s">
        <v>7051</v>
      </c>
      <c r="B2138" s="898" t="s">
        <v>4291</v>
      </c>
      <c r="C2138" s="916" t="s">
        <v>398</v>
      </c>
      <c r="D2138" s="898" t="s">
        <v>5040</v>
      </c>
      <c r="E2138" s="1281">
        <v>3800</v>
      </c>
      <c r="F2138" s="916" t="s">
        <v>7286</v>
      </c>
      <c r="G2138" s="898" t="s">
        <v>7287</v>
      </c>
      <c r="H2138" s="1282" t="s">
        <v>5077</v>
      </c>
      <c r="I2138" s="1283" t="s">
        <v>7088</v>
      </c>
      <c r="J2138" s="943"/>
      <c r="K2138" s="1378">
        <v>385</v>
      </c>
      <c r="L2138" s="1284">
        <v>6</v>
      </c>
      <c r="M2138" s="1285">
        <v>3800</v>
      </c>
      <c r="N2138" s="898"/>
      <c r="O2138" s="898"/>
      <c r="P2138" s="899"/>
    </row>
    <row r="2139" spans="1:16" ht="36" x14ac:dyDescent="0.2">
      <c r="A2139" s="916" t="s">
        <v>7051</v>
      </c>
      <c r="B2139" s="898" t="s">
        <v>4291</v>
      </c>
      <c r="C2139" s="916" t="s">
        <v>398</v>
      </c>
      <c r="D2139" s="898" t="s">
        <v>5040</v>
      </c>
      <c r="E2139" s="1281">
        <v>2000</v>
      </c>
      <c r="F2139" s="916" t="s">
        <v>7288</v>
      </c>
      <c r="G2139" s="898" t="s">
        <v>7289</v>
      </c>
      <c r="H2139" s="1282" t="s">
        <v>5106</v>
      </c>
      <c r="I2139" s="1283" t="s">
        <v>7088</v>
      </c>
      <c r="J2139" s="943"/>
      <c r="K2139" s="1378">
        <v>415</v>
      </c>
      <c r="L2139" s="1284">
        <v>12</v>
      </c>
      <c r="M2139" s="1285">
        <v>2000</v>
      </c>
      <c r="N2139" s="898"/>
      <c r="O2139" s="898"/>
      <c r="P2139" s="899"/>
    </row>
    <row r="2140" spans="1:16" ht="36" x14ac:dyDescent="0.2">
      <c r="A2140" s="916" t="s">
        <v>7051</v>
      </c>
      <c r="B2140" s="898" t="s">
        <v>4291</v>
      </c>
      <c r="C2140" s="916" t="s">
        <v>398</v>
      </c>
      <c r="D2140" s="898" t="s">
        <v>5040</v>
      </c>
      <c r="E2140" s="1286">
        <v>2000</v>
      </c>
      <c r="F2140" s="916" t="s">
        <v>7290</v>
      </c>
      <c r="G2140" s="898" t="s">
        <v>7291</v>
      </c>
      <c r="H2140" s="1287" t="s">
        <v>5106</v>
      </c>
      <c r="I2140" s="1288" t="s">
        <v>7088</v>
      </c>
      <c r="J2140" s="943"/>
      <c r="K2140" s="1378">
        <v>124</v>
      </c>
      <c r="L2140" s="1284">
        <v>9</v>
      </c>
      <c r="M2140" s="1289">
        <v>2000</v>
      </c>
      <c r="N2140" s="898"/>
      <c r="O2140" s="898"/>
      <c r="P2140" s="899"/>
    </row>
    <row r="2141" spans="1:16" ht="36" x14ac:dyDescent="0.2">
      <c r="A2141" s="916" t="s">
        <v>7051</v>
      </c>
      <c r="B2141" s="898" t="s">
        <v>4291</v>
      </c>
      <c r="C2141" s="916" t="s">
        <v>398</v>
      </c>
      <c r="D2141" s="898" t="s">
        <v>5040</v>
      </c>
      <c r="E2141" s="1281">
        <v>2000</v>
      </c>
      <c r="F2141" s="916" t="s">
        <v>7292</v>
      </c>
      <c r="G2141" s="898" t="s">
        <v>7293</v>
      </c>
      <c r="H2141" s="1282" t="s">
        <v>5106</v>
      </c>
      <c r="I2141" s="1283" t="s">
        <v>7088</v>
      </c>
      <c r="J2141" s="943"/>
      <c r="K2141" s="1378">
        <v>340</v>
      </c>
      <c r="L2141" s="1284">
        <v>12</v>
      </c>
      <c r="M2141" s="1285">
        <v>2000</v>
      </c>
      <c r="N2141" s="898"/>
      <c r="O2141" s="898"/>
      <c r="P2141" s="899"/>
    </row>
    <row r="2142" spans="1:16" ht="36" x14ac:dyDescent="0.2">
      <c r="A2142" s="916" t="s">
        <v>7051</v>
      </c>
      <c r="B2142" s="898" t="s">
        <v>4291</v>
      </c>
      <c r="C2142" s="916" t="s">
        <v>398</v>
      </c>
      <c r="D2142" s="898" t="s">
        <v>5040</v>
      </c>
      <c r="E2142" s="1286">
        <v>2000</v>
      </c>
      <c r="F2142" s="916" t="s">
        <v>7294</v>
      </c>
      <c r="G2142" s="898" t="s">
        <v>7295</v>
      </c>
      <c r="H2142" s="1287" t="s">
        <v>5106</v>
      </c>
      <c r="I2142" s="1288" t="s">
        <v>7088</v>
      </c>
      <c r="J2142" s="943"/>
      <c r="K2142" s="1378">
        <v>434</v>
      </c>
      <c r="L2142" s="1284">
        <v>12</v>
      </c>
      <c r="M2142" s="1289">
        <v>2000</v>
      </c>
      <c r="N2142" s="898"/>
      <c r="O2142" s="898"/>
      <c r="P2142" s="899"/>
    </row>
    <row r="2143" spans="1:16" ht="36" x14ac:dyDescent="0.2">
      <c r="A2143" s="916" t="s">
        <v>7051</v>
      </c>
      <c r="B2143" s="898" t="s">
        <v>4291</v>
      </c>
      <c r="C2143" s="916" t="s">
        <v>398</v>
      </c>
      <c r="D2143" s="898" t="s">
        <v>5040</v>
      </c>
      <c r="E2143" s="1281">
        <v>2000</v>
      </c>
      <c r="F2143" s="916" t="s">
        <v>7296</v>
      </c>
      <c r="G2143" s="898" t="s">
        <v>7297</v>
      </c>
      <c r="H2143" s="1282" t="s">
        <v>5106</v>
      </c>
      <c r="I2143" s="1283" t="s">
        <v>7088</v>
      </c>
      <c r="J2143" s="943"/>
      <c r="K2143" s="1378">
        <v>346</v>
      </c>
      <c r="L2143" s="1284">
        <v>12</v>
      </c>
      <c r="M2143" s="1285">
        <v>2000</v>
      </c>
      <c r="N2143" s="898"/>
      <c r="O2143" s="898"/>
      <c r="P2143" s="899"/>
    </row>
    <row r="2144" spans="1:16" ht="36" x14ac:dyDescent="0.2">
      <c r="A2144" s="916" t="s">
        <v>7051</v>
      </c>
      <c r="B2144" s="898" t="s">
        <v>4291</v>
      </c>
      <c r="C2144" s="916" t="s">
        <v>398</v>
      </c>
      <c r="D2144" s="898" t="s">
        <v>5040</v>
      </c>
      <c r="E2144" s="1286">
        <v>2000</v>
      </c>
      <c r="F2144" s="916" t="s">
        <v>7298</v>
      </c>
      <c r="G2144" s="898" t="s">
        <v>7299</v>
      </c>
      <c r="H2144" s="1287" t="s">
        <v>5106</v>
      </c>
      <c r="I2144" s="1288" t="s">
        <v>7088</v>
      </c>
      <c r="J2144" s="943"/>
      <c r="K2144" s="1378">
        <v>470</v>
      </c>
      <c r="L2144" s="1284">
        <v>12</v>
      </c>
      <c r="M2144" s="1289">
        <v>2000</v>
      </c>
      <c r="N2144" s="898"/>
      <c r="O2144" s="898"/>
      <c r="P2144" s="899"/>
    </row>
    <row r="2145" spans="1:16" ht="36" x14ac:dyDescent="0.2">
      <c r="A2145" s="916" t="s">
        <v>7051</v>
      </c>
      <c r="B2145" s="898" t="s">
        <v>4291</v>
      </c>
      <c r="C2145" s="916" t="s">
        <v>398</v>
      </c>
      <c r="D2145" s="898" t="s">
        <v>5040</v>
      </c>
      <c r="E2145" s="1281">
        <v>2000</v>
      </c>
      <c r="F2145" s="916" t="s">
        <v>7300</v>
      </c>
      <c r="G2145" s="898" t="s">
        <v>7301</v>
      </c>
      <c r="H2145" s="1282" t="s">
        <v>5106</v>
      </c>
      <c r="I2145" s="1283" t="s">
        <v>7088</v>
      </c>
      <c r="J2145" s="943"/>
      <c r="K2145" s="1378">
        <v>378</v>
      </c>
      <c r="L2145" s="1284">
        <v>12</v>
      </c>
      <c r="M2145" s="1285">
        <v>2000</v>
      </c>
      <c r="N2145" s="898"/>
      <c r="O2145" s="898"/>
      <c r="P2145" s="899"/>
    </row>
    <row r="2146" spans="1:16" ht="36" x14ac:dyDescent="0.2">
      <c r="A2146" s="916" t="s">
        <v>7051</v>
      </c>
      <c r="B2146" s="898" t="s">
        <v>4291</v>
      </c>
      <c r="C2146" s="916" t="s">
        <v>398</v>
      </c>
      <c r="D2146" s="898" t="s">
        <v>5040</v>
      </c>
      <c r="E2146" s="1286">
        <v>2000</v>
      </c>
      <c r="F2146" s="916" t="s">
        <v>7302</v>
      </c>
      <c r="G2146" s="898" t="s">
        <v>7303</v>
      </c>
      <c r="H2146" s="1287" t="s">
        <v>5106</v>
      </c>
      <c r="I2146" s="1288" t="s">
        <v>7088</v>
      </c>
      <c r="J2146" s="943"/>
      <c r="K2146" s="1378">
        <v>320</v>
      </c>
      <c r="L2146" s="1284">
        <v>12</v>
      </c>
      <c r="M2146" s="1289">
        <v>2000</v>
      </c>
      <c r="N2146" s="898"/>
      <c r="O2146" s="898"/>
      <c r="P2146" s="899"/>
    </row>
    <row r="2147" spans="1:16" ht="36" x14ac:dyDescent="0.2">
      <c r="A2147" s="916" t="s">
        <v>7051</v>
      </c>
      <c r="B2147" s="898" t="s">
        <v>4291</v>
      </c>
      <c r="C2147" s="916" t="s">
        <v>398</v>
      </c>
      <c r="D2147" s="898" t="s">
        <v>5040</v>
      </c>
      <c r="E2147" s="1281">
        <v>2000</v>
      </c>
      <c r="F2147" s="916" t="s">
        <v>7304</v>
      </c>
      <c r="G2147" s="898" t="s">
        <v>7305</v>
      </c>
      <c r="H2147" s="1282" t="s">
        <v>5106</v>
      </c>
      <c r="I2147" s="1283" t="s">
        <v>7088</v>
      </c>
      <c r="J2147" s="943"/>
      <c r="K2147" s="1378">
        <v>244</v>
      </c>
      <c r="L2147" s="1284">
        <v>2</v>
      </c>
      <c r="M2147" s="1285">
        <v>2000</v>
      </c>
      <c r="N2147" s="898"/>
      <c r="O2147" s="898"/>
      <c r="P2147" s="899"/>
    </row>
    <row r="2148" spans="1:16" ht="36" x14ac:dyDescent="0.2">
      <c r="A2148" s="916" t="s">
        <v>7051</v>
      </c>
      <c r="B2148" s="898" t="s">
        <v>4291</v>
      </c>
      <c r="C2148" s="916" t="s">
        <v>398</v>
      </c>
      <c r="D2148" s="898" t="s">
        <v>5040</v>
      </c>
      <c r="E2148" s="1286">
        <v>2000</v>
      </c>
      <c r="F2148" s="916" t="s">
        <v>7306</v>
      </c>
      <c r="G2148" s="898" t="s">
        <v>7307</v>
      </c>
      <c r="H2148" s="1287" t="s">
        <v>5106</v>
      </c>
      <c r="I2148" s="1288" t="s">
        <v>7088</v>
      </c>
      <c r="J2148" s="943"/>
      <c r="K2148" s="1378">
        <v>345</v>
      </c>
      <c r="L2148" s="1284">
        <v>12</v>
      </c>
      <c r="M2148" s="1289">
        <v>2000</v>
      </c>
      <c r="N2148" s="898"/>
      <c r="O2148" s="898"/>
      <c r="P2148" s="899"/>
    </row>
    <row r="2149" spans="1:16" ht="36" x14ac:dyDescent="0.2">
      <c r="A2149" s="916" t="s">
        <v>7051</v>
      </c>
      <c r="B2149" s="898" t="s">
        <v>4291</v>
      </c>
      <c r="C2149" s="916" t="s">
        <v>398</v>
      </c>
      <c r="D2149" s="898" t="s">
        <v>5040</v>
      </c>
      <c r="E2149" s="1286">
        <v>2000</v>
      </c>
      <c r="F2149" s="916" t="s">
        <v>7308</v>
      </c>
      <c r="G2149" s="898" t="s">
        <v>7309</v>
      </c>
      <c r="H2149" s="1287" t="s">
        <v>5106</v>
      </c>
      <c r="I2149" s="1288" t="s">
        <v>7088</v>
      </c>
      <c r="J2149" s="943"/>
      <c r="K2149" s="1378">
        <v>416</v>
      </c>
      <c r="L2149" s="1284">
        <v>12</v>
      </c>
      <c r="M2149" s="1289">
        <v>2000</v>
      </c>
      <c r="N2149" s="898"/>
      <c r="O2149" s="898"/>
      <c r="P2149" s="899"/>
    </row>
    <row r="2150" spans="1:16" ht="36" x14ac:dyDescent="0.2">
      <c r="A2150" s="916" t="s">
        <v>7051</v>
      </c>
      <c r="B2150" s="898" t="s">
        <v>4291</v>
      </c>
      <c r="C2150" s="916" t="s">
        <v>398</v>
      </c>
      <c r="D2150" s="898" t="s">
        <v>5040</v>
      </c>
      <c r="E2150" s="1281">
        <v>2000</v>
      </c>
      <c r="F2150" s="916" t="s">
        <v>7310</v>
      </c>
      <c r="G2150" s="898" t="s">
        <v>7311</v>
      </c>
      <c r="H2150" s="1282" t="s">
        <v>5106</v>
      </c>
      <c r="I2150" s="1283" t="s">
        <v>7088</v>
      </c>
      <c r="J2150" s="943"/>
      <c r="K2150" s="1378">
        <v>362</v>
      </c>
      <c r="L2150" s="1284">
        <v>6</v>
      </c>
      <c r="M2150" s="1285">
        <v>2000</v>
      </c>
      <c r="N2150" s="898"/>
      <c r="O2150" s="898"/>
      <c r="P2150" s="899"/>
    </row>
    <row r="2151" spans="1:16" ht="36" x14ac:dyDescent="0.2">
      <c r="A2151" s="916" t="s">
        <v>7051</v>
      </c>
      <c r="B2151" s="898" t="s">
        <v>4291</v>
      </c>
      <c r="C2151" s="916" t="s">
        <v>398</v>
      </c>
      <c r="D2151" s="898" t="s">
        <v>5040</v>
      </c>
      <c r="E2151" s="1286">
        <v>2000</v>
      </c>
      <c r="F2151" s="916" t="s">
        <v>7312</v>
      </c>
      <c r="G2151" s="898" t="s">
        <v>7313</v>
      </c>
      <c r="H2151" s="1287" t="s">
        <v>5106</v>
      </c>
      <c r="I2151" s="1288" t="s">
        <v>7088</v>
      </c>
      <c r="J2151" s="943"/>
      <c r="K2151" s="1378">
        <v>372</v>
      </c>
      <c r="L2151" s="1284">
        <v>2</v>
      </c>
      <c r="M2151" s="1289">
        <v>2000</v>
      </c>
      <c r="N2151" s="898"/>
      <c r="O2151" s="898"/>
      <c r="P2151" s="899"/>
    </row>
    <row r="2152" spans="1:16" ht="36" x14ac:dyDescent="0.2">
      <c r="A2152" s="916" t="s">
        <v>7051</v>
      </c>
      <c r="B2152" s="898" t="s">
        <v>4291</v>
      </c>
      <c r="C2152" s="916" t="s">
        <v>398</v>
      </c>
      <c r="D2152" s="898" t="s">
        <v>5040</v>
      </c>
      <c r="E2152" s="1281">
        <v>2000</v>
      </c>
      <c r="F2152" s="916" t="s">
        <v>7314</v>
      </c>
      <c r="G2152" s="898" t="s">
        <v>7315</v>
      </c>
      <c r="H2152" s="1282" t="s">
        <v>5106</v>
      </c>
      <c r="I2152" s="1283" t="s">
        <v>7088</v>
      </c>
      <c r="J2152" s="943"/>
      <c r="K2152" s="1378">
        <v>287</v>
      </c>
      <c r="L2152" s="1284">
        <v>6</v>
      </c>
      <c r="M2152" s="1285">
        <v>2000</v>
      </c>
      <c r="N2152" s="898"/>
      <c r="O2152" s="898"/>
      <c r="P2152" s="899"/>
    </row>
    <row r="2153" spans="1:16" ht="36" x14ac:dyDescent="0.2">
      <c r="A2153" s="916" t="s">
        <v>7051</v>
      </c>
      <c r="B2153" s="898" t="s">
        <v>4291</v>
      </c>
      <c r="C2153" s="916" t="s">
        <v>398</v>
      </c>
      <c r="D2153" s="898" t="s">
        <v>578</v>
      </c>
      <c r="E2153" s="1286">
        <v>3500</v>
      </c>
      <c r="F2153" s="916" t="s">
        <v>7316</v>
      </c>
      <c r="G2153" s="898" t="s">
        <v>7317</v>
      </c>
      <c r="H2153" s="1287" t="s">
        <v>3099</v>
      </c>
      <c r="I2153" s="1288" t="s">
        <v>7107</v>
      </c>
      <c r="J2153" s="943"/>
      <c r="K2153" s="1378">
        <v>0</v>
      </c>
      <c r="L2153" s="1284">
        <v>0</v>
      </c>
      <c r="M2153" s="1289">
        <v>3500</v>
      </c>
      <c r="N2153" s="898"/>
      <c r="O2153" s="898"/>
      <c r="P2153" s="899"/>
    </row>
    <row r="2154" spans="1:16" ht="36" x14ac:dyDescent="0.2">
      <c r="A2154" s="916" t="s">
        <v>7051</v>
      </c>
      <c r="B2154" s="898" t="s">
        <v>4291</v>
      </c>
      <c r="C2154" s="916" t="s">
        <v>398</v>
      </c>
      <c r="D2154" s="898" t="s">
        <v>578</v>
      </c>
      <c r="E2154" s="1281">
        <v>3500</v>
      </c>
      <c r="F2154" s="916" t="s">
        <v>7318</v>
      </c>
      <c r="G2154" s="898" t="s">
        <v>7319</v>
      </c>
      <c r="H2154" s="1282" t="s">
        <v>3552</v>
      </c>
      <c r="I2154" s="1283" t="s">
        <v>7107</v>
      </c>
      <c r="J2154" s="943"/>
      <c r="K2154" s="1378">
        <v>0</v>
      </c>
      <c r="L2154" s="1284">
        <v>0</v>
      </c>
      <c r="M2154" s="1285">
        <v>3500</v>
      </c>
      <c r="N2154" s="898"/>
      <c r="O2154" s="898"/>
      <c r="P2154" s="899"/>
    </row>
    <row r="2155" spans="1:16" ht="36" x14ac:dyDescent="0.2">
      <c r="A2155" s="916" t="s">
        <v>7051</v>
      </c>
      <c r="B2155" s="898" t="s">
        <v>4291</v>
      </c>
      <c r="C2155" s="916" t="s">
        <v>398</v>
      </c>
      <c r="D2155" s="898" t="s">
        <v>578</v>
      </c>
      <c r="E2155" s="1286">
        <v>1500</v>
      </c>
      <c r="F2155" s="916" t="s">
        <v>7320</v>
      </c>
      <c r="G2155" s="898" t="s">
        <v>7321</v>
      </c>
      <c r="H2155" s="1287" t="s">
        <v>3103</v>
      </c>
      <c r="I2155" s="1288" t="s">
        <v>7062</v>
      </c>
      <c r="J2155" s="943"/>
      <c r="K2155" s="1378">
        <v>452</v>
      </c>
      <c r="L2155" s="1284">
        <v>12</v>
      </c>
      <c r="M2155" s="1289">
        <v>1500</v>
      </c>
      <c r="N2155" s="898"/>
      <c r="O2155" s="898"/>
      <c r="P2155" s="899"/>
    </row>
    <row r="2156" spans="1:16" ht="36" x14ac:dyDescent="0.2">
      <c r="A2156" s="916" t="s">
        <v>7051</v>
      </c>
      <c r="B2156" s="898" t="s">
        <v>4291</v>
      </c>
      <c r="C2156" s="916" t="s">
        <v>398</v>
      </c>
      <c r="D2156" s="898" t="s">
        <v>5040</v>
      </c>
      <c r="E2156" s="1286">
        <v>2000</v>
      </c>
      <c r="F2156" s="916" t="s">
        <v>7322</v>
      </c>
      <c r="G2156" s="898" t="s">
        <v>7323</v>
      </c>
      <c r="H2156" s="1287" t="s">
        <v>564</v>
      </c>
      <c r="I2156" s="1288" t="s">
        <v>7088</v>
      </c>
      <c r="J2156" s="943"/>
      <c r="K2156" s="1378">
        <v>360</v>
      </c>
      <c r="L2156" s="1284">
        <v>12</v>
      </c>
      <c r="M2156" s="1289">
        <v>2000</v>
      </c>
      <c r="N2156" s="898"/>
      <c r="O2156" s="898"/>
      <c r="P2156" s="899"/>
    </row>
    <row r="2157" spans="1:16" ht="36" x14ac:dyDescent="0.2">
      <c r="A2157" s="916" t="s">
        <v>7051</v>
      </c>
      <c r="B2157" s="898" t="s">
        <v>4291</v>
      </c>
      <c r="C2157" s="916" t="s">
        <v>398</v>
      </c>
      <c r="D2157" s="898" t="s">
        <v>5040</v>
      </c>
      <c r="E2157" s="1281">
        <v>2000</v>
      </c>
      <c r="F2157" s="916" t="s">
        <v>7324</v>
      </c>
      <c r="G2157" s="898" t="s">
        <v>7325</v>
      </c>
      <c r="H2157" s="1282" t="s">
        <v>564</v>
      </c>
      <c r="I2157" s="1283" t="s">
        <v>7088</v>
      </c>
      <c r="J2157" s="943"/>
      <c r="K2157" s="1378">
        <v>384</v>
      </c>
      <c r="L2157" s="1284">
        <v>12</v>
      </c>
      <c r="M2157" s="1285">
        <v>2000</v>
      </c>
      <c r="N2157" s="898"/>
      <c r="O2157" s="898"/>
      <c r="P2157" s="899"/>
    </row>
    <row r="2158" spans="1:16" ht="36" x14ac:dyDescent="0.2">
      <c r="A2158" s="916" t="s">
        <v>7051</v>
      </c>
      <c r="B2158" s="898" t="s">
        <v>4291</v>
      </c>
      <c r="C2158" s="916" t="s">
        <v>398</v>
      </c>
      <c r="D2158" s="898" t="s">
        <v>5040</v>
      </c>
      <c r="E2158" s="1286">
        <v>1870</v>
      </c>
      <c r="F2158" s="916" t="s">
        <v>7326</v>
      </c>
      <c r="G2158" s="898" t="s">
        <v>7327</v>
      </c>
      <c r="H2158" s="1287" t="s">
        <v>3482</v>
      </c>
      <c r="I2158" s="1288" t="s">
        <v>7088</v>
      </c>
      <c r="J2158" s="943"/>
      <c r="K2158" s="1378">
        <v>464</v>
      </c>
      <c r="L2158" s="1284">
        <v>12</v>
      </c>
      <c r="M2158" s="1289">
        <v>1870</v>
      </c>
      <c r="N2158" s="898"/>
      <c r="O2158" s="898"/>
      <c r="P2158" s="899"/>
    </row>
    <row r="2159" spans="1:16" ht="36" x14ac:dyDescent="0.2">
      <c r="A2159" s="916" t="s">
        <v>7051</v>
      </c>
      <c r="B2159" s="898" t="s">
        <v>4291</v>
      </c>
      <c r="C2159" s="916" t="s">
        <v>398</v>
      </c>
      <c r="D2159" s="898" t="s">
        <v>5040</v>
      </c>
      <c r="E2159" s="1281">
        <v>2239</v>
      </c>
      <c r="F2159" s="916" t="s">
        <v>7328</v>
      </c>
      <c r="G2159" s="898" t="s">
        <v>7329</v>
      </c>
      <c r="H2159" s="1282" t="s">
        <v>566</v>
      </c>
      <c r="I2159" s="1283" t="s">
        <v>7088</v>
      </c>
      <c r="J2159" s="943"/>
      <c r="K2159" s="1378">
        <v>429</v>
      </c>
      <c r="L2159" s="1284">
        <v>12</v>
      </c>
      <c r="M2159" s="1285">
        <v>2239</v>
      </c>
      <c r="N2159" s="898"/>
      <c r="O2159" s="898"/>
      <c r="P2159" s="899"/>
    </row>
    <row r="2160" spans="1:16" ht="36" x14ac:dyDescent="0.2">
      <c r="A2160" s="916" t="s">
        <v>7051</v>
      </c>
      <c r="B2160" s="898" t="s">
        <v>4291</v>
      </c>
      <c r="C2160" s="916" t="s">
        <v>398</v>
      </c>
      <c r="D2160" s="898" t="s">
        <v>5040</v>
      </c>
      <c r="E2160" s="1281">
        <v>1100</v>
      </c>
      <c r="F2160" s="916" t="s">
        <v>7330</v>
      </c>
      <c r="G2160" s="898" t="s">
        <v>7331</v>
      </c>
      <c r="H2160" s="1282" t="s">
        <v>5043</v>
      </c>
      <c r="I2160" s="1283" t="s">
        <v>7062</v>
      </c>
      <c r="J2160" s="943"/>
      <c r="K2160" s="1378">
        <v>437</v>
      </c>
      <c r="L2160" s="1284">
        <v>12</v>
      </c>
      <c r="M2160" s="1285">
        <v>1100</v>
      </c>
      <c r="N2160" s="898"/>
      <c r="O2160" s="898"/>
      <c r="P2160" s="899"/>
    </row>
    <row r="2161" spans="1:16" ht="36" x14ac:dyDescent="0.2">
      <c r="A2161" s="916" t="s">
        <v>7051</v>
      </c>
      <c r="B2161" s="898" t="s">
        <v>4291</v>
      </c>
      <c r="C2161" s="916" t="s">
        <v>398</v>
      </c>
      <c r="D2161" s="898" t="s">
        <v>5040</v>
      </c>
      <c r="E2161" s="1281">
        <v>1100</v>
      </c>
      <c r="F2161" s="916" t="s">
        <v>7332</v>
      </c>
      <c r="G2161" s="898" t="s">
        <v>7333</v>
      </c>
      <c r="H2161" s="1282" t="s">
        <v>5043</v>
      </c>
      <c r="I2161" s="1283" t="s">
        <v>7062</v>
      </c>
      <c r="J2161" s="943"/>
      <c r="K2161" s="1378">
        <v>347</v>
      </c>
      <c r="L2161" s="1284">
        <v>12</v>
      </c>
      <c r="M2161" s="1285">
        <v>1100</v>
      </c>
      <c r="N2161" s="898"/>
      <c r="O2161" s="898"/>
      <c r="P2161" s="899"/>
    </row>
    <row r="2162" spans="1:16" ht="36" x14ac:dyDescent="0.2">
      <c r="A2162" s="916" t="s">
        <v>7051</v>
      </c>
      <c r="B2162" s="898" t="s">
        <v>4291</v>
      </c>
      <c r="C2162" s="916" t="s">
        <v>398</v>
      </c>
      <c r="D2162" s="898" t="s">
        <v>5040</v>
      </c>
      <c r="E2162" s="1286">
        <v>1100</v>
      </c>
      <c r="F2162" s="916" t="s">
        <v>7334</v>
      </c>
      <c r="G2162" s="898" t="s">
        <v>7335</v>
      </c>
      <c r="H2162" s="1287" t="s">
        <v>5043</v>
      </c>
      <c r="I2162" s="1288" t="s">
        <v>7062</v>
      </c>
      <c r="J2162" s="943"/>
      <c r="K2162" s="1378">
        <v>350</v>
      </c>
      <c r="L2162" s="1284">
        <v>12</v>
      </c>
      <c r="M2162" s="1289">
        <v>1100</v>
      </c>
      <c r="N2162" s="898"/>
      <c r="O2162" s="898"/>
      <c r="P2162" s="899"/>
    </row>
    <row r="2163" spans="1:16" ht="36" x14ac:dyDescent="0.2">
      <c r="A2163" s="916" t="s">
        <v>7051</v>
      </c>
      <c r="B2163" s="898" t="s">
        <v>4291</v>
      </c>
      <c r="C2163" s="916" t="s">
        <v>398</v>
      </c>
      <c r="D2163" s="898" t="s">
        <v>5040</v>
      </c>
      <c r="E2163" s="1281">
        <v>1100</v>
      </c>
      <c r="F2163" s="916" t="s">
        <v>7336</v>
      </c>
      <c r="G2163" s="898" t="s">
        <v>7337</v>
      </c>
      <c r="H2163" s="1282" t="s">
        <v>5043</v>
      </c>
      <c r="I2163" s="1283" t="s">
        <v>7062</v>
      </c>
      <c r="J2163" s="943"/>
      <c r="K2163" s="1378">
        <v>368</v>
      </c>
      <c r="L2163" s="1284">
        <v>12</v>
      </c>
      <c r="M2163" s="1285">
        <v>1100</v>
      </c>
      <c r="N2163" s="898"/>
      <c r="O2163" s="898"/>
      <c r="P2163" s="899"/>
    </row>
    <row r="2164" spans="1:16" ht="36" x14ac:dyDescent="0.2">
      <c r="A2164" s="916" t="s">
        <v>7051</v>
      </c>
      <c r="B2164" s="898" t="s">
        <v>4291</v>
      </c>
      <c r="C2164" s="916" t="s">
        <v>398</v>
      </c>
      <c r="D2164" s="898" t="s">
        <v>5040</v>
      </c>
      <c r="E2164" s="1286">
        <v>1100</v>
      </c>
      <c r="F2164" s="916" t="s">
        <v>7338</v>
      </c>
      <c r="G2164" s="898" t="s">
        <v>7339</v>
      </c>
      <c r="H2164" s="1287" t="s">
        <v>5043</v>
      </c>
      <c r="I2164" s="1288" t="s">
        <v>7062</v>
      </c>
      <c r="J2164" s="943"/>
      <c r="K2164" s="1378">
        <v>391</v>
      </c>
      <c r="L2164" s="1284">
        <v>3</v>
      </c>
      <c r="M2164" s="1289">
        <v>1100</v>
      </c>
      <c r="N2164" s="898"/>
      <c r="O2164" s="898"/>
      <c r="P2164" s="899"/>
    </row>
    <row r="2165" spans="1:16" ht="36" x14ac:dyDescent="0.2">
      <c r="A2165" s="916" t="s">
        <v>7051</v>
      </c>
      <c r="B2165" s="898" t="s">
        <v>4291</v>
      </c>
      <c r="C2165" s="916" t="s">
        <v>398</v>
      </c>
      <c r="D2165" s="898" t="s">
        <v>5040</v>
      </c>
      <c r="E2165" s="1281">
        <v>1100</v>
      </c>
      <c r="F2165" s="916" t="s">
        <v>7340</v>
      </c>
      <c r="G2165" s="898" t="s">
        <v>7341</v>
      </c>
      <c r="H2165" s="1282" t="s">
        <v>5043</v>
      </c>
      <c r="I2165" s="1283" t="s">
        <v>7062</v>
      </c>
      <c r="J2165" s="943"/>
      <c r="K2165" s="1378">
        <v>397</v>
      </c>
      <c r="L2165" s="1284">
        <v>12</v>
      </c>
      <c r="M2165" s="1285">
        <v>1100</v>
      </c>
      <c r="N2165" s="898"/>
      <c r="O2165" s="898"/>
      <c r="P2165" s="899"/>
    </row>
    <row r="2166" spans="1:16" ht="36" x14ac:dyDescent="0.2">
      <c r="A2166" s="916" t="s">
        <v>7051</v>
      </c>
      <c r="B2166" s="898" t="s">
        <v>4291</v>
      </c>
      <c r="C2166" s="916" t="s">
        <v>398</v>
      </c>
      <c r="D2166" s="898" t="s">
        <v>5040</v>
      </c>
      <c r="E2166" s="1286">
        <v>1100</v>
      </c>
      <c r="F2166" s="916" t="s">
        <v>7342</v>
      </c>
      <c r="G2166" s="898" t="s">
        <v>7343</v>
      </c>
      <c r="H2166" s="1287" t="s">
        <v>5043</v>
      </c>
      <c r="I2166" s="1288" t="s">
        <v>7062</v>
      </c>
      <c r="J2166" s="943"/>
      <c r="K2166" s="1378">
        <v>413</v>
      </c>
      <c r="L2166" s="1284">
        <v>12</v>
      </c>
      <c r="M2166" s="1289">
        <v>1100</v>
      </c>
      <c r="N2166" s="898"/>
      <c r="O2166" s="898"/>
      <c r="P2166" s="899"/>
    </row>
    <row r="2167" spans="1:16" ht="36" x14ac:dyDescent="0.2">
      <c r="A2167" s="916" t="s">
        <v>7051</v>
      </c>
      <c r="B2167" s="898" t="s">
        <v>4291</v>
      </c>
      <c r="C2167" s="916" t="s">
        <v>398</v>
      </c>
      <c r="D2167" s="898" t="s">
        <v>5040</v>
      </c>
      <c r="E2167" s="1281">
        <v>1100</v>
      </c>
      <c r="F2167" s="916" t="s">
        <v>7344</v>
      </c>
      <c r="G2167" s="898" t="s">
        <v>7345</v>
      </c>
      <c r="H2167" s="1282" t="s">
        <v>581</v>
      </c>
      <c r="I2167" s="1283" t="s">
        <v>7062</v>
      </c>
      <c r="J2167" s="943"/>
      <c r="K2167" s="1378">
        <v>176</v>
      </c>
      <c r="L2167" s="1284">
        <v>3</v>
      </c>
      <c r="M2167" s="1285">
        <v>1100</v>
      </c>
      <c r="N2167" s="898"/>
      <c r="O2167" s="898"/>
      <c r="P2167" s="899"/>
    </row>
    <row r="2168" spans="1:16" ht="36" x14ac:dyDescent="0.2">
      <c r="A2168" s="916" t="s">
        <v>7051</v>
      </c>
      <c r="B2168" s="898" t="s">
        <v>4291</v>
      </c>
      <c r="C2168" s="916" t="s">
        <v>398</v>
      </c>
      <c r="D2168" s="898" t="s">
        <v>5040</v>
      </c>
      <c r="E2168" s="1281">
        <v>930</v>
      </c>
      <c r="F2168" s="916" t="s">
        <v>7346</v>
      </c>
      <c r="G2168" s="898" t="s">
        <v>7347</v>
      </c>
      <c r="H2168" s="1282" t="s">
        <v>5095</v>
      </c>
      <c r="I2168" s="1283" t="s">
        <v>7055</v>
      </c>
      <c r="J2168" s="943"/>
      <c r="K2168" s="1378">
        <v>318</v>
      </c>
      <c r="L2168" s="1284">
        <v>12</v>
      </c>
      <c r="M2168" s="1285">
        <v>930</v>
      </c>
      <c r="N2168" s="898"/>
      <c r="O2168" s="898"/>
      <c r="P2168" s="899"/>
    </row>
    <row r="2169" spans="1:16" ht="36" x14ac:dyDescent="0.2">
      <c r="A2169" s="916" t="s">
        <v>7051</v>
      </c>
      <c r="B2169" s="898" t="s">
        <v>4291</v>
      </c>
      <c r="C2169" s="916" t="s">
        <v>398</v>
      </c>
      <c r="D2169" s="898" t="s">
        <v>5040</v>
      </c>
      <c r="E2169" s="1286">
        <v>1100</v>
      </c>
      <c r="F2169" s="916" t="s">
        <v>7348</v>
      </c>
      <c r="G2169" s="898" t="s">
        <v>7349</v>
      </c>
      <c r="H2169" s="1287" t="s">
        <v>580</v>
      </c>
      <c r="I2169" s="1288" t="s">
        <v>7062</v>
      </c>
      <c r="J2169" s="943"/>
      <c r="K2169" s="1378">
        <v>403</v>
      </c>
      <c r="L2169" s="1284">
        <v>12</v>
      </c>
      <c r="M2169" s="1289">
        <v>1100</v>
      </c>
      <c r="N2169" s="898"/>
      <c r="O2169" s="898"/>
      <c r="P2169" s="899"/>
    </row>
    <row r="2170" spans="1:16" ht="36" x14ac:dyDescent="0.2">
      <c r="A2170" s="916" t="s">
        <v>7051</v>
      </c>
      <c r="B2170" s="898" t="s">
        <v>4291</v>
      </c>
      <c r="C2170" s="916" t="s">
        <v>398</v>
      </c>
      <c r="D2170" s="898" t="s">
        <v>5040</v>
      </c>
      <c r="E2170" s="1281">
        <v>1100</v>
      </c>
      <c r="F2170" s="916" t="s">
        <v>7350</v>
      </c>
      <c r="G2170" s="898" t="s">
        <v>7351</v>
      </c>
      <c r="H2170" s="1282" t="s">
        <v>580</v>
      </c>
      <c r="I2170" s="1283" t="s">
        <v>7062</v>
      </c>
      <c r="J2170" s="943"/>
      <c r="K2170" s="1378">
        <v>472</v>
      </c>
      <c r="L2170" s="1284">
        <v>12</v>
      </c>
      <c r="M2170" s="1285">
        <v>1100</v>
      </c>
      <c r="N2170" s="898"/>
      <c r="O2170" s="898"/>
      <c r="P2170" s="899"/>
    </row>
    <row r="2171" spans="1:16" ht="36" x14ac:dyDescent="0.2">
      <c r="A2171" s="916" t="s">
        <v>7051</v>
      </c>
      <c r="B2171" s="898" t="s">
        <v>4291</v>
      </c>
      <c r="C2171" s="916" t="s">
        <v>398</v>
      </c>
      <c r="D2171" s="898" t="s">
        <v>5040</v>
      </c>
      <c r="E2171" s="1286">
        <v>1100</v>
      </c>
      <c r="F2171" s="916" t="s">
        <v>7352</v>
      </c>
      <c r="G2171" s="898" t="s">
        <v>7353</v>
      </c>
      <c r="H2171" s="1287" t="s">
        <v>580</v>
      </c>
      <c r="I2171" s="1288" t="s">
        <v>7062</v>
      </c>
      <c r="J2171" s="943"/>
      <c r="K2171" s="1378">
        <v>479</v>
      </c>
      <c r="L2171" s="1284">
        <v>12</v>
      </c>
      <c r="M2171" s="1289">
        <v>1100</v>
      </c>
      <c r="N2171" s="898"/>
      <c r="O2171" s="898"/>
      <c r="P2171" s="899"/>
    </row>
    <row r="2172" spans="1:16" ht="36" x14ac:dyDescent="0.2">
      <c r="A2172" s="916" t="s">
        <v>7051</v>
      </c>
      <c r="B2172" s="898" t="s">
        <v>4291</v>
      </c>
      <c r="C2172" s="916" t="s">
        <v>398</v>
      </c>
      <c r="D2172" s="898" t="s">
        <v>5040</v>
      </c>
      <c r="E2172" s="1281">
        <v>1100</v>
      </c>
      <c r="F2172" s="916" t="s">
        <v>7354</v>
      </c>
      <c r="G2172" s="898" t="s">
        <v>7355</v>
      </c>
      <c r="H2172" s="1282" t="s">
        <v>580</v>
      </c>
      <c r="I2172" s="1283" t="s">
        <v>7062</v>
      </c>
      <c r="J2172" s="943"/>
      <c r="K2172" s="1378">
        <v>402</v>
      </c>
      <c r="L2172" s="1284">
        <v>12</v>
      </c>
      <c r="M2172" s="1285">
        <v>1100</v>
      </c>
      <c r="N2172" s="898"/>
      <c r="O2172" s="898"/>
      <c r="P2172" s="899"/>
    </row>
    <row r="2173" spans="1:16" ht="36" x14ac:dyDescent="0.2">
      <c r="A2173" s="916" t="s">
        <v>7051</v>
      </c>
      <c r="B2173" s="898" t="s">
        <v>4291</v>
      </c>
      <c r="C2173" s="916" t="s">
        <v>398</v>
      </c>
      <c r="D2173" s="898" t="s">
        <v>578</v>
      </c>
      <c r="E2173" s="1286">
        <v>1100</v>
      </c>
      <c r="F2173" s="916" t="s">
        <v>7356</v>
      </c>
      <c r="G2173" s="898" t="s">
        <v>7357</v>
      </c>
      <c r="H2173" s="1287" t="s">
        <v>7072</v>
      </c>
      <c r="I2173" s="1288" t="s">
        <v>7062</v>
      </c>
      <c r="J2173" s="943"/>
      <c r="K2173" s="1378">
        <v>322</v>
      </c>
      <c r="L2173" s="1284">
        <v>12</v>
      </c>
      <c r="M2173" s="1289">
        <v>1100</v>
      </c>
      <c r="N2173" s="898"/>
      <c r="O2173" s="898"/>
      <c r="P2173" s="899"/>
    </row>
    <row r="2174" spans="1:16" ht="36" x14ac:dyDescent="0.2">
      <c r="A2174" s="916" t="s">
        <v>7051</v>
      </c>
      <c r="B2174" s="898" t="s">
        <v>4291</v>
      </c>
      <c r="C2174" s="916" t="s">
        <v>398</v>
      </c>
      <c r="D2174" s="898" t="s">
        <v>578</v>
      </c>
      <c r="E2174" s="1281">
        <v>1100</v>
      </c>
      <c r="F2174" s="916" t="s">
        <v>7358</v>
      </c>
      <c r="G2174" s="898" t="s">
        <v>7359</v>
      </c>
      <c r="H2174" s="1282" t="s">
        <v>7072</v>
      </c>
      <c r="I2174" s="1283" t="s">
        <v>7062</v>
      </c>
      <c r="J2174" s="943"/>
      <c r="K2174" s="1378">
        <v>477</v>
      </c>
      <c r="L2174" s="1284">
        <v>3</v>
      </c>
      <c r="M2174" s="1285">
        <v>1100</v>
      </c>
      <c r="N2174" s="898"/>
      <c r="O2174" s="898"/>
      <c r="P2174" s="899"/>
    </row>
    <row r="2175" spans="1:16" ht="36" x14ac:dyDescent="0.2">
      <c r="A2175" s="916" t="s">
        <v>7051</v>
      </c>
      <c r="B2175" s="898" t="s">
        <v>4291</v>
      </c>
      <c r="C2175" s="916" t="s">
        <v>398</v>
      </c>
      <c r="D2175" s="898"/>
      <c r="E2175" s="1286">
        <v>1100</v>
      </c>
      <c r="F2175" s="916" t="s">
        <v>7360</v>
      </c>
      <c r="G2175" s="898" t="s">
        <v>7361</v>
      </c>
      <c r="H2175" s="1287" t="s">
        <v>7072</v>
      </c>
      <c r="I2175" s="1288" t="s">
        <v>7062</v>
      </c>
      <c r="J2175" s="943"/>
      <c r="K2175" s="1378">
        <v>345</v>
      </c>
      <c r="L2175" s="1284">
        <v>12</v>
      </c>
      <c r="M2175" s="1289">
        <v>1100</v>
      </c>
      <c r="N2175" s="898"/>
      <c r="O2175" s="898"/>
      <c r="P2175" s="899"/>
    </row>
    <row r="2176" spans="1:16" x14ac:dyDescent="0.2">
      <c r="A2176" s="1551" t="s">
        <v>3485</v>
      </c>
      <c r="B2176" s="1551"/>
      <c r="C2176" s="1551"/>
      <c r="D2176" s="1551"/>
      <c r="E2176" s="1290">
        <f>SUM(E2027:E2175)</f>
        <v>223828</v>
      </c>
      <c r="F2176" s="1291"/>
      <c r="G2176" s="1291"/>
      <c r="H2176" s="1287"/>
      <c r="I2176" s="1288"/>
      <c r="J2176" s="943"/>
      <c r="K2176" s="1378"/>
      <c r="L2176" s="1284"/>
      <c r="M2176" s="1292">
        <f>SUM(M2027:M2175)</f>
        <v>223828</v>
      </c>
      <c r="N2176" s="898"/>
      <c r="O2176" s="898"/>
      <c r="P2176" s="899"/>
    </row>
    <row r="2177" spans="1:16" ht="36" x14ac:dyDescent="0.2">
      <c r="A2177" s="916" t="s">
        <v>7051</v>
      </c>
      <c r="B2177" s="898" t="s">
        <v>7021</v>
      </c>
      <c r="C2177" s="916" t="s">
        <v>3950</v>
      </c>
      <c r="D2177" s="898" t="s">
        <v>7362</v>
      </c>
      <c r="E2177" s="1144">
        <v>1200</v>
      </c>
      <c r="F2177" s="916">
        <v>73190684</v>
      </c>
      <c r="G2177" s="898" t="s">
        <v>7363</v>
      </c>
      <c r="H2177" s="898" t="s">
        <v>7364</v>
      </c>
      <c r="I2177" s="943" t="s">
        <v>7107</v>
      </c>
      <c r="J2177" s="943"/>
      <c r="K2177" s="944"/>
      <c r="L2177" s="1249"/>
      <c r="M2177" s="899">
        <v>1200</v>
      </c>
      <c r="N2177" s="898"/>
      <c r="O2177" s="898"/>
      <c r="P2177" s="899"/>
    </row>
    <row r="2178" spans="1:16" ht="36" x14ac:dyDescent="0.2">
      <c r="A2178" s="916" t="s">
        <v>7051</v>
      </c>
      <c r="B2178" s="898" t="s">
        <v>7021</v>
      </c>
      <c r="C2178" s="916" t="s">
        <v>3950</v>
      </c>
      <c r="D2178" s="898" t="s">
        <v>7362</v>
      </c>
      <c r="E2178" s="1144">
        <v>1200</v>
      </c>
      <c r="F2178" s="916">
        <v>41810380</v>
      </c>
      <c r="G2178" s="898" t="s">
        <v>7365</v>
      </c>
      <c r="H2178" s="898" t="s">
        <v>7364</v>
      </c>
      <c r="I2178" s="943" t="s">
        <v>7107</v>
      </c>
      <c r="J2178" s="943"/>
      <c r="K2178" s="944"/>
      <c r="L2178" s="1249"/>
      <c r="M2178" s="899">
        <v>1200</v>
      </c>
      <c r="N2178" s="898"/>
      <c r="O2178" s="898"/>
      <c r="P2178" s="899"/>
    </row>
    <row r="2179" spans="1:16" ht="36" x14ac:dyDescent="0.2">
      <c r="A2179" s="916" t="s">
        <v>7051</v>
      </c>
      <c r="B2179" s="898" t="s">
        <v>7021</v>
      </c>
      <c r="C2179" s="916" t="s">
        <v>3950</v>
      </c>
      <c r="D2179" s="898" t="s">
        <v>7362</v>
      </c>
      <c r="E2179" s="1144">
        <v>1200</v>
      </c>
      <c r="F2179" s="916">
        <v>73342739</v>
      </c>
      <c r="G2179" s="898" t="s">
        <v>7366</v>
      </c>
      <c r="H2179" s="898" t="s">
        <v>7364</v>
      </c>
      <c r="I2179" s="943" t="s">
        <v>7107</v>
      </c>
      <c r="J2179" s="943"/>
      <c r="K2179" s="944"/>
      <c r="L2179" s="1249"/>
      <c r="M2179" s="899">
        <v>1200</v>
      </c>
      <c r="N2179" s="898"/>
      <c r="O2179" s="898"/>
      <c r="P2179" s="899"/>
    </row>
    <row r="2180" spans="1:16" ht="36" x14ac:dyDescent="0.2">
      <c r="A2180" s="916" t="s">
        <v>7051</v>
      </c>
      <c r="B2180" s="898" t="s">
        <v>7021</v>
      </c>
      <c r="C2180" s="916" t="s">
        <v>3950</v>
      </c>
      <c r="D2180" s="898" t="s">
        <v>7367</v>
      </c>
      <c r="E2180" s="1144">
        <v>1200</v>
      </c>
      <c r="F2180" s="916">
        <v>73342739</v>
      </c>
      <c r="G2180" s="898" t="s">
        <v>7368</v>
      </c>
      <c r="H2180" s="898" t="s">
        <v>7364</v>
      </c>
      <c r="I2180" s="943" t="s">
        <v>7107</v>
      </c>
      <c r="J2180" s="943"/>
      <c r="K2180" s="944"/>
      <c r="L2180" s="1249"/>
      <c r="M2180" s="899">
        <v>1200</v>
      </c>
      <c r="N2180" s="898"/>
      <c r="O2180" s="898"/>
      <c r="P2180" s="899"/>
    </row>
    <row r="2181" spans="1:16" ht="36" x14ac:dyDescent="0.2">
      <c r="A2181" s="916" t="s">
        <v>7051</v>
      </c>
      <c r="B2181" s="898" t="s">
        <v>7021</v>
      </c>
      <c r="C2181" s="916" t="s">
        <v>3950</v>
      </c>
      <c r="D2181" s="898" t="s">
        <v>7367</v>
      </c>
      <c r="E2181" s="1144">
        <v>1200</v>
      </c>
      <c r="F2181" s="916">
        <v>70970665</v>
      </c>
      <c r="G2181" s="898" t="s">
        <v>7369</v>
      </c>
      <c r="H2181" s="898" t="s">
        <v>7364</v>
      </c>
      <c r="I2181" s="943" t="s">
        <v>7107</v>
      </c>
      <c r="J2181" s="943"/>
      <c r="K2181" s="944"/>
      <c r="L2181" s="1249"/>
      <c r="M2181" s="899">
        <v>1200</v>
      </c>
      <c r="N2181" s="898"/>
      <c r="O2181" s="898"/>
      <c r="P2181" s="899"/>
    </row>
    <row r="2182" spans="1:16" ht="36" x14ac:dyDescent="0.2">
      <c r="A2182" s="916" t="s">
        <v>7051</v>
      </c>
      <c r="B2182" s="898" t="s">
        <v>7021</v>
      </c>
      <c r="C2182" s="916" t="s">
        <v>3950</v>
      </c>
      <c r="D2182" s="898" t="s">
        <v>7367</v>
      </c>
      <c r="E2182" s="1144">
        <v>1200</v>
      </c>
      <c r="F2182" s="916">
        <v>47595121</v>
      </c>
      <c r="G2182" s="898" t="s">
        <v>7370</v>
      </c>
      <c r="H2182" s="898" t="s">
        <v>7364</v>
      </c>
      <c r="I2182" s="943" t="s">
        <v>7107</v>
      </c>
      <c r="J2182" s="943"/>
      <c r="K2182" s="944"/>
      <c r="L2182" s="1249"/>
      <c r="M2182" s="899">
        <v>1200</v>
      </c>
      <c r="N2182" s="898"/>
      <c r="O2182" s="898"/>
      <c r="P2182" s="899"/>
    </row>
    <row r="2183" spans="1:16" ht="36" x14ac:dyDescent="0.2">
      <c r="A2183" s="916" t="s">
        <v>7051</v>
      </c>
      <c r="B2183" s="898" t="s">
        <v>7021</v>
      </c>
      <c r="C2183" s="916" t="s">
        <v>3950</v>
      </c>
      <c r="D2183" s="898" t="s">
        <v>7367</v>
      </c>
      <c r="E2183" s="1144">
        <v>1200</v>
      </c>
      <c r="F2183" s="916">
        <v>40950113</v>
      </c>
      <c r="G2183" s="898" t="s">
        <v>7371</v>
      </c>
      <c r="H2183" s="898" t="s">
        <v>583</v>
      </c>
      <c r="I2183" s="943" t="s">
        <v>7107</v>
      </c>
      <c r="J2183" s="943"/>
      <c r="K2183" s="944"/>
      <c r="L2183" s="1249"/>
      <c r="M2183" s="899">
        <v>1200</v>
      </c>
      <c r="N2183" s="898"/>
      <c r="O2183" s="898"/>
      <c r="P2183" s="899"/>
    </row>
    <row r="2184" spans="1:16" ht="36" x14ac:dyDescent="0.2">
      <c r="A2184" s="916" t="s">
        <v>7051</v>
      </c>
      <c r="B2184" s="898" t="s">
        <v>7021</v>
      </c>
      <c r="C2184" s="916" t="s">
        <v>3950</v>
      </c>
      <c r="D2184" s="898" t="s">
        <v>7372</v>
      </c>
      <c r="E2184" s="1144">
        <v>1200</v>
      </c>
      <c r="F2184" s="916">
        <v>76820616</v>
      </c>
      <c r="G2184" s="898" t="s">
        <v>7373</v>
      </c>
      <c r="H2184" s="898" t="s">
        <v>7364</v>
      </c>
      <c r="I2184" s="943" t="s">
        <v>7107</v>
      </c>
      <c r="J2184" s="943"/>
      <c r="K2184" s="944"/>
      <c r="L2184" s="1249"/>
      <c r="M2184" s="899">
        <v>1200</v>
      </c>
      <c r="N2184" s="898"/>
      <c r="O2184" s="898"/>
      <c r="P2184" s="899"/>
    </row>
    <row r="2185" spans="1:16" ht="36" x14ac:dyDescent="0.2">
      <c r="A2185" s="916" t="s">
        <v>7051</v>
      </c>
      <c r="B2185" s="898" t="s">
        <v>7021</v>
      </c>
      <c r="C2185" s="916" t="s">
        <v>3950</v>
      </c>
      <c r="D2185" s="898" t="s">
        <v>7372</v>
      </c>
      <c r="E2185" s="1144">
        <v>1200</v>
      </c>
      <c r="F2185" s="916">
        <v>72289958</v>
      </c>
      <c r="G2185" s="898" t="s">
        <v>7374</v>
      </c>
      <c r="H2185" s="898" t="s">
        <v>7364</v>
      </c>
      <c r="I2185" s="943" t="s">
        <v>7107</v>
      </c>
      <c r="J2185" s="943"/>
      <c r="K2185" s="944"/>
      <c r="L2185" s="1249"/>
      <c r="M2185" s="899">
        <v>1200</v>
      </c>
      <c r="N2185" s="898"/>
      <c r="O2185" s="898"/>
      <c r="P2185" s="899"/>
    </row>
    <row r="2186" spans="1:16" ht="36" x14ac:dyDescent="0.2">
      <c r="A2186" s="916" t="s">
        <v>7051</v>
      </c>
      <c r="B2186" s="898" t="s">
        <v>7021</v>
      </c>
      <c r="C2186" s="916" t="s">
        <v>3950</v>
      </c>
      <c r="D2186" s="898" t="s">
        <v>7372</v>
      </c>
      <c r="E2186" s="1144">
        <v>1200</v>
      </c>
      <c r="F2186" s="916">
        <v>77499646</v>
      </c>
      <c r="G2186" s="898" t="s">
        <v>7375</v>
      </c>
      <c r="H2186" s="898" t="s">
        <v>7364</v>
      </c>
      <c r="I2186" s="943" t="s">
        <v>7107</v>
      </c>
      <c r="J2186" s="943"/>
      <c r="K2186" s="944"/>
      <c r="L2186" s="1249"/>
      <c r="M2186" s="899">
        <v>1200</v>
      </c>
      <c r="N2186" s="898"/>
      <c r="O2186" s="898"/>
      <c r="P2186" s="899"/>
    </row>
    <row r="2187" spans="1:16" ht="36" x14ac:dyDescent="0.2">
      <c r="A2187" s="916" t="s">
        <v>7051</v>
      </c>
      <c r="B2187" s="898" t="s">
        <v>7021</v>
      </c>
      <c r="C2187" s="916" t="s">
        <v>3950</v>
      </c>
      <c r="D2187" s="898" t="s">
        <v>7372</v>
      </c>
      <c r="E2187" s="1144">
        <v>1200</v>
      </c>
      <c r="F2187" s="916">
        <v>43178388</v>
      </c>
      <c r="G2187" s="898" t="s">
        <v>7376</v>
      </c>
      <c r="H2187" s="898" t="s">
        <v>7364</v>
      </c>
      <c r="I2187" s="943" t="s">
        <v>7107</v>
      </c>
      <c r="J2187" s="943"/>
      <c r="K2187" s="944"/>
      <c r="L2187" s="1249"/>
      <c r="M2187" s="899">
        <v>1200</v>
      </c>
      <c r="N2187" s="898"/>
      <c r="O2187" s="898"/>
      <c r="P2187" s="899"/>
    </row>
    <row r="2188" spans="1:16" ht="36" x14ac:dyDescent="0.2">
      <c r="A2188" s="916" t="s">
        <v>7051</v>
      </c>
      <c r="B2188" s="898" t="s">
        <v>7021</v>
      </c>
      <c r="C2188" s="916" t="s">
        <v>3950</v>
      </c>
      <c r="D2188" s="898" t="s">
        <v>7372</v>
      </c>
      <c r="E2188" s="1144">
        <v>1200</v>
      </c>
      <c r="F2188" s="916">
        <v>44454599</v>
      </c>
      <c r="G2188" s="898" t="s">
        <v>7377</v>
      </c>
      <c r="H2188" s="898" t="s">
        <v>7364</v>
      </c>
      <c r="I2188" s="943" t="s">
        <v>7107</v>
      </c>
      <c r="J2188" s="943"/>
      <c r="K2188" s="944"/>
      <c r="L2188" s="1249"/>
      <c r="M2188" s="899">
        <v>1200</v>
      </c>
      <c r="N2188" s="898"/>
      <c r="O2188" s="898"/>
      <c r="P2188" s="899"/>
    </row>
    <row r="2189" spans="1:16" ht="36" x14ac:dyDescent="0.2">
      <c r="A2189" s="916" t="s">
        <v>7051</v>
      </c>
      <c r="B2189" s="898" t="s">
        <v>7021</v>
      </c>
      <c r="C2189" s="916" t="s">
        <v>3950</v>
      </c>
      <c r="D2189" s="898" t="s">
        <v>7378</v>
      </c>
      <c r="E2189" s="1144">
        <v>1200</v>
      </c>
      <c r="F2189" s="916">
        <v>72254991</v>
      </c>
      <c r="G2189" s="898" t="s">
        <v>7379</v>
      </c>
      <c r="H2189" s="898" t="s">
        <v>7364</v>
      </c>
      <c r="I2189" s="943" t="s">
        <v>7107</v>
      </c>
      <c r="J2189" s="943"/>
      <c r="K2189" s="944"/>
      <c r="L2189" s="1249"/>
      <c r="M2189" s="899">
        <v>1200</v>
      </c>
      <c r="N2189" s="898"/>
      <c r="O2189" s="898"/>
      <c r="P2189" s="899"/>
    </row>
    <row r="2190" spans="1:16" ht="36" x14ac:dyDescent="0.2">
      <c r="A2190" s="916" t="s">
        <v>7051</v>
      </c>
      <c r="B2190" s="898" t="s">
        <v>7021</v>
      </c>
      <c r="C2190" s="916" t="s">
        <v>3950</v>
      </c>
      <c r="D2190" s="898" t="s">
        <v>7378</v>
      </c>
      <c r="E2190" s="1144">
        <v>1200</v>
      </c>
      <c r="F2190" s="916">
        <v>71432571</v>
      </c>
      <c r="G2190" s="898" t="s">
        <v>7380</v>
      </c>
      <c r="H2190" s="898" t="s">
        <v>7364</v>
      </c>
      <c r="I2190" s="943" t="s">
        <v>7107</v>
      </c>
      <c r="J2190" s="943"/>
      <c r="K2190" s="944"/>
      <c r="L2190" s="1249"/>
      <c r="M2190" s="899">
        <v>1200</v>
      </c>
      <c r="N2190" s="898"/>
      <c r="O2190" s="898"/>
      <c r="P2190" s="899"/>
    </row>
    <row r="2191" spans="1:16" ht="36" x14ac:dyDescent="0.2">
      <c r="A2191" s="916" t="s">
        <v>7051</v>
      </c>
      <c r="B2191" s="898" t="s">
        <v>7021</v>
      </c>
      <c r="C2191" s="916" t="s">
        <v>3950</v>
      </c>
      <c r="D2191" s="898" t="s">
        <v>7378</v>
      </c>
      <c r="E2191" s="1144">
        <v>1200</v>
      </c>
      <c r="F2191" s="916">
        <v>71447605</v>
      </c>
      <c r="G2191" s="898" t="s">
        <v>7381</v>
      </c>
      <c r="H2191" s="898" t="s">
        <v>7364</v>
      </c>
      <c r="I2191" s="943" t="s">
        <v>7107</v>
      </c>
      <c r="J2191" s="943"/>
      <c r="K2191" s="944"/>
      <c r="L2191" s="1249"/>
      <c r="M2191" s="899">
        <v>1200</v>
      </c>
      <c r="N2191" s="898"/>
      <c r="O2191" s="898"/>
      <c r="P2191" s="899"/>
    </row>
    <row r="2192" spans="1:16" ht="36" x14ac:dyDescent="0.2">
      <c r="A2192" s="916" t="s">
        <v>7051</v>
      </c>
      <c r="B2192" s="898" t="s">
        <v>7021</v>
      </c>
      <c r="C2192" s="916" t="s">
        <v>3950</v>
      </c>
      <c r="D2192" s="898" t="s">
        <v>7378</v>
      </c>
      <c r="E2192" s="1144">
        <v>1200</v>
      </c>
      <c r="F2192" s="916">
        <v>73426101</v>
      </c>
      <c r="G2192" s="898" t="s">
        <v>7382</v>
      </c>
      <c r="H2192" s="898" t="s">
        <v>7364</v>
      </c>
      <c r="I2192" s="943" t="s">
        <v>7107</v>
      </c>
      <c r="J2192" s="943"/>
      <c r="K2192" s="944"/>
      <c r="L2192" s="1249"/>
      <c r="M2192" s="899">
        <v>1200</v>
      </c>
      <c r="N2192" s="898"/>
      <c r="O2192" s="898"/>
      <c r="P2192" s="899"/>
    </row>
    <row r="2193" spans="1:16" ht="36" x14ac:dyDescent="0.2">
      <c r="A2193" s="916" t="s">
        <v>7051</v>
      </c>
      <c r="B2193" s="898" t="s">
        <v>7021</v>
      </c>
      <c r="C2193" s="916" t="s">
        <v>3950</v>
      </c>
      <c r="D2193" s="898" t="s">
        <v>7383</v>
      </c>
      <c r="E2193" s="1144">
        <v>2000</v>
      </c>
      <c r="F2193" s="916"/>
      <c r="G2193" s="898" t="s">
        <v>7384</v>
      </c>
      <c r="H2193" s="898" t="s">
        <v>7385</v>
      </c>
      <c r="I2193" s="943" t="s">
        <v>7107</v>
      </c>
      <c r="J2193" s="943"/>
      <c r="K2193" s="944"/>
      <c r="L2193" s="1249"/>
      <c r="M2193" s="899">
        <v>2000</v>
      </c>
      <c r="N2193" s="898"/>
      <c r="O2193" s="898"/>
      <c r="P2193" s="899"/>
    </row>
    <row r="2194" spans="1:16" ht="36" x14ac:dyDescent="0.2">
      <c r="A2194" s="916" t="s">
        <v>7051</v>
      </c>
      <c r="B2194" s="898" t="s">
        <v>7021</v>
      </c>
      <c r="C2194" s="916" t="s">
        <v>3950</v>
      </c>
      <c r="D2194" s="898" t="s">
        <v>7386</v>
      </c>
      <c r="E2194" s="1144">
        <v>1200</v>
      </c>
      <c r="F2194" s="916">
        <v>45033272</v>
      </c>
      <c r="G2194" s="898" t="s">
        <v>7387</v>
      </c>
      <c r="H2194" s="898" t="s">
        <v>3121</v>
      </c>
      <c r="I2194" s="943" t="s">
        <v>7107</v>
      </c>
      <c r="J2194" s="943"/>
      <c r="K2194" s="944"/>
      <c r="L2194" s="1249"/>
      <c r="M2194" s="899">
        <v>1200</v>
      </c>
      <c r="N2194" s="898"/>
      <c r="O2194" s="898"/>
      <c r="P2194" s="899"/>
    </row>
    <row r="2195" spans="1:16" ht="36" x14ac:dyDescent="0.2">
      <c r="A2195" s="916" t="s">
        <v>7051</v>
      </c>
      <c r="B2195" s="898" t="s">
        <v>7021</v>
      </c>
      <c r="C2195" s="916" t="s">
        <v>3950</v>
      </c>
      <c r="D2195" s="898" t="s">
        <v>7388</v>
      </c>
      <c r="E2195" s="1144">
        <v>1200</v>
      </c>
      <c r="F2195" s="916">
        <v>42233689</v>
      </c>
      <c r="G2195" s="898" t="s">
        <v>7389</v>
      </c>
      <c r="H2195" s="898" t="s">
        <v>7364</v>
      </c>
      <c r="I2195" s="943" t="s">
        <v>7107</v>
      </c>
      <c r="J2195" s="943"/>
      <c r="K2195" s="944"/>
      <c r="L2195" s="1249"/>
      <c r="M2195" s="899">
        <v>1200</v>
      </c>
      <c r="N2195" s="898"/>
      <c r="O2195" s="898"/>
      <c r="P2195" s="899"/>
    </row>
    <row r="2196" spans="1:16" ht="36" x14ac:dyDescent="0.2">
      <c r="A2196" s="916" t="s">
        <v>7051</v>
      </c>
      <c r="B2196" s="898" t="s">
        <v>7021</v>
      </c>
      <c r="C2196" s="916" t="s">
        <v>3950</v>
      </c>
      <c r="D2196" s="898" t="s">
        <v>3100</v>
      </c>
      <c r="E2196" s="1144">
        <v>2000</v>
      </c>
      <c r="F2196" s="916">
        <v>70970656</v>
      </c>
      <c r="G2196" s="898" t="s">
        <v>7390</v>
      </c>
      <c r="H2196" s="898" t="s">
        <v>7391</v>
      </c>
      <c r="I2196" s="943" t="s">
        <v>7107</v>
      </c>
      <c r="J2196" s="943"/>
      <c r="K2196" s="944"/>
      <c r="L2196" s="1249"/>
      <c r="M2196" s="899">
        <v>2000</v>
      </c>
      <c r="N2196" s="898"/>
      <c r="O2196" s="898"/>
      <c r="P2196" s="899"/>
    </row>
    <row r="2197" spans="1:16" ht="36" x14ac:dyDescent="0.2">
      <c r="A2197" s="916" t="s">
        <v>7051</v>
      </c>
      <c r="B2197" s="898" t="s">
        <v>7021</v>
      </c>
      <c r="C2197" s="916" t="s">
        <v>3950</v>
      </c>
      <c r="D2197" s="898" t="s">
        <v>7392</v>
      </c>
      <c r="E2197" s="1144">
        <v>1200</v>
      </c>
      <c r="F2197" s="916">
        <v>71020126</v>
      </c>
      <c r="G2197" s="898" t="s">
        <v>7393</v>
      </c>
      <c r="H2197" s="898" t="s">
        <v>7364</v>
      </c>
      <c r="I2197" s="943" t="s">
        <v>7107</v>
      </c>
      <c r="J2197" s="943"/>
      <c r="K2197" s="944"/>
      <c r="L2197" s="1249"/>
      <c r="M2197" s="899">
        <v>1200</v>
      </c>
      <c r="N2197" s="898"/>
      <c r="O2197" s="898"/>
      <c r="P2197" s="899"/>
    </row>
    <row r="2198" spans="1:16" ht="36" x14ac:dyDescent="0.2">
      <c r="A2198" s="916" t="s">
        <v>7051</v>
      </c>
      <c r="B2198" s="898" t="s">
        <v>7021</v>
      </c>
      <c r="C2198" s="916" t="s">
        <v>3950</v>
      </c>
      <c r="D2198" s="898" t="s">
        <v>4808</v>
      </c>
      <c r="E2198" s="1144">
        <v>2000</v>
      </c>
      <c r="F2198" s="916">
        <v>71420295</v>
      </c>
      <c r="G2198" s="898" t="s">
        <v>7394</v>
      </c>
      <c r="H2198" s="898" t="s">
        <v>7395</v>
      </c>
      <c r="I2198" s="943" t="s">
        <v>7107</v>
      </c>
      <c r="J2198" s="943"/>
      <c r="K2198" s="944"/>
      <c r="L2198" s="1249"/>
      <c r="M2198" s="899">
        <v>2000</v>
      </c>
      <c r="N2198" s="898"/>
      <c r="O2198" s="898"/>
      <c r="P2198" s="899"/>
    </row>
    <row r="2199" spans="1:16" ht="36" x14ac:dyDescent="0.2">
      <c r="A2199" s="916" t="s">
        <v>7051</v>
      </c>
      <c r="B2199" s="898" t="s">
        <v>7021</v>
      </c>
      <c r="C2199" s="916" t="s">
        <v>3950</v>
      </c>
      <c r="D2199" s="898" t="s">
        <v>4778</v>
      </c>
      <c r="E2199" s="1144">
        <v>2000</v>
      </c>
      <c r="F2199" s="916">
        <v>72414508</v>
      </c>
      <c r="G2199" s="898" t="s">
        <v>7396</v>
      </c>
      <c r="H2199" s="898" t="s">
        <v>3621</v>
      </c>
      <c r="I2199" s="943" t="s">
        <v>7107</v>
      </c>
      <c r="J2199" s="943"/>
      <c r="K2199" s="944"/>
      <c r="L2199" s="1249"/>
      <c r="M2199" s="899">
        <v>2000</v>
      </c>
      <c r="N2199" s="898"/>
      <c r="O2199" s="898"/>
      <c r="P2199" s="899"/>
    </row>
    <row r="2200" spans="1:16" ht="36" x14ac:dyDescent="0.2">
      <c r="A2200" s="916" t="s">
        <v>7051</v>
      </c>
      <c r="B2200" s="898" t="s">
        <v>7021</v>
      </c>
      <c r="C2200" s="916" t="s">
        <v>3950</v>
      </c>
      <c r="D2200" s="898" t="s">
        <v>7397</v>
      </c>
      <c r="E2200" s="1144">
        <v>1500</v>
      </c>
      <c r="F2200" s="916">
        <v>21144083</v>
      </c>
      <c r="G2200" s="898" t="s">
        <v>7398</v>
      </c>
      <c r="H2200" s="898" t="s">
        <v>7364</v>
      </c>
      <c r="I2200" s="943" t="s">
        <v>7107</v>
      </c>
      <c r="J2200" s="943"/>
      <c r="K2200" s="944"/>
      <c r="L2200" s="1249"/>
      <c r="M2200" s="899">
        <v>1500</v>
      </c>
      <c r="N2200" s="898"/>
      <c r="O2200" s="898"/>
      <c r="P2200" s="899"/>
    </row>
    <row r="2201" spans="1:16" x14ac:dyDescent="0.2">
      <c r="A2201" s="1551" t="s">
        <v>3485</v>
      </c>
      <c r="B2201" s="1551"/>
      <c r="C2201" s="1551"/>
      <c r="D2201" s="1551"/>
      <c r="E2201" s="1290">
        <f>SUM(E2177:E2200)</f>
        <v>32300</v>
      </c>
      <c r="F2201" s="1291"/>
      <c r="G2201" s="1291"/>
      <c r="H2201" s="1287"/>
      <c r="I2201" s="1288"/>
      <c r="J2201" s="943"/>
      <c r="K2201" s="1378"/>
      <c r="L2201" s="1284"/>
      <c r="M2201" s="1293">
        <f>SUM(M2177:M2200)</f>
        <v>32300</v>
      </c>
      <c r="N2201" s="898"/>
      <c r="O2201" s="898"/>
      <c r="P2201" s="899"/>
    </row>
    <row r="2202" spans="1:16" x14ac:dyDescent="0.2">
      <c r="A2202" s="1547" t="s">
        <v>169</v>
      </c>
      <c r="B2202" s="1547"/>
      <c r="C2202" s="1547"/>
      <c r="D2202" s="1547"/>
      <c r="E2202" s="1294">
        <f>+E2176+E2201</f>
        <v>256128</v>
      </c>
      <c r="F2202" s="1295"/>
      <c r="G2202" s="1295"/>
      <c r="H2202" s="1296"/>
      <c r="I2202" s="1297"/>
      <c r="J2202" s="1233"/>
      <c r="K2202" s="1379"/>
      <c r="L2202" s="1298"/>
      <c r="M2202" s="1299">
        <f>+M2176+M2201</f>
        <v>256128</v>
      </c>
      <c r="N2202" s="1230"/>
      <c r="O2202" s="1230"/>
      <c r="P2202" s="1235"/>
    </row>
    <row r="2203" spans="1:16" x14ac:dyDescent="0.2">
      <c r="A2203" s="63"/>
      <c r="C2203" s="63"/>
      <c r="E2203" s="63"/>
      <c r="I2203" s="63"/>
      <c r="J2203" s="63"/>
      <c r="L2203" s="63"/>
      <c r="M2203" s="63"/>
      <c r="P2203" s="63"/>
    </row>
    <row r="2204" spans="1:16" x14ac:dyDescent="0.2">
      <c r="A2204" s="63"/>
      <c r="C2204" s="63"/>
      <c r="E2204" s="63"/>
      <c r="I2204" s="63"/>
      <c r="J2204" s="63"/>
      <c r="L2204" s="63"/>
      <c r="M2204" s="63"/>
      <c r="P2204" s="63"/>
    </row>
    <row r="2205" spans="1:16" ht="24" x14ac:dyDescent="0.2">
      <c r="A2205" s="1301" t="s">
        <v>784</v>
      </c>
      <c r="B2205" s="1300"/>
      <c r="C2205" s="1301"/>
      <c r="D2205" s="1300"/>
      <c r="E2205" s="1294"/>
      <c r="F2205" s="1295"/>
      <c r="G2205" s="1295"/>
      <c r="H2205" s="1296"/>
      <c r="I2205" s="1297"/>
      <c r="J2205" s="1233"/>
      <c r="K2205" s="1379"/>
      <c r="L2205" s="1298"/>
      <c r="M2205" s="1299"/>
      <c r="N2205" s="1230"/>
      <c r="O2205" s="1230"/>
      <c r="P2205" s="1235"/>
    </row>
    <row r="2206" spans="1:16" ht="90" customHeight="1" x14ac:dyDescent="0.2">
      <c r="A2206" s="1237" t="s">
        <v>2829</v>
      </c>
      <c r="B2206" s="1239" t="s">
        <v>3079</v>
      </c>
      <c r="C2206" s="1237" t="s">
        <v>3080</v>
      </c>
      <c r="D2206" s="1239" t="s">
        <v>3081</v>
      </c>
      <c r="E2206" s="1240" t="s">
        <v>3082</v>
      </c>
      <c r="F2206" s="1239" t="s">
        <v>3083</v>
      </c>
      <c r="G2206" s="1239" t="s">
        <v>3084</v>
      </c>
      <c r="H2206" s="1239" t="s">
        <v>3085</v>
      </c>
      <c r="I2206" s="1239" t="s">
        <v>3086</v>
      </c>
      <c r="J2206" s="1239" t="s">
        <v>3087</v>
      </c>
      <c r="K2206" s="1369" t="s">
        <v>3088</v>
      </c>
      <c r="L2206" s="1241" t="s">
        <v>3089</v>
      </c>
      <c r="M2206" s="1242" t="s">
        <v>3090</v>
      </c>
      <c r="N2206" s="1241" t="s">
        <v>3088</v>
      </c>
      <c r="O2206" s="1241" t="s">
        <v>3089</v>
      </c>
      <c r="P2206" s="1242" t="s">
        <v>3090</v>
      </c>
    </row>
    <row r="2207" spans="1:16" ht="48" x14ac:dyDescent="0.2">
      <c r="A2207" s="916" t="s">
        <v>7399</v>
      </c>
      <c r="B2207" s="943" t="s">
        <v>4291</v>
      </c>
      <c r="C2207" s="916" t="s">
        <v>398</v>
      </c>
      <c r="D2207" s="1092" t="s">
        <v>3115</v>
      </c>
      <c r="E2207" s="1144"/>
      <c r="F2207" s="1089">
        <v>73511398</v>
      </c>
      <c r="G2207" s="1090" t="s">
        <v>7400</v>
      </c>
      <c r="H2207" s="898"/>
      <c r="I2207" s="943"/>
      <c r="J2207" s="943"/>
      <c r="K2207" s="1380">
        <v>13</v>
      </c>
      <c r="L2207" s="1092" t="s">
        <v>7401</v>
      </c>
      <c r="M2207" s="1093" t="s">
        <v>7402</v>
      </c>
      <c r="N2207" s="1091">
        <v>13</v>
      </c>
      <c r="O2207" s="1092" t="s">
        <v>7401</v>
      </c>
      <c r="P2207" s="1093" t="s">
        <v>7402</v>
      </c>
    </row>
    <row r="2208" spans="1:16" ht="48" x14ac:dyDescent="0.2">
      <c r="A2208" s="916" t="s">
        <v>7399</v>
      </c>
      <c r="B2208" s="943" t="s">
        <v>4291</v>
      </c>
      <c r="C2208" s="916" t="s">
        <v>398</v>
      </c>
      <c r="D2208" s="1092" t="s">
        <v>4136</v>
      </c>
      <c r="E2208" s="1144"/>
      <c r="F2208" s="1089">
        <v>72437745</v>
      </c>
      <c r="G2208" s="1090" t="s">
        <v>7403</v>
      </c>
      <c r="H2208" s="898"/>
      <c r="I2208" s="943"/>
      <c r="J2208" s="943"/>
      <c r="K2208" s="1380">
        <v>11</v>
      </c>
      <c r="L2208" s="1092" t="s">
        <v>7404</v>
      </c>
      <c r="M2208" s="1093" t="s">
        <v>7405</v>
      </c>
      <c r="N2208" s="1091">
        <v>11</v>
      </c>
      <c r="O2208" s="1092" t="s">
        <v>7404</v>
      </c>
      <c r="P2208" s="1093" t="s">
        <v>7405</v>
      </c>
    </row>
    <row r="2209" spans="1:16" ht="48" x14ac:dyDescent="0.2">
      <c r="A2209" s="916" t="s">
        <v>7399</v>
      </c>
      <c r="B2209" s="943" t="s">
        <v>4291</v>
      </c>
      <c r="C2209" s="916" t="s">
        <v>398</v>
      </c>
      <c r="D2209" s="1092" t="s">
        <v>3115</v>
      </c>
      <c r="E2209" s="1144"/>
      <c r="F2209" s="1089">
        <v>47031686</v>
      </c>
      <c r="G2209" s="1090" t="s">
        <v>7406</v>
      </c>
      <c r="H2209" s="898"/>
      <c r="I2209" s="943"/>
      <c r="J2209" s="943"/>
      <c r="K2209" s="1380">
        <v>18</v>
      </c>
      <c r="L2209" s="1092" t="s">
        <v>7401</v>
      </c>
      <c r="M2209" s="1093" t="s">
        <v>7402</v>
      </c>
      <c r="N2209" s="1091">
        <v>18</v>
      </c>
      <c r="O2209" s="1092" t="s">
        <v>7401</v>
      </c>
      <c r="P2209" s="1093" t="s">
        <v>7402</v>
      </c>
    </row>
    <row r="2210" spans="1:16" ht="48" x14ac:dyDescent="0.2">
      <c r="A2210" s="916" t="s">
        <v>7399</v>
      </c>
      <c r="B2210" s="943" t="s">
        <v>4291</v>
      </c>
      <c r="C2210" s="916" t="s">
        <v>398</v>
      </c>
      <c r="D2210" s="1092" t="s">
        <v>3115</v>
      </c>
      <c r="E2210" s="1144"/>
      <c r="F2210" s="1089">
        <v>42764234</v>
      </c>
      <c r="G2210" s="1090" t="s">
        <v>7407</v>
      </c>
      <c r="H2210" s="898"/>
      <c r="I2210" s="943"/>
      <c r="J2210" s="943"/>
      <c r="K2210" s="1380">
        <v>15</v>
      </c>
      <c r="L2210" s="1092" t="s">
        <v>7401</v>
      </c>
      <c r="M2210" s="1093" t="s">
        <v>7408</v>
      </c>
      <c r="N2210" s="1091">
        <v>15</v>
      </c>
      <c r="O2210" s="1092" t="s">
        <v>7401</v>
      </c>
      <c r="P2210" s="1093" t="s">
        <v>7408</v>
      </c>
    </row>
    <row r="2211" spans="1:16" ht="48" x14ac:dyDescent="0.2">
      <c r="A2211" s="916" t="s">
        <v>7399</v>
      </c>
      <c r="B2211" s="943" t="s">
        <v>4291</v>
      </c>
      <c r="C2211" s="916" t="s">
        <v>398</v>
      </c>
      <c r="D2211" s="1092" t="s">
        <v>7409</v>
      </c>
      <c r="E2211" s="1144"/>
      <c r="F2211" s="1094" t="s">
        <v>7410</v>
      </c>
      <c r="G2211" s="1090" t="s">
        <v>7411</v>
      </c>
      <c r="H2211" s="898"/>
      <c r="I2211" s="943"/>
      <c r="J2211" s="943"/>
      <c r="K2211" s="1380">
        <v>19</v>
      </c>
      <c r="L2211" s="1092" t="s">
        <v>7401</v>
      </c>
      <c r="M2211" s="1093" t="s">
        <v>7412</v>
      </c>
      <c r="N2211" s="1091">
        <v>19</v>
      </c>
      <c r="O2211" s="1092" t="s">
        <v>7401</v>
      </c>
      <c r="P2211" s="1093" t="s">
        <v>7412</v>
      </c>
    </row>
    <row r="2212" spans="1:16" ht="48" x14ac:dyDescent="0.2">
      <c r="A2212" s="916" t="s">
        <v>7399</v>
      </c>
      <c r="B2212" s="943" t="s">
        <v>4291</v>
      </c>
      <c r="C2212" s="916" t="s">
        <v>398</v>
      </c>
      <c r="D2212" s="1092" t="s">
        <v>7413</v>
      </c>
      <c r="E2212" s="1144"/>
      <c r="F2212" s="1089">
        <v>40383053</v>
      </c>
      <c r="G2212" s="1090" t="s">
        <v>7414</v>
      </c>
      <c r="H2212" s="898"/>
      <c r="I2212" s="943"/>
      <c r="J2212" s="943"/>
      <c r="K2212" s="1380">
        <v>14</v>
      </c>
      <c r="L2212" s="1092" t="s">
        <v>7401</v>
      </c>
      <c r="M2212" s="1093" t="s">
        <v>7415</v>
      </c>
      <c r="N2212" s="1091">
        <v>14</v>
      </c>
      <c r="O2212" s="1092" t="s">
        <v>7401</v>
      </c>
      <c r="P2212" s="1093" t="s">
        <v>7415</v>
      </c>
    </row>
    <row r="2213" spans="1:16" ht="48" x14ac:dyDescent="0.2">
      <c r="A2213" s="916" t="s">
        <v>7399</v>
      </c>
      <c r="B2213" s="943" t="s">
        <v>4291</v>
      </c>
      <c r="C2213" s="916" t="s">
        <v>398</v>
      </c>
      <c r="D2213" s="1092" t="s">
        <v>7416</v>
      </c>
      <c r="E2213" s="1144"/>
      <c r="F2213" s="1094" t="s">
        <v>7417</v>
      </c>
      <c r="G2213" s="1090" t="s">
        <v>7418</v>
      </c>
      <c r="H2213" s="898"/>
      <c r="I2213" s="943"/>
      <c r="J2213" s="943"/>
      <c r="K2213" s="1380">
        <v>17</v>
      </c>
      <c r="L2213" s="1092" t="s">
        <v>7401</v>
      </c>
      <c r="M2213" s="1093" t="s">
        <v>7402</v>
      </c>
      <c r="N2213" s="1091">
        <v>17</v>
      </c>
      <c r="O2213" s="1092" t="s">
        <v>7401</v>
      </c>
      <c r="P2213" s="1093" t="s">
        <v>7402</v>
      </c>
    </row>
    <row r="2214" spans="1:16" ht="36" x14ac:dyDescent="0.2">
      <c r="A2214" s="916" t="s">
        <v>7399</v>
      </c>
      <c r="B2214" s="943" t="s">
        <v>4291</v>
      </c>
      <c r="C2214" s="916" t="s">
        <v>398</v>
      </c>
      <c r="D2214" s="1090" t="s">
        <v>7419</v>
      </c>
      <c r="E2214" s="1144"/>
      <c r="F2214" s="1145" t="s">
        <v>7420</v>
      </c>
      <c r="G2214" s="1095" t="s">
        <v>7421</v>
      </c>
      <c r="H2214" s="898"/>
      <c r="I2214" s="943"/>
      <c r="J2214" s="943"/>
      <c r="K2214" s="1381">
        <v>42</v>
      </c>
      <c r="L2214" s="1113" t="s">
        <v>7422</v>
      </c>
      <c r="M2214" s="900">
        <v>1200</v>
      </c>
      <c r="N2214" s="1096">
        <v>42</v>
      </c>
      <c r="O2214" s="1113" t="s">
        <v>7422</v>
      </c>
      <c r="P2214" s="900">
        <v>1200</v>
      </c>
    </row>
    <row r="2215" spans="1:16" ht="36" x14ac:dyDescent="0.2">
      <c r="A2215" s="916" t="s">
        <v>7399</v>
      </c>
      <c r="B2215" s="943" t="s">
        <v>4291</v>
      </c>
      <c r="C2215" s="916" t="s">
        <v>398</v>
      </c>
      <c r="D2215" s="1096" t="s">
        <v>7423</v>
      </c>
      <c r="E2215" s="1144"/>
      <c r="F2215" s="1145" t="s">
        <v>7424</v>
      </c>
      <c r="G2215" s="1095" t="s">
        <v>7425</v>
      </c>
      <c r="H2215" s="898"/>
      <c r="I2215" s="943"/>
      <c r="J2215" s="943"/>
      <c r="K2215" s="1381">
        <v>19</v>
      </c>
      <c r="L2215" s="1096" t="s">
        <v>7426</v>
      </c>
      <c r="M2215" s="900">
        <v>1300</v>
      </c>
      <c r="N2215" s="1096">
        <v>19</v>
      </c>
      <c r="O2215" s="1096" t="s">
        <v>7426</v>
      </c>
      <c r="P2215" s="900">
        <v>1300</v>
      </c>
    </row>
    <row r="2216" spans="1:16" ht="36" x14ac:dyDescent="0.2">
      <c r="A2216" s="916" t="s">
        <v>7399</v>
      </c>
      <c r="B2216" s="943" t="s">
        <v>4291</v>
      </c>
      <c r="C2216" s="916" t="s">
        <v>398</v>
      </c>
      <c r="D2216" s="1096" t="s">
        <v>7427</v>
      </c>
      <c r="E2216" s="1144"/>
      <c r="F2216" s="1145" t="s">
        <v>7428</v>
      </c>
      <c r="G2216" s="1095" t="s">
        <v>7429</v>
      </c>
      <c r="H2216" s="898"/>
      <c r="I2216" s="943"/>
      <c r="J2216" s="943"/>
      <c r="K2216" s="1381">
        <v>20</v>
      </c>
      <c r="L2216" s="1096" t="s">
        <v>7422</v>
      </c>
      <c r="M2216" s="900">
        <v>1500</v>
      </c>
      <c r="N2216" s="1096">
        <v>20</v>
      </c>
      <c r="O2216" s="1096" t="s">
        <v>7422</v>
      </c>
      <c r="P2216" s="900">
        <v>1500</v>
      </c>
    </row>
    <row r="2217" spans="1:16" ht="36" x14ac:dyDescent="0.2">
      <c r="A2217" s="916" t="s">
        <v>7399</v>
      </c>
      <c r="B2217" s="943" t="s">
        <v>4291</v>
      </c>
      <c r="C2217" s="916" t="s">
        <v>398</v>
      </c>
      <c r="D2217" s="1096" t="s">
        <v>7423</v>
      </c>
      <c r="E2217" s="1144"/>
      <c r="F2217" s="1145" t="s">
        <v>7430</v>
      </c>
      <c r="G2217" s="1095" t="s">
        <v>7431</v>
      </c>
      <c r="H2217" s="898"/>
      <c r="I2217" s="943"/>
      <c r="J2217" s="943"/>
      <c r="K2217" s="1381">
        <v>21</v>
      </c>
      <c r="L2217" s="1096" t="s">
        <v>7422</v>
      </c>
      <c r="M2217" s="900">
        <v>1200</v>
      </c>
      <c r="N2217" s="1096">
        <v>21</v>
      </c>
      <c r="O2217" s="1096" t="s">
        <v>7422</v>
      </c>
      <c r="P2217" s="900">
        <v>1200</v>
      </c>
    </row>
    <row r="2218" spans="1:16" ht="36" x14ac:dyDescent="0.2">
      <c r="A2218" s="916" t="s">
        <v>7399</v>
      </c>
      <c r="B2218" s="943" t="s">
        <v>4291</v>
      </c>
      <c r="C2218" s="916" t="s">
        <v>398</v>
      </c>
      <c r="D2218" s="1096" t="s">
        <v>7432</v>
      </c>
      <c r="E2218" s="1144"/>
      <c r="F2218" s="1145" t="s">
        <v>7433</v>
      </c>
      <c r="G2218" s="1095" t="s">
        <v>7434</v>
      </c>
      <c r="H2218" s="898"/>
      <c r="I2218" s="943"/>
      <c r="J2218" s="943"/>
      <c r="K2218" s="1381">
        <v>22</v>
      </c>
      <c r="L2218" s="1096" t="s">
        <v>7435</v>
      </c>
      <c r="M2218" s="900">
        <v>1800</v>
      </c>
      <c r="N2218" s="1096">
        <v>22</v>
      </c>
      <c r="O2218" s="1096" t="s">
        <v>7435</v>
      </c>
      <c r="P2218" s="900">
        <v>1800</v>
      </c>
    </row>
    <row r="2219" spans="1:16" ht="36" x14ac:dyDescent="0.2">
      <c r="A2219" s="916" t="s">
        <v>7399</v>
      </c>
      <c r="B2219" s="943" t="s">
        <v>4291</v>
      </c>
      <c r="C2219" s="916" t="s">
        <v>398</v>
      </c>
      <c r="D2219" s="1096" t="s">
        <v>3103</v>
      </c>
      <c r="E2219" s="1144"/>
      <c r="F2219" s="1145" t="s">
        <v>7436</v>
      </c>
      <c r="G2219" s="1095" t="s">
        <v>7437</v>
      </c>
      <c r="H2219" s="898"/>
      <c r="I2219" s="943"/>
      <c r="J2219" s="943"/>
      <c r="K2219" s="1381">
        <v>55</v>
      </c>
      <c r="L2219" s="1096" t="s">
        <v>7438</v>
      </c>
      <c r="M2219" s="900">
        <v>1800</v>
      </c>
      <c r="N2219" s="1096">
        <v>55</v>
      </c>
      <c r="O2219" s="1096" t="s">
        <v>7438</v>
      </c>
      <c r="P2219" s="900">
        <v>1800</v>
      </c>
    </row>
    <row r="2220" spans="1:16" ht="36" x14ac:dyDescent="0.2">
      <c r="A2220" s="916" t="s">
        <v>7399</v>
      </c>
      <c r="B2220" s="943" t="s">
        <v>4291</v>
      </c>
      <c r="C2220" s="916" t="s">
        <v>398</v>
      </c>
      <c r="D2220" s="1096" t="s">
        <v>7439</v>
      </c>
      <c r="E2220" s="1144"/>
      <c r="F2220" s="1145" t="s">
        <v>7440</v>
      </c>
      <c r="G2220" s="1095" t="s">
        <v>7441</v>
      </c>
      <c r="H2220" s="898"/>
      <c r="I2220" s="943"/>
      <c r="J2220" s="943"/>
      <c r="K2220" s="1381">
        <v>23</v>
      </c>
      <c r="L2220" s="1096" t="s">
        <v>7422</v>
      </c>
      <c r="M2220" s="900">
        <v>1800</v>
      </c>
      <c r="N2220" s="1096">
        <v>23</v>
      </c>
      <c r="O2220" s="1096" t="s">
        <v>7422</v>
      </c>
      <c r="P2220" s="900">
        <v>1800</v>
      </c>
    </row>
    <row r="2221" spans="1:16" ht="36" x14ac:dyDescent="0.2">
      <c r="A2221" s="916" t="s">
        <v>7399</v>
      </c>
      <c r="B2221" s="943" t="s">
        <v>4291</v>
      </c>
      <c r="C2221" s="916" t="s">
        <v>398</v>
      </c>
      <c r="D2221" s="1096" t="s">
        <v>3231</v>
      </c>
      <c r="E2221" s="1144"/>
      <c r="F2221" s="1145" t="s">
        <v>7442</v>
      </c>
      <c r="G2221" s="1095" t="s">
        <v>7443</v>
      </c>
      <c r="H2221" s="898"/>
      <c r="I2221" s="943"/>
      <c r="J2221" s="943"/>
      <c r="K2221" s="1381">
        <v>24</v>
      </c>
      <c r="L2221" s="1096" t="s">
        <v>7444</v>
      </c>
      <c r="M2221" s="900">
        <v>1200</v>
      </c>
      <c r="N2221" s="1096">
        <v>24</v>
      </c>
      <c r="O2221" s="1096" t="s">
        <v>7444</v>
      </c>
      <c r="P2221" s="900">
        <v>1200</v>
      </c>
    </row>
    <row r="2222" spans="1:16" ht="36" x14ac:dyDescent="0.2">
      <c r="A2222" s="916" t="s">
        <v>7399</v>
      </c>
      <c r="B2222" s="943" t="s">
        <v>4291</v>
      </c>
      <c r="C2222" s="916" t="s">
        <v>398</v>
      </c>
      <c r="D2222" s="1096" t="s">
        <v>7445</v>
      </c>
      <c r="E2222" s="1144"/>
      <c r="F2222" s="1145" t="s">
        <v>7446</v>
      </c>
      <c r="G2222" s="1095" t="s">
        <v>7447</v>
      </c>
      <c r="H2222" s="898"/>
      <c r="I2222" s="943"/>
      <c r="J2222" s="943"/>
      <c r="K2222" s="1381">
        <v>25</v>
      </c>
      <c r="L2222" s="1096" t="s">
        <v>7426</v>
      </c>
      <c r="M2222" s="900">
        <v>2000</v>
      </c>
      <c r="N2222" s="1096">
        <v>25</v>
      </c>
      <c r="O2222" s="1096" t="s">
        <v>7426</v>
      </c>
      <c r="P2222" s="900">
        <v>2000</v>
      </c>
    </row>
    <row r="2223" spans="1:16" ht="36" x14ac:dyDescent="0.2">
      <c r="A2223" s="916" t="s">
        <v>7399</v>
      </c>
      <c r="B2223" s="943" t="s">
        <v>4291</v>
      </c>
      <c r="C2223" s="916" t="s">
        <v>398</v>
      </c>
      <c r="D2223" s="1096" t="s">
        <v>7448</v>
      </c>
      <c r="E2223" s="1144"/>
      <c r="F2223" s="1145" t="s">
        <v>7449</v>
      </c>
      <c r="G2223" s="1095" t="s">
        <v>7450</v>
      </c>
      <c r="H2223" s="898"/>
      <c r="I2223" s="943"/>
      <c r="J2223" s="943"/>
      <c r="K2223" s="1381">
        <v>26</v>
      </c>
      <c r="L2223" s="1096" t="s">
        <v>7451</v>
      </c>
      <c r="M2223" s="900">
        <v>1300</v>
      </c>
      <c r="N2223" s="1096">
        <v>26</v>
      </c>
      <c r="O2223" s="1096" t="s">
        <v>7451</v>
      </c>
      <c r="P2223" s="900">
        <v>1300</v>
      </c>
    </row>
    <row r="2224" spans="1:16" ht="36" x14ac:dyDescent="0.2">
      <c r="A2224" s="916" t="s">
        <v>7399</v>
      </c>
      <c r="B2224" s="943" t="s">
        <v>4291</v>
      </c>
      <c r="C2224" s="916" t="s">
        <v>398</v>
      </c>
      <c r="D2224" s="1096" t="s">
        <v>7452</v>
      </c>
      <c r="E2224" s="1144"/>
      <c r="F2224" s="1145" t="s">
        <v>7453</v>
      </c>
      <c r="G2224" s="1095" t="s">
        <v>7454</v>
      </c>
      <c r="H2224" s="898"/>
      <c r="I2224" s="943"/>
      <c r="J2224" s="943"/>
      <c r="K2224" s="1381">
        <v>27</v>
      </c>
      <c r="L2224" s="1090" t="s">
        <v>7426</v>
      </c>
      <c r="M2224" s="900">
        <v>1200</v>
      </c>
      <c r="N2224" s="1096">
        <v>27</v>
      </c>
      <c r="O2224" s="1090" t="s">
        <v>7426</v>
      </c>
      <c r="P2224" s="900">
        <v>1200</v>
      </c>
    </row>
    <row r="2225" spans="1:16" ht="36" x14ac:dyDescent="0.2">
      <c r="A2225" s="916" t="s">
        <v>7399</v>
      </c>
      <c r="B2225" s="943" t="s">
        <v>4291</v>
      </c>
      <c r="C2225" s="916" t="s">
        <v>398</v>
      </c>
      <c r="D2225" s="1096" t="s">
        <v>7423</v>
      </c>
      <c r="E2225" s="1144"/>
      <c r="F2225" s="1145" t="s">
        <v>7455</v>
      </c>
      <c r="G2225" s="1095" t="s">
        <v>7456</v>
      </c>
      <c r="H2225" s="898"/>
      <c r="I2225" s="943"/>
      <c r="J2225" s="943"/>
      <c r="K2225" s="1381">
        <v>28</v>
      </c>
      <c r="L2225" s="1090" t="s">
        <v>7426</v>
      </c>
      <c r="M2225" s="900">
        <v>1200</v>
      </c>
      <c r="N2225" s="1096">
        <v>28</v>
      </c>
      <c r="O2225" s="1090" t="s">
        <v>7426</v>
      </c>
      <c r="P2225" s="900">
        <v>1200</v>
      </c>
    </row>
    <row r="2226" spans="1:16" ht="36" x14ac:dyDescent="0.2">
      <c r="A2226" s="916" t="s">
        <v>7399</v>
      </c>
      <c r="B2226" s="943" t="s">
        <v>4291</v>
      </c>
      <c r="C2226" s="916" t="s">
        <v>398</v>
      </c>
      <c r="D2226" s="1096" t="s">
        <v>7457</v>
      </c>
      <c r="E2226" s="1144"/>
      <c r="F2226" s="1145" t="s">
        <v>7458</v>
      </c>
      <c r="G2226" s="1095" t="s">
        <v>7459</v>
      </c>
      <c r="H2226" s="898"/>
      <c r="I2226" s="943"/>
      <c r="J2226" s="943"/>
      <c r="K2226" s="1381">
        <v>29</v>
      </c>
      <c r="L2226" s="1090" t="s">
        <v>7438</v>
      </c>
      <c r="M2226" s="900">
        <v>2000</v>
      </c>
      <c r="N2226" s="1096">
        <v>29</v>
      </c>
      <c r="O2226" s="1090" t="s">
        <v>7438</v>
      </c>
      <c r="P2226" s="900">
        <v>2000</v>
      </c>
    </row>
    <row r="2227" spans="1:16" ht="36" x14ac:dyDescent="0.2">
      <c r="A2227" s="916" t="s">
        <v>7399</v>
      </c>
      <c r="B2227" s="943" t="s">
        <v>4291</v>
      </c>
      <c r="C2227" s="916" t="s">
        <v>398</v>
      </c>
      <c r="D2227" s="1096" t="s">
        <v>7423</v>
      </c>
      <c r="E2227" s="1144"/>
      <c r="F2227" s="1145" t="s">
        <v>7460</v>
      </c>
      <c r="G2227" s="1095" t="s">
        <v>7461</v>
      </c>
      <c r="H2227" s="898"/>
      <c r="I2227" s="943"/>
      <c r="J2227" s="943"/>
      <c r="K2227" s="1381">
        <v>30</v>
      </c>
      <c r="L2227" s="1090" t="s">
        <v>7438</v>
      </c>
      <c r="M2227" s="900">
        <v>1300</v>
      </c>
      <c r="N2227" s="1096">
        <v>30</v>
      </c>
      <c r="O2227" s="1090" t="s">
        <v>7438</v>
      </c>
      <c r="P2227" s="900">
        <v>1300</v>
      </c>
    </row>
    <row r="2228" spans="1:16" ht="36" x14ac:dyDescent="0.2">
      <c r="A2228" s="916" t="s">
        <v>7399</v>
      </c>
      <c r="B2228" s="943" t="s">
        <v>4291</v>
      </c>
      <c r="C2228" s="916" t="s">
        <v>398</v>
      </c>
      <c r="D2228" s="1096" t="s">
        <v>7462</v>
      </c>
      <c r="E2228" s="1144"/>
      <c r="F2228" s="1145" t="s">
        <v>7463</v>
      </c>
      <c r="G2228" s="1095" t="s">
        <v>7464</v>
      </c>
      <c r="H2228" s="898"/>
      <c r="I2228" s="943"/>
      <c r="J2228" s="943"/>
      <c r="K2228" s="1381">
        <v>31</v>
      </c>
      <c r="L2228" s="1090" t="s">
        <v>7444</v>
      </c>
      <c r="M2228" s="900">
        <v>1500</v>
      </c>
      <c r="N2228" s="1096">
        <v>31</v>
      </c>
      <c r="O2228" s="1090" t="s">
        <v>7444</v>
      </c>
      <c r="P2228" s="900">
        <v>1500</v>
      </c>
    </row>
    <row r="2229" spans="1:16" ht="36" x14ac:dyDescent="0.2">
      <c r="A2229" s="916" t="s">
        <v>7399</v>
      </c>
      <c r="B2229" s="943" t="s">
        <v>4291</v>
      </c>
      <c r="C2229" s="916" t="s">
        <v>398</v>
      </c>
      <c r="D2229" s="1096" t="s">
        <v>7465</v>
      </c>
      <c r="E2229" s="1144"/>
      <c r="F2229" s="1145" t="s">
        <v>7466</v>
      </c>
      <c r="G2229" s="1095" t="s">
        <v>7467</v>
      </c>
      <c r="H2229" s="898"/>
      <c r="I2229" s="943"/>
      <c r="J2229" s="943"/>
      <c r="K2229" s="1381">
        <v>32</v>
      </c>
      <c r="L2229" s="1090" t="s">
        <v>7444</v>
      </c>
      <c r="M2229" s="900">
        <v>2200</v>
      </c>
      <c r="N2229" s="1096">
        <v>32</v>
      </c>
      <c r="O2229" s="1090" t="s">
        <v>7444</v>
      </c>
      <c r="P2229" s="900">
        <v>2200</v>
      </c>
    </row>
    <row r="2230" spans="1:16" ht="36" x14ac:dyDescent="0.2">
      <c r="A2230" s="916" t="s">
        <v>7399</v>
      </c>
      <c r="B2230" s="943" t="s">
        <v>4291</v>
      </c>
      <c r="C2230" s="916" t="s">
        <v>398</v>
      </c>
      <c r="D2230" s="1096" t="s">
        <v>7468</v>
      </c>
      <c r="E2230" s="1144"/>
      <c r="F2230" s="1145" t="s">
        <v>7469</v>
      </c>
      <c r="G2230" s="1095" t="s">
        <v>7470</v>
      </c>
      <c r="H2230" s="898"/>
      <c r="I2230" s="943"/>
      <c r="J2230" s="943"/>
      <c r="K2230" s="1381">
        <v>33</v>
      </c>
      <c r="L2230" s="1090" t="s">
        <v>7426</v>
      </c>
      <c r="M2230" s="900">
        <v>1500</v>
      </c>
      <c r="N2230" s="1096">
        <v>33</v>
      </c>
      <c r="O2230" s="1090" t="s">
        <v>7426</v>
      </c>
      <c r="P2230" s="900">
        <v>1500</v>
      </c>
    </row>
    <row r="2231" spans="1:16" ht="36" x14ac:dyDescent="0.2">
      <c r="A2231" s="916" t="s">
        <v>7399</v>
      </c>
      <c r="B2231" s="943" t="s">
        <v>4291</v>
      </c>
      <c r="C2231" s="916" t="s">
        <v>398</v>
      </c>
      <c r="D2231" s="1096" t="s">
        <v>7471</v>
      </c>
      <c r="E2231" s="1144"/>
      <c r="F2231" s="1145" t="s">
        <v>7472</v>
      </c>
      <c r="G2231" s="1095" t="s">
        <v>7473</v>
      </c>
      <c r="H2231" s="898"/>
      <c r="I2231" s="943"/>
      <c r="J2231" s="943"/>
      <c r="K2231" s="1381">
        <v>34</v>
      </c>
      <c r="L2231" s="1090" t="s">
        <v>7444</v>
      </c>
      <c r="M2231" s="900">
        <v>1200</v>
      </c>
      <c r="N2231" s="1096">
        <v>34</v>
      </c>
      <c r="O2231" s="1090" t="s">
        <v>7444</v>
      </c>
      <c r="P2231" s="900">
        <v>1200</v>
      </c>
    </row>
    <row r="2232" spans="1:16" ht="36" x14ac:dyDescent="0.2">
      <c r="A2232" s="916" t="s">
        <v>7399</v>
      </c>
      <c r="B2232" s="943" t="s">
        <v>4291</v>
      </c>
      <c r="C2232" s="916" t="s">
        <v>398</v>
      </c>
      <c r="D2232" s="1096" t="s">
        <v>7474</v>
      </c>
      <c r="E2232" s="1144"/>
      <c r="F2232" s="1145" t="s">
        <v>7475</v>
      </c>
      <c r="G2232" s="1095" t="s">
        <v>7476</v>
      </c>
      <c r="H2232" s="898"/>
      <c r="I2232" s="943"/>
      <c r="J2232" s="943"/>
      <c r="K2232" s="1381">
        <v>35</v>
      </c>
      <c r="L2232" s="1090" t="s">
        <v>7426</v>
      </c>
      <c r="M2232" s="900">
        <v>1200</v>
      </c>
      <c r="N2232" s="1096">
        <v>35</v>
      </c>
      <c r="O2232" s="1090" t="s">
        <v>7426</v>
      </c>
      <c r="P2232" s="900">
        <v>1200</v>
      </c>
    </row>
    <row r="2233" spans="1:16" ht="36" x14ac:dyDescent="0.2">
      <c r="A2233" s="916" t="s">
        <v>7399</v>
      </c>
      <c r="B2233" s="943" t="s">
        <v>4291</v>
      </c>
      <c r="C2233" s="916" t="s">
        <v>398</v>
      </c>
      <c r="D2233" s="1096" t="s">
        <v>7477</v>
      </c>
      <c r="E2233" s="1144"/>
      <c r="F2233" s="1145" t="s">
        <v>7478</v>
      </c>
      <c r="G2233" s="1095" t="s">
        <v>7479</v>
      </c>
      <c r="H2233" s="898"/>
      <c r="I2233" s="943"/>
      <c r="J2233" s="943"/>
      <c r="K2233" s="1381">
        <v>36</v>
      </c>
      <c r="L2233" s="1090" t="s">
        <v>7435</v>
      </c>
      <c r="M2233" s="900">
        <v>1500</v>
      </c>
      <c r="N2233" s="1096">
        <v>36</v>
      </c>
      <c r="O2233" s="1090" t="s">
        <v>7435</v>
      </c>
      <c r="P2233" s="900">
        <v>1500</v>
      </c>
    </row>
    <row r="2234" spans="1:16" ht="36" x14ac:dyDescent="0.2">
      <c r="A2234" s="916" t="s">
        <v>7399</v>
      </c>
      <c r="B2234" s="943" t="s">
        <v>4291</v>
      </c>
      <c r="C2234" s="916" t="s">
        <v>398</v>
      </c>
      <c r="D2234" s="1096" t="s">
        <v>7480</v>
      </c>
      <c r="E2234" s="1144"/>
      <c r="F2234" s="1145" t="s">
        <v>7481</v>
      </c>
      <c r="G2234" s="1095" t="s">
        <v>7482</v>
      </c>
      <c r="H2234" s="898"/>
      <c r="I2234" s="943"/>
      <c r="J2234" s="943"/>
      <c r="K2234" s="1381">
        <v>37</v>
      </c>
      <c r="L2234" s="1090" t="s">
        <v>7426</v>
      </c>
      <c r="M2234" s="900">
        <v>1200</v>
      </c>
      <c r="N2234" s="1096">
        <v>37</v>
      </c>
      <c r="O2234" s="1090" t="s">
        <v>7426</v>
      </c>
      <c r="P2234" s="900">
        <v>1200</v>
      </c>
    </row>
    <row r="2235" spans="1:16" ht="36" x14ac:dyDescent="0.2">
      <c r="A2235" s="916" t="s">
        <v>7399</v>
      </c>
      <c r="B2235" s="943" t="s">
        <v>4291</v>
      </c>
      <c r="C2235" s="916" t="s">
        <v>398</v>
      </c>
      <c r="D2235" s="1096" t="s">
        <v>507</v>
      </c>
      <c r="E2235" s="1144"/>
      <c r="F2235" s="1145" t="s">
        <v>7483</v>
      </c>
      <c r="G2235" s="1095" t="s">
        <v>7484</v>
      </c>
      <c r="H2235" s="898"/>
      <c r="I2235" s="943"/>
      <c r="J2235" s="943"/>
      <c r="K2235" s="1381">
        <v>39</v>
      </c>
      <c r="L2235" s="1090" t="s">
        <v>7438</v>
      </c>
      <c r="M2235" s="900">
        <v>1200</v>
      </c>
      <c r="N2235" s="1096">
        <v>39</v>
      </c>
      <c r="O2235" s="1090" t="s">
        <v>7438</v>
      </c>
      <c r="P2235" s="900">
        <v>1200</v>
      </c>
    </row>
    <row r="2236" spans="1:16" ht="36" x14ac:dyDescent="0.2">
      <c r="A2236" s="916" t="s">
        <v>7399</v>
      </c>
      <c r="B2236" s="943" t="s">
        <v>4291</v>
      </c>
      <c r="C2236" s="916" t="s">
        <v>398</v>
      </c>
      <c r="D2236" s="1096" t="s">
        <v>7485</v>
      </c>
      <c r="E2236" s="1144"/>
      <c r="F2236" s="1145" t="s">
        <v>7486</v>
      </c>
      <c r="G2236" s="1095" t="s">
        <v>7487</v>
      </c>
      <c r="H2236" s="898"/>
      <c r="I2236" s="943"/>
      <c r="J2236" s="943"/>
      <c r="K2236" s="1381">
        <v>40</v>
      </c>
      <c r="L2236" s="1090" t="s">
        <v>7444</v>
      </c>
      <c r="M2236" s="900">
        <v>2000</v>
      </c>
      <c r="N2236" s="1096">
        <v>40</v>
      </c>
      <c r="O2236" s="1090" t="s">
        <v>7444</v>
      </c>
      <c r="P2236" s="900">
        <v>2000</v>
      </c>
    </row>
    <row r="2237" spans="1:16" ht="36" x14ac:dyDescent="0.2">
      <c r="A2237" s="916" t="s">
        <v>7399</v>
      </c>
      <c r="B2237" s="943" t="s">
        <v>4291</v>
      </c>
      <c r="C2237" s="916" t="s">
        <v>398</v>
      </c>
      <c r="D2237" s="1096" t="s">
        <v>7488</v>
      </c>
      <c r="E2237" s="1144"/>
      <c r="F2237" s="1145" t="s">
        <v>7489</v>
      </c>
      <c r="G2237" s="1095" t="s">
        <v>7490</v>
      </c>
      <c r="H2237" s="898"/>
      <c r="I2237" s="943"/>
      <c r="J2237" s="943"/>
      <c r="K2237" s="1381">
        <v>65</v>
      </c>
      <c r="L2237" s="1090" t="s">
        <v>7444</v>
      </c>
      <c r="M2237" s="900">
        <v>1200</v>
      </c>
      <c r="N2237" s="1096">
        <v>65</v>
      </c>
      <c r="O2237" s="1090" t="s">
        <v>7444</v>
      </c>
      <c r="P2237" s="900">
        <v>1200</v>
      </c>
    </row>
    <row r="2238" spans="1:16" ht="36" x14ac:dyDescent="0.2">
      <c r="A2238" s="916" t="s">
        <v>7399</v>
      </c>
      <c r="B2238" s="943" t="s">
        <v>4291</v>
      </c>
      <c r="C2238" s="916" t="s">
        <v>398</v>
      </c>
      <c r="D2238" s="1096" t="s">
        <v>7491</v>
      </c>
      <c r="E2238" s="1144"/>
      <c r="F2238" s="1145" t="s">
        <v>7492</v>
      </c>
      <c r="G2238" s="1095" t="s">
        <v>7493</v>
      </c>
      <c r="H2238" s="898"/>
      <c r="I2238" s="943"/>
      <c r="J2238" s="943"/>
      <c r="K2238" s="1381">
        <v>67</v>
      </c>
      <c r="L2238" s="1090" t="s">
        <v>7444</v>
      </c>
      <c r="M2238" s="900">
        <v>2400</v>
      </c>
      <c r="N2238" s="1096">
        <v>67</v>
      </c>
      <c r="O2238" s="1090" t="s">
        <v>7444</v>
      </c>
      <c r="P2238" s="900">
        <v>2400</v>
      </c>
    </row>
    <row r="2239" spans="1:16" ht="36" x14ac:dyDescent="0.2">
      <c r="A2239" s="916" t="s">
        <v>7399</v>
      </c>
      <c r="B2239" s="943" t="s">
        <v>4291</v>
      </c>
      <c r="C2239" s="916" t="s">
        <v>398</v>
      </c>
      <c r="D2239" s="1096" t="s">
        <v>7494</v>
      </c>
      <c r="E2239" s="1144"/>
      <c r="F2239" s="1145" t="s">
        <v>7495</v>
      </c>
      <c r="G2239" s="1095" t="s">
        <v>7496</v>
      </c>
      <c r="H2239" s="898"/>
      <c r="I2239" s="943"/>
      <c r="J2239" s="943"/>
      <c r="K2239" s="1381">
        <v>38</v>
      </c>
      <c r="L2239" s="1090" t="s">
        <v>7426</v>
      </c>
      <c r="M2239" s="900">
        <v>1500</v>
      </c>
      <c r="N2239" s="1096">
        <v>38</v>
      </c>
      <c r="O2239" s="1090" t="s">
        <v>7426</v>
      </c>
      <c r="P2239" s="900">
        <v>1500</v>
      </c>
    </row>
    <row r="2240" spans="1:16" ht="36" x14ac:dyDescent="0.2">
      <c r="A2240" s="916" t="s">
        <v>7399</v>
      </c>
      <c r="B2240" s="943" t="s">
        <v>4291</v>
      </c>
      <c r="C2240" s="916" t="s">
        <v>398</v>
      </c>
      <c r="D2240" s="1096" t="s">
        <v>7494</v>
      </c>
      <c r="E2240" s="1144"/>
      <c r="F2240" s="1145" t="s">
        <v>7497</v>
      </c>
      <c r="G2240" s="1095" t="s">
        <v>7498</v>
      </c>
      <c r="H2240" s="898"/>
      <c r="I2240" s="943"/>
      <c r="J2240" s="943"/>
      <c r="K2240" s="1381">
        <v>44</v>
      </c>
      <c r="L2240" s="1090" t="s">
        <v>7435</v>
      </c>
      <c r="M2240" s="900">
        <v>1300</v>
      </c>
      <c r="N2240" s="1096">
        <v>44</v>
      </c>
      <c r="O2240" s="1090" t="s">
        <v>7435</v>
      </c>
      <c r="P2240" s="900">
        <v>1300</v>
      </c>
    </row>
    <row r="2241" spans="1:16" ht="36" x14ac:dyDescent="0.2">
      <c r="A2241" s="916" t="s">
        <v>7399</v>
      </c>
      <c r="B2241" s="943" t="s">
        <v>4291</v>
      </c>
      <c r="C2241" s="916" t="s">
        <v>398</v>
      </c>
      <c r="D2241" s="1096" t="s">
        <v>7423</v>
      </c>
      <c r="E2241" s="1144"/>
      <c r="F2241" s="1145" t="s">
        <v>7499</v>
      </c>
      <c r="G2241" s="1095" t="s">
        <v>7500</v>
      </c>
      <c r="H2241" s="898"/>
      <c r="I2241" s="943"/>
      <c r="J2241" s="943"/>
      <c r="K2241" s="1381">
        <v>45</v>
      </c>
      <c r="L2241" s="1090" t="s">
        <v>7438</v>
      </c>
      <c r="M2241" s="900">
        <v>1300</v>
      </c>
      <c r="N2241" s="1096">
        <v>45</v>
      </c>
      <c r="O2241" s="1090" t="s">
        <v>7438</v>
      </c>
      <c r="P2241" s="900">
        <v>1300</v>
      </c>
    </row>
    <row r="2242" spans="1:16" ht="36" x14ac:dyDescent="0.2">
      <c r="A2242" s="916" t="s">
        <v>7399</v>
      </c>
      <c r="B2242" s="943" t="s">
        <v>4291</v>
      </c>
      <c r="C2242" s="916" t="s">
        <v>398</v>
      </c>
      <c r="D2242" s="1096" t="s">
        <v>7501</v>
      </c>
      <c r="E2242" s="1144"/>
      <c r="F2242" s="1145" t="s">
        <v>7502</v>
      </c>
      <c r="G2242" s="1095" t="s">
        <v>7503</v>
      </c>
      <c r="H2242" s="898"/>
      <c r="I2242" s="943"/>
      <c r="J2242" s="943"/>
      <c r="K2242" s="1381">
        <v>46</v>
      </c>
      <c r="L2242" s="1090" t="s">
        <v>7438</v>
      </c>
      <c r="M2242" s="900">
        <v>2400</v>
      </c>
      <c r="N2242" s="1096">
        <v>46</v>
      </c>
      <c r="O2242" s="1090" t="s">
        <v>7438</v>
      </c>
      <c r="P2242" s="900">
        <v>2400</v>
      </c>
    </row>
    <row r="2243" spans="1:16" ht="36" x14ac:dyDescent="0.2">
      <c r="A2243" s="916" t="s">
        <v>7399</v>
      </c>
      <c r="B2243" s="943" t="s">
        <v>4291</v>
      </c>
      <c r="C2243" s="916" t="s">
        <v>398</v>
      </c>
      <c r="D2243" s="1096" t="s">
        <v>7504</v>
      </c>
      <c r="E2243" s="1144"/>
      <c r="F2243" s="1145" t="s">
        <v>7505</v>
      </c>
      <c r="G2243" s="1095" t="s">
        <v>7506</v>
      </c>
      <c r="H2243" s="898"/>
      <c r="I2243" s="943"/>
      <c r="J2243" s="943"/>
      <c r="K2243" s="1381">
        <v>47</v>
      </c>
      <c r="L2243" s="1090" t="s">
        <v>7435</v>
      </c>
      <c r="M2243" s="900">
        <v>2000</v>
      </c>
      <c r="N2243" s="1096">
        <v>47</v>
      </c>
      <c r="O2243" s="1090" t="s">
        <v>7435</v>
      </c>
      <c r="P2243" s="900">
        <v>2000</v>
      </c>
    </row>
    <row r="2244" spans="1:16" ht="36" x14ac:dyDescent="0.2">
      <c r="A2244" s="916" t="s">
        <v>7399</v>
      </c>
      <c r="B2244" s="943" t="s">
        <v>4291</v>
      </c>
      <c r="C2244" s="916" t="s">
        <v>398</v>
      </c>
      <c r="D2244" s="1096" t="s">
        <v>7507</v>
      </c>
      <c r="E2244" s="1144"/>
      <c r="F2244" s="1145" t="s">
        <v>7508</v>
      </c>
      <c r="G2244" s="1095" t="s">
        <v>7509</v>
      </c>
      <c r="H2244" s="898"/>
      <c r="I2244" s="943"/>
      <c r="J2244" s="943"/>
      <c r="K2244" s="1381">
        <v>48</v>
      </c>
      <c r="L2244" s="1090" t="s">
        <v>7444</v>
      </c>
      <c r="M2244" s="900">
        <v>1200</v>
      </c>
      <c r="N2244" s="1096">
        <v>48</v>
      </c>
      <c r="O2244" s="1090" t="s">
        <v>7444</v>
      </c>
      <c r="P2244" s="900">
        <v>1200</v>
      </c>
    </row>
    <row r="2245" spans="1:16" ht="36" x14ac:dyDescent="0.2">
      <c r="A2245" s="916" t="s">
        <v>7399</v>
      </c>
      <c r="B2245" s="943" t="s">
        <v>4291</v>
      </c>
      <c r="C2245" s="916" t="s">
        <v>398</v>
      </c>
      <c r="D2245" s="1096" t="s">
        <v>4744</v>
      </c>
      <c r="E2245" s="1144"/>
      <c r="F2245" s="1145" t="s">
        <v>7510</v>
      </c>
      <c r="G2245" s="1095" t="s">
        <v>7511</v>
      </c>
      <c r="H2245" s="898"/>
      <c r="I2245" s="943"/>
      <c r="J2245" s="943"/>
      <c r="K2245" s="1381">
        <v>49</v>
      </c>
      <c r="L2245" s="1090" t="s">
        <v>7426</v>
      </c>
      <c r="M2245" s="900">
        <v>1800</v>
      </c>
      <c r="N2245" s="1096">
        <v>49</v>
      </c>
      <c r="O2245" s="1090" t="s">
        <v>7426</v>
      </c>
      <c r="P2245" s="900">
        <v>1800</v>
      </c>
    </row>
    <row r="2246" spans="1:16" ht="36" x14ac:dyDescent="0.2">
      <c r="A2246" s="916" t="s">
        <v>7399</v>
      </c>
      <c r="B2246" s="943" t="s">
        <v>4291</v>
      </c>
      <c r="C2246" s="916" t="s">
        <v>398</v>
      </c>
      <c r="D2246" s="1096" t="s">
        <v>7477</v>
      </c>
      <c r="E2246" s="1144"/>
      <c r="F2246" s="1145" t="s">
        <v>7512</v>
      </c>
      <c r="G2246" s="1095" t="s">
        <v>7513</v>
      </c>
      <c r="H2246" s="898"/>
      <c r="I2246" s="943"/>
      <c r="J2246" s="943"/>
      <c r="K2246" s="1381">
        <v>50</v>
      </c>
      <c r="L2246" s="1090" t="s">
        <v>7444</v>
      </c>
      <c r="M2246" s="900">
        <v>1500</v>
      </c>
      <c r="N2246" s="1096">
        <v>50</v>
      </c>
      <c r="O2246" s="1090" t="s">
        <v>7444</v>
      </c>
      <c r="P2246" s="900">
        <v>1500</v>
      </c>
    </row>
    <row r="2247" spans="1:16" ht="36" x14ac:dyDescent="0.2">
      <c r="A2247" s="916" t="s">
        <v>7399</v>
      </c>
      <c r="B2247" s="943" t="s">
        <v>4291</v>
      </c>
      <c r="C2247" s="916" t="s">
        <v>398</v>
      </c>
      <c r="D2247" s="1096" t="s">
        <v>3100</v>
      </c>
      <c r="E2247" s="1144"/>
      <c r="F2247" s="1145" t="s">
        <v>7514</v>
      </c>
      <c r="G2247" s="1095" t="s">
        <v>7515</v>
      </c>
      <c r="H2247" s="898"/>
      <c r="I2247" s="943"/>
      <c r="J2247" s="943"/>
      <c r="K2247" s="1381">
        <v>52</v>
      </c>
      <c r="L2247" s="1090" t="s">
        <v>7426</v>
      </c>
      <c r="M2247" s="900">
        <v>1500</v>
      </c>
      <c r="N2247" s="1096">
        <v>52</v>
      </c>
      <c r="O2247" s="1090" t="s">
        <v>7426</v>
      </c>
      <c r="P2247" s="900">
        <v>1500</v>
      </c>
    </row>
    <row r="2248" spans="1:16" ht="36" x14ac:dyDescent="0.2">
      <c r="A2248" s="916" t="s">
        <v>7399</v>
      </c>
      <c r="B2248" s="943" t="s">
        <v>4291</v>
      </c>
      <c r="C2248" s="916" t="s">
        <v>398</v>
      </c>
      <c r="D2248" s="1096" t="s">
        <v>7504</v>
      </c>
      <c r="E2248" s="1144"/>
      <c r="F2248" s="1145" t="s">
        <v>7516</v>
      </c>
      <c r="G2248" s="1095" t="s">
        <v>7517</v>
      </c>
      <c r="H2248" s="898"/>
      <c r="I2248" s="943"/>
      <c r="J2248" s="943"/>
      <c r="K2248" s="1381">
        <v>51</v>
      </c>
      <c r="L2248" s="1090" t="s">
        <v>7426</v>
      </c>
      <c r="M2248" s="900">
        <v>2400</v>
      </c>
      <c r="N2248" s="1096">
        <v>51</v>
      </c>
      <c r="O2248" s="1090" t="s">
        <v>7426</v>
      </c>
      <c r="P2248" s="900">
        <v>2400</v>
      </c>
    </row>
    <row r="2249" spans="1:16" ht="36" x14ac:dyDescent="0.2">
      <c r="A2249" s="916" t="s">
        <v>7399</v>
      </c>
      <c r="B2249" s="943" t="s">
        <v>4291</v>
      </c>
      <c r="C2249" s="916" t="s">
        <v>398</v>
      </c>
      <c r="D2249" s="1096" t="s">
        <v>7474</v>
      </c>
      <c r="E2249" s="1144"/>
      <c r="F2249" s="1145" t="s">
        <v>7518</v>
      </c>
      <c r="G2249" s="1095" t="s">
        <v>7519</v>
      </c>
      <c r="H2249" s="898"/>
      <c r="I2249" s="943"/>
      <c r="J2249" s="943"/>
      <c r="K2249" s="1381">
        <v>53</v>
      </c>
      <c r="L2249" s="1090" t="s">
        <v>7438</v>
      </c>
      <c r="M2249" s="900">
        <v>1500</v>
      </c>
      <c r="N2249" s="1096">
        <v>53</v>
      </c>
      <c r="O2249" s="1090" t="s">
        <v>7438</v>
      </c>
      <c r="P2249" s="900">
        <v>1500</v>
      </c>
    </row>
    <row r="2250" spans="1:16" ht="36" x14ac:dyDescent="0.2">
      <c r="A2250" s="916" t="s">
        <v>7399</v>
      </c>
      <c r="B2250" s="943" t="s">
        <v>4291</v>
      </c>
      <c r="C2250" s="916" t="s">
        <v>398</v>
      </c>
      <c r="D2250" s="1096" t="s">
        <v>4073</v>
      </c>
      <c r="E2250" s="1144"/>
      <c r="F2250" s="1145" t="s">
        <v>7520</v>
      </c>
      <c r="G2250" s="1095" t="s">
        <v>7521</v>
      </c>
      <c r="H2250" s="898"/>
      <c r="I2250" s="943"/>
      <c r="J2250" s="943"/>
      <c r="K2250" s="1381">
        <v>54</v>
      </c>
      <c r="L2250" s="1090" t="s">
        <v>7444</v>
      </c>
      <c r="M2250" s="900">
        <v>1200</v>
      </c>
      <c r="N2250" s="1096">
        <v>54</v>
      </c>
      <c r="O2250" s="1090" t="s">
        <v>7444</v>
      </c>
      <c r="P2250" s="900">
        <v>1200</v>
      </c>
    </row>
    <row r="2251" spans="1:16" ht="48" x14ac:dyDescent="0.2">
      <c r="A2251" s="916" t="s">
        <v>7399</v>
      </c>
      <c r="B2251" s="943" t="s">
        <v>4291</v>
      </c>
      <c r="C2251" s="916" t="s">
        <v>398</v>
      </c>
      <c r="D2251" s="1096" t="s">
        <v>3099</v>
      </c>
      <c r="E2251" s="1144"/>
      <c r="F2251" s="1145" t="s">
        <v>7522</v>
      </c>
      <c r="G2251" s="1095" t="s">
        <v>7523</v>
      </c>
      <c r="H2251" s="898"/>
      <c r="I2251" s="943"/>
      <c r="J2251" s="943"/>
      <c r="K2251" s="1381">
        <v>5</v>
      </c>
      <c r="L2251" s="1090" t="s">
        <v>7524</v>
      </c>
      <c r="M2251" s="900">
        <v>1800</v>
      </c>
      <c r="N2251" s="1096">
        <v>5</v>
      </c>
      <c r="O2251" s="1090" t="s">
        <v>7524</v>
      </c>
      <c r="P2251" s="900">
        <v>1800</v>
      </c>
    </row>
    <row r="2252" spans="1:16" ht="48" x14ac:dyDescent="0.2">
      <c r="A2252" s="916" t="s">
        <v>7399</v>
      </c>
      <c r="B2252" s="943" t="s">
        <v>4291</v>
      </c>
      <c r="C2252" s="916" t="s">
        <v>398</v>
      </c>
      <c r="D2252" s="1096" t="s">
        <v>7423</v>
      </c>
      <c r="E2252" s="1144"/>
      <c r="F2252" s="1145" t="s">
        <v>7525</v>
      </c>
      <c r="G2252" s="1095" t="s">
        <v>7526</v>
      </c>
      <c r="H2252" s="898"/>
      <c r="I2252" s="943"/>
      <c r="J2252" s="943"/>
      <c r="K2252" s="1381">
        <v>9</v>
      </c>
      <c r="L2252" s="1090" t="s">
        <v>7524</v>
      </c>
      <c r="M2252" s="900">
        <v>1100</v>
      </c>
      <c r="N2252" s="1096">
        <v>9</v>
      </c>
      <c r="O2252" s="1090" t="s">
        <v>7524</v>
      </c>
      <c r="P2252" s="900">
        <v>1100</v>
      </c>
    </row>
    <row r="2253" spans="1:16" ht="48" x14ac:dyDescent="0.2">
      <c r="A2253" s="916" t="s">
        <v>7399</v>
      </c>
      <c r="B2253" s="943" t="s">
        <v>4291</v>
      </c>
      <c r="C2253" s="916" t="s">
        <v>398</v>
      </c>
      <c r="D2253" s="1096" t="s">
        <v>7527</v>
      </c>
      <c r="E2253" s="1144"/>
      <c r="F2253" s="1145" t="s">
        <v>7528</v>
      </c>
      <c r="G2253" s="1095" t="s">
        <v>7529</v>
      </c>
      <c r="H2253" s="898"/>
      <c r="I2253" s="943"/>
      <c r="J2253" s="943"/>
      <c r="K2253" s="1381">
        <v>1</v>
      </c>
      <c r="L2253" s="1090" t="s">
        <v>7524</v>
      </c>
      <c r="M2253" s="900">
        <v>1800</v>
      </c>
      <c r="N2253" s="1096">
        <v>1</v>
      </c>
      <c r="O2253" s="1090" t="s">
        <v>7524</v>
      </c>
      <c r="P2253" s="900">
        <v>1800</v>
      </c>
    </row>
    <row r="2254" spans="1:16" ht="48" x14ac:dyDescent="0.2">
      <c r="A2254" s="916" t="s">
        <v>7399</v>
      </c>
      <c r="B2254" s="943" t="s">
        <v>4291</v>
      </c>
      <c r="C2254" s="916" t="s">
        <v>398</v>
      </c>
      <c r="D2254" s="1096" t="s">
        <v>7530</v>
      </c>
      <c r="E2254" s="1144"/>
      <c r="F2254" s="1145" t="s">
        <v>7531</v>
      </c>
      <c r="G2254" s="1095" t="s">
        <v>7532</v>
      </c>
      <c r="H2254" s="898"/>
      <c r="I2254" s="943"/>
      <c r="J2254" s="943"/>
      <c r="K2254" s="1381">
        <v>10</v>
      </c>
      <c r="L2254" s="1090" t="s">
        <v>7533</v>
      </c>
      <c r="M2254" s="900">
        <v>1300</v>
      </c>
      <c r="N2254" s="1096">
        <v>10</v>
      </c>
      <c r="O2254" s="1090" t="s">
        <v>7533</v>
      </c>
      <c r="P2254" s="900">
        <v>1300</v>
      </c>
    </row>
    <row r="2255" spans="1:16" ht="48" x14ac:dyDescent="0.2">
      <c r="A2255" s="916" t="s">
        <v>7399</v>
      </c>
      <c r="B2255" s="943" t="s">
        <v>4291</v>
      </c>
      <c r="C2255" s="916" t="s">
        <v>398</v>
      </c>
      <c r="D2255" s="1096" t="s">
        <v>7534</v>
      </c>
      <c r="E2255" s="1144"/>
      <c r="F2255" s="1145" t="s">
        <v>7535</v>
      </c>
      <c r="G2255" s="1095" t="s">
        <v>7536</v>
      </c>
      <c r="H2255" s="898"/>
      <c r="I2255" s="943"/>
      <c r="J2255" s="943"/>
      <c r="K2255" s="1381">
        <v>3</v>
      </c>
      <c r="L2255" s="1090" t="s">
        <v>7524</v>
      </c>
      <c r="M2255" s="900">
        <v>1300</v>
      </c>
      <c r="N2255" s="1096">
        <v>3</v>
      </c>
      <c r="O2255" s="1090" t="s">
        <v>7524</v>
      </c>
      <c r="P2255" s="900">
        <v>1300</v>
      </c>
    </row>
    <row r="2256" spans="1:16" ht="48" x14ac:dyDescent="0.2">
      <c r="A2256" s="916" t="s">
        <v>7399</v>
      </c>
      <c r="B2256" s="943" t="s">
        <v>4291</v>
      </c>
      <c r="C2256" s="916" t="s">
        <v>398</v>
      </c>
      <c r="D2256" s="1096" t="s">
        <v>7537</v>
      </c>
      <c r="E2256" s="1144"/>
      <c r="F2256" s="1145" t="s">
        <v>7538</v>
      </c>
      <c r="G2256" s="1090" t="s">
        <v>7539</v>
      </c>
      <c r="H2256" s="898"/>
      <c r="I2256" s="943"/>
      <c r="J2256" s="943"/>
      <c r="K2256" s="1381">
        <v>8</v>
      </c>
      <c r="L2256" s="1090" t="s">
        <v>7524</v>
      </c>
      <c r="M2256" s="900">
        <v>1300</v>
      </c>
      <c r="N2256" s="1096">
        <v>8</v>
      </c>
      <c r="O2256" s="1090" t="s">
        <v>7524</v>
      </c>
      <c r="P2256" s="900">
        <v>1300</v>
      </c>
    </row>
    <row r="2257" spans="1:16" ht="48" x14ac:dyDescent="0.2">
      <c r="A2257" s="916" t="s">
        <v>7399</v>
      </c>
      <c r="B2257" s="943" t="s">
        <v>4291</v>
      </c>
      <c r="C2257" s="916" t="s">
        <v>398</v>
      </c>
      <c r="D2257" s="1096" t="s">
        <v>7540</v>
      </c>
      <c r="E2257" s="1144"/>
      <c r="F2257" s="1145" t="s">
        <v>7541</v>
      </c>
      <c r="G2257" s="1090" t="s">
        <v>7542</v>
      </c>
      <c r="H2257" s="898"/>
      <c r="I2257" s="943"/>
      <c r="J2257" s="943"/>
      <c r="K2257" s="1381">
        <v>6</v>
      </c>
      <c r="L2257" s="1090" t="s">
        <v>7524</v>
      </c>
      <c r="M2257" s="900">
        <v>1300</v>
      </c>
      <c r="N2257" s="1096">
        <v>6</v>
      </c>
      <c r="O2257" s="1090" t="s">
        <v>7524</v>
      </c>
      <c r="P2257" s="900">
        <v>1300</v>
      </c>
    </row>
    <row r="2258" spans="1:16" ht="48" x14ac:dyDescent="0.2">
      <c r="A2258" s="916" t="s">
        <v>7399</v>
      </c>
      <c r="B2258" s="943" t="s">
        <v>4291</v>
      </c>
      <c r="C2258" s="916" t="s">
        <v>398</v>
      </c>
      <c r="D2258" s="1096" t="s">
        <v>7543</v>
      </c>
      <c r="E2258" s="1144"/>
      <c r="F2258" s="1145" t="s">
        <v>7544</v>
      </c>
      <c r="G2258" s="1090" t="s">
        <v>7545</v>
      </c>
      <c r="H2258" s="898"/>
      <c r="I2258" s="943"/>
      <c r="J2258" s="943"/>
      <c r="K2258" s="1381">
        <v>2</v>
      </c>
      <c r="L2258" s="1090" t="s">
        <v>7524</v>
      </c>
      <c r="M2258" s="900">
        <v>1600</v>
      </c>
      <c r="N2258" s="1096">
        <v>2</v>
      </c>
      <c r="O2258" s="1090" t="s">
        <v>7524</v>
      </c>
      <c r="P2258" s="900">
        <v>1600</v>
      </c>
    </row>
    <row r="2259" spans="1:16" ht="48" x14ac:dyDescent="0.2">
      <c r="A2259" s="916" t="s">
        <v>7399</v>
      </c>
      <c r="B2259" s="943" t="s">
        <v>4291</v>
      </c>
      <c r="C2259" s="916" t="s">
        <v>398</v>
      </c>
      <c r="D2259" s="1096" t="s">
        <v>7546</v>
      </c>
      <c r="E2259" s="1144"/>
      <c r="F2259" s="1145" t="s">
        <v>7547</v>
      </c>
      <c r="G2259" s="1090" t="s">
        <v>7548</v>
      </c>
      <c r="H2259" s="898"/>
      <c r="I2259" s="943"/>
      <c r="J2259" s="943"/>
      <c r="K2259" s="1381">
        <v>16</v>
      </c>
      <c r="L2259" s="1090" t="s">
        <v>7401</v>
      </c>
      <c r="M2259" s="900">
        <v>1300</v>
      </c>
      <c r="N2259" s="1096">
        <v>16</v>
      </c>
      <c r="O2259" s="1090" t="s">
        <v>7401</v>
      </c>
      <c r="P2259" s="900">
        <v>1300</v>
      </c>
    </row>
    <row r="2260" spans="1:16" ht="48" x14ac:dyDescent="0.2">
      <c r="A2260" s="916" t="s">
        <v>7399</v>
      </c>
      <c r="B2260" s="943" t="s">
        <v>4291</v>
      </c>
      <c r="C2260" s="916" t="s">
        <v>398</v>
      </c>
      <c r="D2260" s="1096" t="s">
        <v>7549</v>
      </c>
      <c r="E2260" s="1144"/>
      <c r="F2260" s="1145" t="s">
        <v>7550</v>
      </c>
      <c r="G2260" s="1090" t="s">
        <v>7551</v>
      </c>
      <c r="H2260" s="898"/>
      <c r="I2260" s="943"/>
      <c r="J2260" s="943"/>
      <c r="K2260" s="1381">
        <v>7</v>
      </c>
      <c r="L2260" s="1090" t="s">
        <v>7524</v>
      </c>
      <c r="M2260" s="900">
        <v>1100</v>
      </c>
      <c r="N2260" s="1096">
        <v>7</v>
      </c>
      <c r="O2260" s="1090" t="s">
        <v>7524</v>
      </c>
      <c r="P2260" s="900">
        <v>1100</v>
      </c>
    </row>
    <row r="2261" spans="1:16" ht="48" x14ac:dyDescent="0.2">
      <c r="A2261" s="916" t="s">
        <v>7399</v>
      </c>
      <c r="B2261" s="943" t="s">
        <v>4291</v>
      </c>
      <c r="C2261" s="916" t="s">
        <v>398</v>
      </c>
      <c r="D2261" s="1096" t="s">
        <v>3115</v>
      </c>
      <c r="E2261" s="1144"/>
      <c r="F2261" s="1145" t="s">
        <v>7552</v>
      </c>
      <c r="G2261" s="1090" t="s">
        <v>7553</v>
      </c>
      <c r="H2261" s="898"/>
      <c r="I2261" s="943"/>
      <c r="J2261" s="943"/>
      <c r="K2261" s="1381">
        <v>4</v>
      </c>
      <c r="L2261" s="1090" t="s">
        <v>7524</v>
      </c>
      <c r="M2261" s="900">
        <v>1300</v>
      </c>
      <c r="N2261" s="1096">
        <v>4</v>
      </c>
      <c r="O2261" s="1090" t="s">
        <v>7524</v>
      </c>
      <c r="P2261" s="900">
        <v>1300</v>
      </c>
    </row>
    <row r="2262" spans="1:16" ht="48" x14ac:dyDescent="0.2">
      <c r="A2262" s="916" t="s">
        <v>7399</v>
      </c>
      <c r="B2262" s="943" t="s">
        <v>4291</v>
      </c>
      <c r="C2262" s="916" t="s">
        <v>398</v>
      </c>
      <c r="D2262" s="1098" t="s">
        <v>7554</v>
      </c>
      <c r="E2262" s="1144"/>
      <c r="F2262" s="1097">
        <v>40277481</v>
      </c>
      <c r="G2262" s="1095" t="s">
        <v>7555</v>
      </c>
      <c r="H2262" s="898"/>
      <c r="I2262" s="943"/>
      <c r="J2262" s="943"/>
      <c r="K2262" s="1382">
        <v>15</v>
      </c>
      <c r="L2262" s="1099" t="s">
        <v>7556</v>
      </c>
      <c r="M2262" s="1100" t="s">
        <v>7557</v>
      </c>
      <c r="N2262" s="1098">
        <v>15</v>
      </c>
      <c r="O2262" s="1099" t="s">
        <v>7556</v>
      </c>
      <c r="P2262" s="1100" t="s">
        <v>7557</v>
      </c>
    </row>
    <row r="2263" spans="1:16" ht="48" x14ac:dyDescent="0.2">
      <c r="A2263" s="916" t="s">
        <v>7399</v>
      </c>
      <c r="B2263" s="943" t="s">
        <v>4291</v>
      </c>
      <c r="C2263" s="916" t="s">
        <v>398</v>
      </c>
      <c r="D2263" s="1098" t="s">
        <v>7558</v>
      </c>
      <c r="E2263" s="1144"/>
      <c r="F2263" s="1097">
        <v>44445633</v>
      </c>
      <c r="G2263" s="1095" t="s">
        <v>7559</v>
      </c>
      <c r="H2263" s="898"/>
      <c r="I2263" s="943"/>
      <c r="J2263" s="943"/>
      <c r="K2263" s="1382">
        <v>16</v>
      </c>
      <c r="L2263" s="1099" t="s">
        <v>7556</v>
      </c>
      <c r="M2263" s="1101" t="s">
        <v>7560</v>
      </c>
      <c r="N2263" s="1098">
        <v>16</v>
      </c>
      <c r="O2263" s="1099" t="s">
        <v>7556</v>
      </c>
      <c r="P2263" s="1101" t="s">
        <v>7560</v>
      </c>
    </row>
    <row r="2264" spans="1:16" ht="48" x14ac:dyDescent="0.2">
      <c r="A2264" s="916" t="s">
        <v>7399</v>
      </c>
      <c r="B2264" s="943" t="s">
        <v>4291</v>
      </c>
      <c r="C2264" s="916" t="s">
        <v>398</v>
      </c>
      <c r="D2264" s="1098" t="s">
        <v>7561</v>
      </c>
      <c r="E2264" s="1144"/>
      <c r="F2264" s="1097">
        <v>22481244</v>
      </c>
      <c r="G2264" s="1095" t="s">
        <v>7562</v>
      </c>
      <c r="H2264" s="898"/>
      <c r="I2264" s="943"/>
      <c r="J2264" s="943"/>
      <c r="K2264" s="1382">
        <v>17</v>
      </c>
      <c r="L2264" s="1099" t="s">
        <v>7556</v>
      </c>
      <c r="M2264" s="1101" t="s">
        <v>7560</v>
      </c>
      <c r="N2264" s="1098">
        <v>17</v>
      </c>
      <c r="O2264" s="1099" t="s">
        <v>7556</v>
      </c>
      <c r="P2264" s="1101" t="s">
        <v>7560</v>
      </c>
    </row>
    <row r="2265" spans="1:16" x14ac:dyDescent="0.2">
      <c r="A2265" s="1547" t="s">
        <v>169</v>
      </c>
      <c r="B2265" s="1547"/>
      <c r="C2265" s="1547"/>
      <c r="D2265" s="1300"/>
      <c r="E2265" s="1294"/>
      <c r="F2265" s="1295"/>
      <c r="G2265" s="1295"/>
      <c r="H2265" s="1302"/>
      <c r="I2265" s="1303"/>
      <c r="J2265" s="1239"/>
      <c r="K2265" s="1383"/>
      <c r="L2265" s="1304"/>
      <c r="M2265" s="1305">
        <f>SUM(M2214:M2264)</f>
        <v>72700</v>
      </c>
      <c r="N2265" s="1236"/>
      <c r="O2265" s="1236"/>
      <c r="P2265" s="1305">
        <f>SUM(P2214:P2264)</f>
        <v>72700</v>
      </c>
    </row>
    <row r="2266" spans="1:16" x14ac:dyDescent="0.2">
      <c r="A2266" s="63"/>
      <c r="C2266" s="63"/>
      <c r="E2266" s="63"/>
      <c r="I2266" s="63"/>
      <c r="J2266" s="63"/>
      <c r="L2266" s="63"/>
      <c r="M2266" s="63"/>
      <c r="P2266" s="63"/>
    </row>
    <row r="2267" spans="1:16" x14ac:dyDescent="0.2">
      <c r="A2267" s="63"/>
      <c r="C2267" s="63"/>
      <c r="E2267" s="63"/>
      <c r="I2267" s="63"/>
      <c r="J2267" s="63"/>
      <c r="L2267" s="63"/>
      <c r="M2267" s="63"/>
      <c r="P2267" s="63"/>
    </row>
    <row r="2268" spans="1:16" x14ac:dyDescent="0.2">
      <c r="A2268" s="1237" t="s">
        <v>525</v>
      </c>
      <c r="B2268" s="1230"/>
      <c r="C2268" s="1231"/>
      <c r="D2268" s="1230"/>
      <c r="E2268" s="1232"/>
      <c r="F2268" s="1230"/>
      <c r="G2268" s="1230"/>
      <c r="H2268" s="1230"/>
      <c r="I2268" s="1233"/>
      <c r="J2268" s="1233"/>
      <c r="K2268" s="1368"/>
      <c r="L2268" s="1234"/>
      <c r="M2268" s="1235"/>
      <c r="N2268" s="1230"/>
      <c r="O2268" s="1230"/>
      <c r="P2268" s="1235"/>
    </row>
    <row r="2269" spans="1:16" x14ac:dyDescent="0.2">
      <c r="A2269" s="1549" t="s">
        <v>3075</v>
      </c>
      <c r="B2269" s="1549"/>
      <c r="C2269" s="1549"/>
      <c r="D2269" s="1549"/>
      <c r="E2269" s="1549"/>
      <c r="F2269" s="1549" t="s">
        <v>3076</v>
      </c>
      <c r="G2269" s="1549"/>
      <c r="H2269" s="1549"/>
      <c r="I2269" s="1549"/>
      <c r="J2269" s="1549"/>
      <c r="K2269" s="1550" t="s">
        <v>3077</v>
      </c>
      <c r="L2269" s="1550"/>
      <c r="M2269" s="1550"/>
      <c r="N2269" s="1550" t="s">
        <v>3078</v>
      </c>
      <c r="O2269" s="1550"/>
      <c r="P2269" s="1550"/>
    </row>
    <row r="2270" spans="1:16" ht="90" customHeight="1" x14ac:dyDescent="0.2">
      <c r="A2270" s="1259" t="s">
        <v>2829</v>
      </c>
      <c r="B2270" s="1306" t="s">
        <v>3079</v>
      </c>
      <c r="C2270" s="1259" t="s">
        <v>3080</v>
      </c>
      <c r="D2270" s="1306" t="s">
        <v>3081</v>
      </c>
      <c r="E2270" s="1307" t="s">
        <v>3082</v>
      </c>
      <c r="F2270" s="1306" t="s">
        <v>3083</v>
      </c>
      <c r="G2270" s="1306" t="s">
        <v>3084</v>
      </c>
      <c r="H2270" s="1306" t="s">
        <v>3085</v>
      </c>
      <c r="I2270" s="1306" t="s">
        <v>3086</v>
      </c>
      <c r="J2270" s="1306" t="s">
        <v>3087</v>
      </c>
      <c r="K2270" s="1384" t="s">
        <v>3088</v>
      </c>
      <c r="L2270" s="1308" t="s">
        <v>3089</v>
      </c>
      <c r="M2270" s="1309" t="s">
        <v>3090</v>
      </c>
      <c r="N2270" s="1308" t="s">
        <v>3088</v>
      </c>
      <c r="O2270" s="1308" t="s">
        <v>3089</v>
      </c>
      <c r="P2270" s="1309" t="s">
        <v>3090</v>
      </c>
    </row>
    <row r="2271" spans="1:16" ht="24" x14ac:dyDescent="0.2">
      <c r="A2271" s="1102">
        <v>302</v>
      </c>
      <c r="B2271" s="1111" t="s">
        <v>4291</v>
      </c>
      <c r="C2271" s="1102" t="s">
        <v>398</v>
      </c>
      <c r="D2271" s="1111" t="s">
        <v>7563</v>
      </c>
      <c r="E2271" s="1146">
        <v>2600</v>
      </c>
      <c r="F2271" s="1112" t="s">
        <v>7564</v>
      </c>
      <c r="G2271" s="1102" t="s">
        <v>7565</v>
      </c>
      <c r="H2271" s="1111" t="s">
        <v>2729</v>
      </c>
      <c r="I2271" s="1147" t="s">
        <v>3121</v>
      </c>
      <c r="J2271" s="1112" t="s">
        <v>7566</v>
      </c>
      <c r="K2271" s="1370">
        <v>1</v>
      </c>
      <c r="L2271" s="1148">
        <v>12</v>
      </c>
      <c r="M2271" s="1137">
        <v>31200</v>
      </c>
      <c r="N2271" s="1149">
        <v>1</v>
      </c>
      <c r="O2271" s="1150">
        <v>6</v>
      </c>
      <c r="P2271" s="1137">
        <v>15600</v>
      </c>
    </row>
    <row r="2272" spans="1:16" ht="24" x14ac:dyDescent="0.2">
      <c r="A2272" s="1102">
        <v>302</v>
      </c>
      <c r="B2272" s="1111" t="s">
        <v>4291</v>
      </c>
      <c r="C2272" s="1102" t="s">
        <v>398</v>
      </c>
      <c r="D2272" s="1111" t="s">
        <v>7567</v>
      </c>
      <c r="E2272" s="1146">
        <v>2600</v>
      </c>
      <c r="F2272" s="1151" t="s">
        <v>7568</v>
      </c>
      <c r="G2272" s="1102" t="s">
        <v>7569</v>
      </c>
      <c r="H2272" s="1111" t="s">
        <v>2729</v>
      </c>
      <c r="I2272" s="1147" t="s">
        <v>3121</v>
      </c>
      <c r="J2272" s="1112" t="s">
        <v>7566</v>
      </c>
      <c r="K2272" s="1370">
        <v>1</v>
      </c>
      <c r="L2272" s="1148">
        <v>12</v>
      </c>
      <c r="M2272" s="1137">
        <v>31200</v>
      </c>
      <c r="N2272" s="1149">
        <v>1</v>
      </c>
      <c r="O2272" s="1150">
        <v>6</v>
      </c>
      <c r="P2272" s="1137">
        <v>15600</v>
      </c>
    </row>
    <row r="2273" spans="1:16" ht="24" x14ac:dyDescent="0.2">
      <c r="A2273" s="1102">
        <v>302</v>
      </c>
      <c r="B2273" s="1111" t="s">
        <v>4291</v>
      </c>
      <c r="C2273" s="1102" t="s">
        <v>398</v>
      </c>
      <c r="D2273" s="1111" t="s">
        <v>3103</v>
      </c>
      <c r="E2273" s="1146">
        <v>2000</v>
      </c>
      <c r="F2273" s="1151" t="s">
        <v>7570</v>
      </c>
      <c r="G2273" s="1102" t="s">
        <v>7571</v>
      </c>
      <c r="H2273" s="1111" t="s">
        <v>4474</v>
      </c>
      <c r="I2273" s="1147" t="s">
        <v>3099</v>
      </c>
      <c r="J2273" s="1112" t="s">
        <v>7572</v>
      </c>
      <c r="K2273" s="1370">
        <v>1</v>
      </c>
      <c r="L2273" s="1148">
        <v>12</v>
      </c>
      <c r="M2273" s="1137">
        <v>24000</v>
      </c>
      <c r="N2273" s="1149">
        <v>1</v>
      </c>
      <c r="O2273" s="1150">
        <v>6</v>
      </c>
      <c r="P2273" s="1137">
        <v>12000</v>
      </c>
    </row>
    <row r="2274" spans="1:16" ht="24" x14ac:dyDescent="0.2">
      <c r="A2274" s="1102">
        <v>302</v>
      </c>
      <c r="B2274" s="1111" t="s">
        <v>4291</v>
      </c>
      <c r="C2274" s="1102" t="s">
        <v>398</v>
      </c>
      <c r="D2274" s="1111" t="s">
        <v>7573</v>
      </c>
      <c r="E2274" s="1146">
        <v>2200</v>
      </c>
      <c r="F2274" s="1151" t="s">
        <v>7574</v>
      </c>
      <c r="G2274" s="1102" t="s">
        <v>7575</v>
      </c>
      <c r="H2274" s="1111" t="s">
        <v>2729</v>
      </c>
      <c r="I2274" s="1147" t="s">
        <v>3121</v>
      </c>
      <c r="J2274" s="1112" t="s">
        <v>7566</v>
      </c>
      <c r="K2274" s="1370">
        <v>1</v>
      </c>
      <c r="L2274" s="1148">
        <v>3</v>
      </c>
      <c r="M2274" s="1137">
        <v>6600</v>
      </c>
      <c r="N2274" s="1149">
        <v>1</v>
      </c>
      <c r="O2274" s="1150">
        <v>6</v>
      </c>
      <c r="P2274" s="1137">
        <v>13200</v>
      </c>
    </row>
    <row r="2275" spans="1:16" ht="24" x14ac:dyDescent="0.2">
      <c r="A2275" s="1102">
        <v>302</v>
      </c>
      <c r="B2275" s="1111" t="s">
        <v>4291</v>
      </c>
      <c r="C2275" s="1102" t="s">
        <v>398</v>
      </c>
      <c r="D2275" s="1111" t="s">
        <v>7576</v>
      </c>
      <c r="E2275" s="1146">
        <v>2400</v>
      </c>
      <c r="F2275" s="1112" t="s">
        <v>7577</v>
      </c>
      <c r="G2275" s="1102" t="s">
        <v>7578</v>
      </c>
      <c r="H2275" s="1111" t="s">
        <v>7579</v>
      </c>
      <c r="I2275" s="1147" t="s">
        <v>7580</v>
      </c>
      <c r="J2275" s="1112" t="s">
        <v>7572</v>
      </c>
      <c r="K2275" s="1370">
        <v>1</v>
      </c>
      <c r="L2275" s="1148">
        <v>12</v>
      </c>
      <c r="M2275" s="1137">
        <v>28800</v>
      </c>
      <c r="N2275" s="1149">
        <v>1</v>
      </c>
      <c r="O2275" s="1150">
        <v>6</v>
      </c>
      <c r="P2275" s="1137">
        <v>14400</v>
      </c>
    </row>
    <row r="2276" spans="1:16" ht="24" x14ac:dyDescent="0.2">
      <c r="A2276" s="1102">
        <v>302</v>
      </c>
      <c r="B2276" s="1111" t="s">
        <v>4291</v>
      </c>
      <c r="C2276" s="1102" t="s">
        <v>398</v>
      </c>
      <c r="D2276" s="1111" t="s">
        <v>7581</v>
      </c>
      <c r="E2276" s="1146">
        <v>2400</v>
      </c>
      <c r="F2276" s="1112" t="s">
        <v>7582</v>
      </c>
      <c r="G2276" s="1102" t="s">
        <v>7583</v>
      </c>
      <c r="H2276" s="1111" t="s">
        <v>7579</v>
      </c>
      <c r="I2276" s="1147" t="s">
        <v>7580</v>
      </c>
      <c r="J2276" s="1112" t="s">
        <v>7572</v>
      </c>
      <c r="K2276" s="1370">
        <v>1</v>
      </c>
      <c r="L2276" s="1148">
        <v>12</v>
      </c>
      <c r="M2276" s="1137">
        <v>28800</v>
      </c>
      <c r="N2276" s="1149">
        <v>1</v>
      </c>
      <c r="O2276" s="1150">
        <v>6</v>
      </c>
      <c r="P2276" s="1137">
        <v>14400</v>
      </c>
    </row>
    <row r="2277" spans="1:16" ht="24" x14ac:dyDescent="0.2">
      <c r="A2277" s="1102">
        <v>302</v>
      </c>
      <c r="B2277" s="1111" t="s">
        <v>4291</v>
      </c>
      <c r="C2277" s="1102" t="s">
        <v>398</v>
      </c>
      <c r="D2277" s="1111" t="s">
        <v>3192</v>
      </c>
      <c r="E2277" s="1146">
        <v>2400</v>
      </c>
      <c r="F2277" s="1112" t="s">
        <v>7584</v>
      </c>
      <c r="G2277" s="1102" t="s">
        <v>7585</v>
      </c>
      <c r="H2277" s="1111" t="s">
        <v>7579</v>
      </c>
      <c r="I2277" s="1147" t="s">
        <v>7580</v>
      </c>
      <c r="J2277" s="1112" t="s">
        <v>7572</v>
      </c>
      <c r="K2277" s="1370">
        <v>1</v>
      </c>
      <c r="L2277" s="1148">
        <v>12</v>
      </c>
      <c r="M2277" s="1137">
        <v>28800</v>
      </c>
      <c r="N2277" s="1149">
        <v>1</v>
      </c>
      <c r="O2277" s="1150">
        <v>6</v>
      </c>
      <c r="P2277" s="1137">
        <v>14400</v>
      </c>
    </row>
    <row r="2278" spans="1:16" ht="24" x14ac:dyDescent="0.2">
      <c r="A2278" s="1102">
        <v>302</v>
      </c>
      <c r="B2278" s="1111" t="s">
        <v>4291</v>
      </c>
      <c r="C2278" s="1102" t="s">
        <v>398</v>
      </c>
      <c r="D2278" s="1111" t="s">
        <v>7586</v>
      </c>
      <c r="E2278" s="1146">
        <v>2600</v>
      </c>
      <c r="F2278" s="1112" t="s">
        <v>7587</v>
      </c>
      <c r="G2278" s="1102" t="s">
        <v>7588</v>
      </c>
      <c r="H2278" s="1111" t="s">
        <v>4002</v>
      </c>
      <c r="I2278" s="1112" t="s">
        <v>4002</v>
      </c>
      <c r="J2278" s="1112" t="s">
        <v>7566</v>
      </c>
      <c r="K2278" s="1370">
        <v>1</v>
      </c>
      <c r="L2278" s="1148">
        <v>1</v>
      </c>
      <c r="M2278" s="1137">
        <v>2600</v>
      </c>
      <c r="N2278" s="1149">
        <v>1</v>
      </c>
      <c r="O2278" s="1150">
        <v>6</v>
      </c>
      <c r="P2278" s="1137">
        <v>15600</v>
      </c>
    </row>
    <row r="2279" spans="1:16" ht="24" x14ac:dyDescent="0.2">
      <c r="A2279" s="1102">
        <v>302</v>
      </c>
      <c r="B2279" s="1111" t="s">
        <v>4291</v>
      </c>
      <c r="C2279" s="1102" t="s">
        <v>398</v>
      </c>
      <c r="D2279" s="1111" t="s">
        <v>7589</v>
      </c>
      <c r="E2279" s="1146">
        <v>2000</v>
      </c>
      <c r="F2279" s="1112">
        <v>42799018</v>
      </c>
      <c r="G2279" s="1102" t="s">
        <v>7590</v>
      </c>
      <c r="H2279" s="1111"/>
      <c r="I2279" s="1112"/>
      <c r="J2279" s="1112"/>
      <c r="K2279" s="1370">
        <v>1</v>
      </c>
      <c r="L2279" s="1148">
        <v>3</v>
      </c>
      <c r="M2279" s="1137">
        <v>6000</v>
      </c>
      <c r="N2279" s="1149">
        <v>1</v>
      </c>
      <c r="O2279" s="1150">
        <v>6</v>
      </c>
      <c r="P2279" s="1137">
        <v>12000</v>
      </c>
    </row>
    <row r="2280" spans="1:16" ht="24" x14ac:dyDescent="0.2">
      <c r="A2280" s="1102">
        <v>302</v>
      </c>
      <c r="B2280" s="1111" t="s">
        <v>4291</v>
      </c>
      <c r="C2280" s="1102" t="s">
        <v>398</v>
      </c>
      <c r="D2280" s="1111" t="s">
        <v>7591</v>
      </c>
      <c r="E2280" s="1146">
        <v>1500</v>
      </c>
      <c r="F2280" s="1112" t="s">
        <v>7592</v>
      </c>
      <c r="G2280" s="1102" t="s">
        <v>7593</v>
      </c>
      <c r="H2280" s="1111" t="s">
        <v>3134</v>
      </c>
      <c r="I2280" s="1112" t="s">
        <v>7594</v>
      </c>
      <c r="J2280" s="1112" t="s">
        <v>7572</v>
      </c>
      <c r="K2280" s="1370">
        <v>1</v>
      </c>
      <c r="L2280" s="1148">
        <v>12</v>
      </c>
      <c r="M2280" s="1137">
        <v>18000</v>
      </c>
      <c r="N2280" s="1149">
        <v>1</v>
      </c>
      <c r="O2280" s="1150">
        <v>6</v>
      </c>
      <c r="P2280" s="1137">
        <v>9000</v>
      </c>
    </row>
    <row r="2281" spans="1:16" ht="24" x14ac:dyDescent="0.2">
      <c r="A2281" s="1102">
        <v>302</v>
      </c>
      <c r="B2281" s="1111" t="s">
        <v>4291</v>
      </c>
      <c r="C2281" s="1102" t="s">
        <v>398</v>
      </c>
      <c r="D2281" s="1111" t="s">
        <v>7595</v>
      </c>
      <c r="E2281" s="1146">
        <v>1600</v>
      </c>
      <c r="F2281" s="1112" t="s">
        <v>7596</v>
      </c>
      <c r="G2281" s="1102" t="s">
        <v>7597</v>
      </c>
      <c r="H2281" s="1111" t="s">
        <v>3157</v>
      </c>
      <c r="I2281" s="1112" t="s">
        <v>3231</v>
      </c>
      <c r="J2281" s="1112" t="s">
        <v>7572</v>
      </c>
      <c r="K2281" s="1370">
        <v>1</v>
      </c>
      <c r="L2281" s="1148"/>
      <c r="M2281" s="1137">
        <v>0</v>
      </c>
      <c r="N2281" s="1149">
        <v>1</v>
      </c>
      <c r="O2281" s="1150">
        <v>6</v>
      </c>
      <c r="P2281" s="1137">
        <v>9600</v>
      </c>
    </row>
    <row r="2282" spans="1:16" ht="24" x14ac:dyDescent="0.2">
      <c r="A2282" s="1102">
        <v>302</v>
      </c>
      <c r="B2282" s="1111" t="s">
        <v>4291</v>
      </c>
      <c r="C2282" s="1102" t="s">
        <v>398</v>
      </c>
      <c r="D2282" s="1111" t="s">
        <v>4073</v>
      </c>
      <c r="E2282" s="1146">
        <v>1500</v>
      </c>
      <c r="F2282" s="1112" t="s">
        <v>7598</v>
      </c>
      <c r="G2282" s="1102" t="s">
        <v>7599</v>
      </c>
      <c r="H2282" s="1111"/>
      <c r="I2282" s="1147"/>
      <c r="J2282" s="1112"/>
      <c r="K2282" s="1370">
        <v>1</v>
      </c>
      <c r="L2282" s="1148">
        <v>3</v>
      </c>
      <c r="M2282" s="1137">
        <v>4500</v>
      </c>
      <c r="N2282" s="1149">
        <v>1</v>
      </c>
      <c r="O2282" s="1150">
        <v>6</v>
      </c>
      <c r="P2282" s="1137">
        <v>9000</v>
      </c>
    </row>
    <row r="2283" spans="1:16" ht="24" x14ac:dyDescent="0.2">
      <c r="A2283" s="1102">
        <v>302</v>
      </c>
      <c r="B2283" s="1111" t="s">
        <v>4291</v>
      </c>
      <c r="C2283" s="1102" t="s">
        <v>398</v>
      </c>
      <c r="D2283" s="1111" t="s">
        <v>7600</v>
      </c>
      <c r="E2283" s="1146">
        <v>1700</v>
      </c>
      <c r="F2283" s="1112" t="s">
        <v>7601</v>
      </c>
      <c r="G2283" s="1102" t="s">
        <v>7602</v>
      </c>
      <c r="H2283" s="1111" t="s">
        <v>5043</v>
      </c>
      <c r="I2283" s="1112" t="s">
        <v>5043</v>
      </c>
      <c r="J2283" s="1112" t="s">
        <v>7572</v>
      </c>
      <c r="K2283" s="1370">
        <v>1</v>
      </c>
      <c r="L2283" s="1148">
        <v>3</v>
      </c>
      <c r="M2283" s="1137">
        <v>5100</v>
      </c>
      <c r="N2283" s="1149">
        <v>1</v>
      </c>
      <c r="O2283" s="1150">
        <v>6</v>
      </c>
      <c r="P2283" s="1137">
        <v>10200</v>
      </c>
    </row>
    <row r="2284" spans="1:16" ht="36" x14ac:dyDescent="0.2">
      <c r="A2284" s="1102">
        <v>302</v>
      </c>
      <c r="B2284" s="1111" t="s">
        <v>4291</v>
      </c>
      <c r="C2284" s="1102" t="s">
        <v>398</v>
      </c>
      <c r="D2284" s="1111" t="s">
        <v>7603</v>
      </c>
      <c r="E2284" s="1146">
        <v>1800</v>
      </c>
      <c r="F2284" s="1112" t="s">
        <v>7604</v>
      </c>
      <c r="G2284" s="1102" t="s">
        <v>7605</v>
      </c>
      <c r="H2284" s="1111" t="s">
        <v>3591</v>
      </c>
      <c r="I2284" s="1112" t="s">
        <v>7606</v>
      </c>
      <c r="J2284" s="1112" t="s">
        <v>7566</v>
      </c>
      <c r="K2284" s="1370">
        <v>1</v>
      </c>
      <c r="L2284" s="1148">
        <v>3</v>
      </c>
      <c r="M2284" s="1137">
        <v>5400</v>
      </c>
      <c r="N2284" s="1149">
        <v>1</v>
      </c>
      <c r="O2284" s="1150">
        <v>6</v>
      </c>
      <c r="P2284" s="1137">
        <v>10800</v>
      </c>
    </row>
    <row r="2285" spans="1:16" ht="36" x14ac:dyDescent="0.2">
      <c r="A2285" s="1102">
        <v>302</v>
      </c>
      <c r="B2285" s="1111" t="s">
        <v>4291</v>
      </c>
      <c r="C2285" s="1102" t="s">
        <v>398</v>
      </c>
      <c r="D2285" s="1111" t="s">
        <v>583</v>
      </c>
      <c r="E2285" s="1146">
        <v>1400</v>
      </c>
      <c r="F2285" s="1112" t="s">
        <v>7607</v>
      </c>
      <c r="G2285" s="1102" t="s">
        <v>7608</v>
      </c>
      <c r="H2285" s="1111" t="s">
        <v>3591</v>
      </c>
      <c r="I2285" s="1112" t="s">
        <v>7606</v>
      </c>
      <c r="J2285" s="1112" t="s">
        <v>7566</v>
      </c>
      <c r="K2285" s="1370">
        <v>1</v>
      </c>
      <c r="L2285" s="1148">
        <v>12</v>
      </c>
      <c r="M2285" s="1137">
        <v>16800</v>
      </c>
      <c r="N2285" s="1149">
        <v>1</v>
      </c>
      <c r="O2285" s="1150">
        <v>6</v>
      </c>
      <c r="P2285" s="1137">
        <v>8400</v>
      </c>
    </row>
    <row r="2286" spans="1:16" ht="24" x14ac:dyDescent="0.2">
      <c r="A2286" s="1102">
        <v>302</v>
      </c>
      <c r="B2286" s="1111" t="s">
        <v>4291</v>
      </c>
      <c r="C2286" s="1102" t="s">
        <v>398</v>
      </c>
      <c r="D2286" s="1111" t="s">
        <v>3100</v>
      </c>
      <c r="E2286" s="1146">
        <v>1600</v>
      </c>
      <c r="F2286" s="1112" t="s">
        <v>7609</v>
      </c>
      <c r="G2286" s="1102" t="s">
        <v>7610</v>
      </c>
      <c r="H2286" s="1111"/>
      <c r="I2286" s="1147"/>
      <c r="J2286" s="1112"/>
      <c r="K2286" s="1370">
        <v>1</v>
      </c>
      <c r="L2286" s="1148">
        <v>3</v>
      </c>
      <c r="M2286" s="1137">
        <v>4800</v>
      </c>
      <c r="N2286" s="1149">
        <v>1</v>
      </c>
      <c r="O2286" s="1150">
        <v>6</v>
      </c>
      <c r="P2286" s="1137">
        <v>9600</v>
      </c>
    </row>
    <row r="2287" spans="1:16" ht="24" x14ac:dyDescent="0.2">
      <c r="A2287" s="1102">
        <v>302</v>
      </c>
      <c r="B2287" s="1111" t="s">
        <v>4291</v>
      </c>
      <c r="C2287" s="1102" t="s">
        <v>398</v>
      </c>
      <c r="D2287" s="1111" t="s">
        <v>3100</v>
      </c>
      <c r="E2287" s="1146">
        <v>1600</v>
      </c>
      <c r="F2287" s="1112" t="s">
        <v>7611</v>
      </c>
      <c r="G2287" s="1102" t="s">
        <v>7612</v>
      </c>
      <c r="H2287" s="1111" t="s">
        <v>3157</v>
      </c>
      <c r="I2287" s="1147" t="s">
        <v>3231</v>
      </c>
      <c r="J2287" s="1112" t="s">
        <v>7572</v>
      </c>
      <c r="K2287" s="1370">
        <v>1</v>
      </c>
      <c r="L2287" s="1148">
        <v>3</v>
      </c>
      <c r="M2287" s="1137">
        <v>4800</v>
      </c>
      <c r="N2287" s="1149">
        <v>1</v>
      </c>
      <c r="O2287" s="1150">
        <v>6</v>
      </c>
      <c r="P2287" s="1137">
        <v>9600</v>
      </c>
    </row>
    <row r="2288" spans="1:16" ht="36" x14ac:dyDescent="0.2">
      <c r="A2288" s="1102">
        <v>302</v>
      </c>
      <c r="B2288" s="1111" t="s">
        <v>4291</v>
      </c>
      <c r="C2288" s="1102" t="s">
        <v>398</v>
      </c>
      <c r="D2288" s="1111" t="s">
        <v>3100</v>
      </c>
      <c r="E2288" s="1146">
        <v>1600</v>
      </c>
      <c r="F2288" s="1112" t="s">
        <v>7613</v>
      </c>
      <c r="G2288" s="1102" t="s">
        <v>7614</v>
      </c>
      <c r="H2288" s="1111" t="s">
        <v>3157</v>
      </c>
      <c r="I2288" s="1147" t="s">
        <v>7615</v>
      </c>
      <c r="J2288" s="1112" t="s">
        <v>7566</v>
      </c>
      <c r="K2288" s="1370">
        <v>1</v>
      </c>
      <c r="L2288" s="1148">
        <v>3</v>
      </c>
      <c r="M2288" s="1137">
        <v>4800</v>
      </c>
      <c r="N2288" s="1149">
        <v>1</v>
      </c>
      <c r="O2288" s="1150">
        <v>6</v>
      </c>
      <c r="P2288" s="1137">
        <v>9600</v>
      </c>
    </row>
    <row r="2289" spans="1:16" ht="24" x14ac:dyDescent="0.2">
      <c r="A2289" s="1102">
        <v>302</v>
      </c>
      <c r="B2289" s="1111" t="s">
        <v>4291</v>
      </c>
      <c r="C2289" s="1102" t="s">
        <v>398</v>
      </c>
      <c r="D2289" s="1111" t="s">
        <v>3100</v>
      </c>
      <c r="E2289" s="1146">
        <v>1600</v>
      </c>
      <c r="F2289" s="1112" t="s">
        <v>7616</v>
      </c>
      <c r="G2289" s="1102" t="s">
        <v>7617</v>
      </c>
      <c r="H2289" s="1111" t="s">
        <v>3157</v>
      </c>
      <c r="I2289" s="1112" t="s">
        <v>3231</v>
      </c>
      <c r="J2289" s="1112" t="s">
        <v>7572</v>
      </c>
      <c r="K2289" s="1370">
        <v>1</v>
      </c>
      <c r="L2289" s="1148">
        <v>3</v>
      </c>
      <c r="M2289" s="1137">
        <v>4800</v>
      </c>
      <c r="N2289" s="1149">
        <v>1</v>
      </c>
      <c r="O2289" s="1150">
        <v>6</v>
      </c>
      <c r="P2289" s="1137">
        <v>9600</v>
      </c>
    </row>
    <row r="2290" spans="1:16" ht="36" x14ac:dyDescent="0.2">
      <c r="A2290" s="1102">
        <v>302</v>
      </c>
      <c r="B2290" s="1111" t="s">
        <v>4291</v>
      </c>
      <c r="C2290" s="1102" t="s">
        <v>398</v>
      </c>
      <c r="D2290" s="1111" t="s">
        <v>583</v>
      </c>
      <c r="E2290" s="1146">
        <v>1400</v>
      </c>
      <c r="F2290" s="1112" t="s">
        <v>7618</v>
      </c>
      <c r="G2290" s="1102" t="s">
        <v>7619</v>
      </c>
      <c r="H2290" s="1111" t="s">
        <v>3591</v>
      </c>
      <c r="I2290" s="1147" t="s">
        <v>7620</v>
      </c>
      <c r="J2290" s="1147" t="s">
        <v>7566</v>
      </c>
      <c r="K2290" s="1370">
        <v>1</v>
      </c>
      <c r="L2290" s="1148">
        <v>12</v>
      </c>
      <c r="M2290" s="1137">
        <v>16800</v>
      </c>
      <c r="N2290" s="1149">
        <v>1</v>
      </c>
      <c r="O2290" s="1150">
        <v>6</v>
      </c>
      <c r="P2290" s="1137">
        <v>8400</v>
      </c>
    </row>
    <row r="2291" spans="1:16" ht="24" x14ac:dyDescent="0.2">
      <c r="A2291" s="1102">
        <v>302</v>
      </c>
      <c r="B2291" s="1111" t="s">
        <v>4291</v>
      </c>
      <c r="C2291" s="1102" t="s">
        <v>398</v>
      </c>
      <c r="D2291" s="1111" t="s">
        <v>4092</v>
      </c>
      <c r="E2291" s="1146">
        <v>2600</v>
      </c>
      <c r="F2291" s="1112" t="s">
        <v>7621</v>
      </c>
      <c r="G2291" s="1102" t="s">
        <v>7622</v>
      </c>
      <c r="H2291" s="1111" t="s">
        <v>4474</v>
      </c>
      <c r="I2291" s="1112" t="s">
        <v>3099</v>
      </c>
      <c r="J2291" s="1112" t="s">
        <v>3099</v>
      </c>
      <c r="K2291" s="1370">
        <v>1</v>
      </c>
      <c r="L2291" s="1148">
        <v>12</v>
      </c>
      <c r="M2291" s="1137">
        <v>31200</v>
      </c>
      <c r="N2291" s="1149">
        <v>1</v>
      </c>
      <c r="O2291" s="1150">
        <v>6</v>
      </c>
      <c r="P2291" s="1137">
        <v>15600</v>
      </c>
    </row>
    <row r="2292" spans="1:16" ht="24" x14ac:dyDescent="0.2">
      <c r="A2292" s="1102">
        <v>302</v>
      </c>
      <c r="B2292" s="1111" t="s">
        <v>4291</v>
      </c>
      <c r="C2292" s="1102" t="s">
        <v>398</v>
      </c>
      <c r="D2292" s="1111" t="s">
        <v>7623</v>
      </c>
      <c r="E2292" s="1146">
        <v>2600</v>
      </c>
      <c r="F2292" s="1112" t="s">
        <v>7624</v>
      </c>
      <c r="G2292" s="1102" t="s">
        <v>7625</v>
      </c>
      <c r="H2292" s="1111" t="s">
        <v>4474</v>
      </c>
      <c r="I2292" s="1147" t="s">
        <v>3099</v>
      </c>
      <c r="J2292" s="1112" t="s">
        <v>3099</v>
      </c>
      <c r="K2292" s="1370">
        <v>1</v>
      </c>
      <c r="L2292" s="1148">
        <v>12</v>
      </c>
      <c r="M2292" s="1137">
        <v>31200</v>
      </c>
      <c r="N2292" s="1149">
        <v>1</v>
      </c>
      <c r="O2292" s="1150">
        <v>6</v>
      </c>
      <c r="P2292" s="1137">
        <v>15600</v>
      </c>
    </row>
    <row r="2293" spans="1:16" ht="24" x14ac:dyDescent="0.2">
      <c r="A2293" s="1102">
        <v>302</v>
      </c>
      <c r="B2293" s="1111" t="s">
        <v>4291</v>
      </c>
      <c r="C2293" s="1102" t="s">
        <v>398</v>
      </c>
      <c r="D2293" s="1111" t="s">
        <v>7626</v>
      </c>
      <c r="E2293" s="1146">
        <v>4100</v>
      </c>
      <c r="F2293" s="1112">
        <v>40899144</v>
      </c>
      <c r="G2293" s="1102" t="s">
        <v>7627</v>
      </c>
      <c r="H2293" s="1111" t="s">
        <v>2729</v>
      </c>
      <c r="I2293" s="1147" t="s">
        <v>7628</v>
      </c>
      <c r="J2293" s="1112" t="s">
        <v>3129</v>
      </c>
      <c r="K2293" s="1370">
        <v>1</v>
      </c>
      <c r="L2293" s="1148">
        <v>12</v>
      </c>
      <c r="M2293" s="1137">
        <v>49200</v>
      </c>
      <c r="N2293" s="1149">
        <v>1</v>
      </c>
      <c r="O2293" s="1150">
        <v>6</v>
      </c>
      <c r="P2293" s="1137">
        <v>24600</v>
      </c>
    </row>
    <row r="2294" spans="1:16" ht="24" x14ac:dyDescent="0.2">
      <c r="A2294" s="1102">
        <v>302</v>
      </c>
      <c r="B2294" s="1111" t="s">
        <v>4291</v>
      </c>
      <c r="C2294" s="1102" t="s">
        <v>398</v>
      </c>
      <c r="D2294" s="1111" t="s">
        <v>3277</v>
      </c>
      <c r="E2294" s="1146">
        <v>2600</v>
      </c>
      <c r="F2294" s="1112" t="s">
        <v>7629</v>
      </c>
      <c r="G2294" s="1102" t="s">
        <v>7630</v>
      </c>
      <c r="H2294" s="1111" t="s">
        <v>2729</v>
      </c>
      <c r="I2294" s="1147" t="s">
        <v>7628</v>
      </c>
      <c r="J2294" s="1112" t="s">
        <v>3129</v>
      </c>
      <c r="K2294" s="1370">
        <v>1</v>
      </c>
      <c r="L2294" s="1148">
        <v>12</v>
      </c>
      <c r="M2294" s="1137">
        <v>31200</v>
      </c>
      <c r="N2294" s="1149">
        <v>1</v>
      </c>
      <c r="O2294" s="1150">
        <v>6</v>
      </c>
      <c r="P2294" s="1137">
        <v>15600</v>
      </c>
    </row>
    <row r="2295" spans="1:16" x14ac:dyDescent="0.2">
      <c r="A2295" s="1231"/>
      <c r="B2295" s="1230"/>
      <c r="C2295" s="1231"/>
      <c r="D2295" s="1236" t="s">
        <v>169</v>
      </c>
      <c r="E2295" s="1232">
        <f>SUM(E2271:E2294)</f>
        <v>50400</v>
      </c>
      <c r="F2295" s="1230"/>
      <c r="G2295" s="1230"/>
      <c r="H2295" s="1230"/>
      <c r="I2295" s="1233"/>
      <c r="J2295" s="1233"/>
      <c r="K2295" s="1368"/>
      <c r="L2295" s="1234"/>
      <c r="M2295" s="1235">
        <f>SUM(M2271:M2294)</f>
        <v>416600</v>
      </c>
      <c r="N2295" s="1230"/>
      <c r="O2295" s="1230"/>
      <c r="P2295" s="1235">
        <f>SUM(P2271:P2294)</f>
        <v>302400</v>
      </c>
    </row>
    <row r="2296" spans="1:16" x14ac:dyDescent="0.2">
      <c r="A2296" s="63"/>
      <c r="C2296" s="63"/>
      <c r="E2296" s="63"/>
      <c r="I2296" s="63"/>
      <c r="J2296" s="63"/>
      <c r="L2296" s="63"/>
      <c r="M2296" s="63"/>
      <c r="P2296" s="63"/>
    </row>
    <row r="2297" spans="1:16" x14ac:dyDescent="0.2">
      <c r="A2297" s="63"/>
      <c r="C2297" s="63"/>
      <c r="E2297" s="63"/>
      <c r="I2297" s="63"/>
      <c r="J2297" s="63"/>
      <c r="L2297" s="63"/>
      <c r="M2297" s="63"/>
      <c r="P2297" s="63"/>
    </row>
    <row r="2298" spans="1:16" x14ac:dyDescent="0.2">
      <c r="A2298" s="1231" t="s">
        <v>530</v>
      </c>
      <c r="B2298" s="1230"/>
      <c r="C2298" s="1231"/>
      <c r="D2298" s="1230"/>
      <c r="E2298" s="1232"/>
      <c r="F2298" s="1230"/>
      <c r="G2298" s="1230"/>
      <c r="H2298" s="1230"/>
      <c r="I2298" s="1233"/>
      <c r="J2298" s="1233"/>
      <c r="K2298" s="1368"/>
      <c r="L2298" s="1234"/>
      <c r="M2298" s="1235"/>
      <c r="N2298" s="1230"/>
      <c r="O2298" s="1230"/>
      <c r="P2298" s="1235"/>
    </row>
    <row r="2299" spans="1:16" x14ac:dyDescent="0.2">
      <c r="A2299" s="1543" t="s">
        <v>3075</v>
      </c>
      <c r="B2299" s="1543"/>
      <c r="C2299" s="1543"/>
      <c r="D2299" s="1543"/>
      <c r="E2299" s="1543"/>
      <c r="F2299" s="1543" t="s">
        <v>3076</v>
      </c>
      <c r="G2299" s="1543"/>
      <c r="H2299" s="1543"/>
      <c r="I2299" s="1543"/>
      <c r="J2299" s="1543"/>
      <c r="K2299" s="1544" t="s">
        <v>3077</v>
      </c>
      <c r="L2299" s="1544"/>
      <c r="M2299" s="1544"/>
      <c r="N2299" s="1544" t="s">
        <v>3078</v>
      </c>
      <c r="O2299" s="1544"/>
      <c r="P2299" s="1544"/>
    </row>
    <row r="2300" spans="1:16" ht="90" customHeight="1" x14ac:dyDescent="0.2">
      <c r="A2300" s="1237" t="s">
        <v>2829</v>
      </c>
      <c r="B2300" s="1239" t="s">
        <v>3079</v>
      </c>
      <c r="C2300" s="1237" t="s">
        <v>3080</v>
      </c>
      <c r="D2300" s="1239" t="s">
        <v>3081</v>
      </c>
      <c r="E2300" s="1240" t="s">
        <v>3082</v>
      </c>
      <c r="F2300" s="1239" t="s">
        <v>3083</v>
      </c>
      <c r="G2300" s="1239" t="s">
        <v>3084</v>
      </c>
      <c r="H2300" s="1239" t="s">
        <v>3085</v>
      </c>
      <c r="I2300" s="1239" t="s">
        <v>3086</v>
      </c>
      <c r="J2300" s="1239" t="s">
        <v>3087</v>
      </c>
      <c r="K2300" s="1369" t="s">
        <v>3088</v>
      </c>
      <c r="L2300" s="1241" t="s">
        <v>3089</v>
      </c>
      <c r="M2300" s="1242" t="s">
        <v>3090</v>
      </c>
      <c r="N2300" s="1241" t="s">
        <v>3088</v>
      </c>
      <c r="O2300" s="1241" t="s">
        <v>3089</v>
      </c>
      <c r="P2300" s="1242" t="s">
        <v>3090</v>
      </c>
    </row>
    <row r="2301" spans="1:16" ht="24" x14ac:dyDescent="0.2">
      <c r="A2301" s="916" t="s">
        <v>7631</v>
      </c>
      <c r="B2301" s="898" t="s">
        <v>7632</v>
      </c>
      <c r="C2301" s="916" t="s">
        <v>7633</v>
      </c>
      <c r="D2301" s="898" t="s">
        <v>7563</v>
      </c>
      <c r="E2301" s="1144">
        <v>2000</v>
      </c>
      <c r="F2301" s="898">
        <v>71050043</v>
      </c>
      <c r="G2301" s="1245" t="s">
        <v>7634</v>
      </c>
      <c r="H2301" s="1245" t="s">
        <v>2729</v>
      </c>
      <c r="I2301" s="1147"/>
      <c r="J2301" s="943" t="s">
        <v>3575</v>
      </c>
      <c r="K2301" s="944"/>
      <c r="L2301" s="1249" t="s">
        <v>3863</v>
      </c>
      <c r="M2301" s="899">
        <v>24000</v>
      </c>
      <c r="N2301" s="1249" t="s">
        <v>7635</v>
      </c>
      <c r="O2301" s="1249" t="s">
        <v>3863</v>
      </c>
      <c r="P2301" s="899">
        <v>30000</v>
      </c>
    </row>
    <row r="2302" spans="1:16" ht="24" x14ac:dyDescent="0.2">
      <c r="A2302" s="916" t="s">
        <v>7631</v>
      </c>
      <c r="B2302" s="898" t="s">
        <v>7632</v>
      </c>
      <c r="C2302" s="916" t="s">
        <v>7633</v>
      </c>
      <c r="D2302" s="898" t="s">
        <v>3134</v>
      </c>
      <c r="E2302" s="1144">
        <v>1350</v>
      </c>
      <c r="F2302" s="898">
        <v>45610941</v>
      </c>
      <c r="G2302" s="898" t="s">
        <v>7636</v>
      </c>
      <c r="H2302" s="898" t="s">
        <v>3497</v>
      </c>
      <c r="I2302" s="943"/>
      <c r="J2302" s="943" t="s">
        <v>3575</v>
      </c>
      <c r="K2302" s="944"/>
      <c r="L2302" s="1249" t="s">
        <v>3863</v>
      </c>
      <c r="M2302" s="899">
        <v>16200</v>
      </c>
      <c r="N2302" s="1249" t="s">
        <v>7635</v>
      </c>
      <c r="O2302" s="1249" t="s">
        <v>3863</v>
      </c>
      <c r="P2302" s="899">
        <v>18000</v>
      </c>
    </row>
    <row r="2303" spans="1:16" ht="24" x14ac:dyDescent="0.2">
      <c r="A2303" s="916" t="s">
        <v>7631</v>
      </c>
      <c r="B2303" s="898" t="s">
        <v>7632</v>
      </c>
      <c r="C2303" s="916" t="s">
        <v>7633</v>
      </c>
      <c r="D2303" s="898" t="s">
        <v>7637</v>
      </c>
      <c r="E2303" s="1144">
        <v>1500</v>
      </c>
      <c r="F2303" s="898">
        <v>76413974</v>
      </c>
      <c r="G2303" s="898" t="s">
        <v>7638</v>
      </c>
      <c r="H2303" s="898"/>
      <c r="I2303" s="943" t="s">
        <v>7639</v>
      </c>
      <c r="J2303" s="943"/>
      <c r="K2303" s="944"/>
      <c r="L2303" s="1249" t="s">
        <v>3863</v>
      </c>
      <c r="M2303" s="899">
        <v>18000</v>
      </c>
      <c r="N2303" s="1249" t="s">
        <v>7640</v>
      </c>
      <c r="O2303" s="1249" t="s">
        <v>3863</v>
      </c>
      <c r="P2303" s="899">
        <v>19200</v>
      </c>
    </row>
    <row r="2304" spans="1:16" ht="24" x14ac:dyDescent="0.2">
      <c r="A2304" s="916" t="s">
        <v>7631</v>
      </c>
      <c r="B2304" s="898" t="s">
        <v>7632</v>
      </c>
      <c r="C2304" s="916" t="s">
        <v>7633</v>
      </c>
      <c r="D2304" s="898" t="s">
        <v>3134</v>
      </c>
      <c r="E2304" s="1144">
        <v>1350</v>
      </c>
      <c r="F2304" s="898">
        <v>46849472</v>
      </c>
      <c r="G2304" s="898" t="s">
        <v>7641</v>
      </c>
      <c r="H2304" s="898" t="s">
        <v>3497</v>
      </c>
      <c r="I2304" s="943"/>
      <c r="J2304" s="943" t="s">
        <v>3575</v>
      </c>
      <c r="K2304" s="944"/>
      <c r="L2304" s="1249" t="s">
        <v>3863</v>
      </c>
      <c r="M2304" s="899">
        <v>16200</v>
      </c>
      <c r="N2304" s="1249" t="s">
        <v>7642</v>
      </c>
      <c r="O2304" s="1249" t="s">
        <v>7643</v>
      </c>
      <c r="P2304" s="899">
        <v>18000</v>
      </c>
    </row>
    <row r="2305" spans="1:16" ht="24" x14ac:dyDescent="0.2">
      <c r="A2305" s="916" t="s">
        <v>7631</v>
      </c>
      <c r="B2305" s="898" t="s">
        <v>7632</v>
      </c>
      <c r="C2305" s="916" t="s">
        <v>7633</v>
      </c>
      <c r="D2305" s="898" t="s">
        <v>3134</v>
      </c>
      <c r="E2305" s="1144">
        <v>1350</v>
      </c>
      <c r="F2305" s="898">
        <v>42603077</v>
      </c>
      <c r="G2305" s="898" t="s">
        <v>7644</v>
      </c>
      <c r="H2305" s="898" t="s">
        <v>3497</v>
      </c>
      <c r="I2305" s="943"/>
      <c r="J2305" s="943"/>
      <c r="K2305" s="944"/>
      <c r="L2305" s="1249" t="s">
        <v>3863</v>
      </c>
      <c r="M2305" s="899">
        <v>16200</v>
      </c>
      <c r="N2305" s="1249"/>
      <c r="O2305" s="1249"/>
      <c r="P2305" s="899"/>
    </row>
    <row r="2306" spans="1:16" ht="24" x14ac:dyDescent="0.2">
      <c r="A2306" s="916" t="s">
        <v>7631</v>
      </c>
      <c r="B2306" s="898" t="s">
        <v>7632</v>
      </c>
      <c r="C2306" s="916" t="s">
        <v>7633</v>
      </c>
      <c r="D2306" s="898" t="s">
        <v>7645</v>
      </c>
      <c r="E2306" s="1144">
        <v>1500</v>
      </c>
      <c r="F2306" s="898">
        <v>47658887</v>
      </c>
      <c r="G2306" s="898" t="s">
        <v>7646</v>
      </c>
      <c r="H2306" s="898"/>
      <c r="I2306" s="943" t="s">
        <v>7647</v>
      </c>
      <c r="J2306" s="943"/>
      <c r="K2306" s="944"/>
      <c r="L2306" s="1249" t="s">
        <v>3863</v>
      </c>
      <c r="M2306" s="899">
        <v>18000</v>
      </c>
      <c r="N2306" s="1249"/>
      <c r="O2306" s="1249"/>
      <c r="P2306" s="899"/>
    </row>
    <row r="2307" spans="1:16" ht="24" x14ac:dyDescent="0.2">
      <c r="A2307" s="916" t="s">
        <v>7631</v>
      </c>
      <c r="B2307" s="898" t="s">
        <v>7632</v>
      </c>
      <c r="C2307" s="916" t="s">
        <v>7633</v>
      </c>
      <c r="D2307" s="898" t="s">
        <v>7648</v>
      </c>
      <c r="E2307" s="1144">
        <v>1500</v>
      </c>
      <c r="F2307" s="898">
        <v>23965702</v>
      </c>
      <c r="G2307" s="898" t="s">
        <v>7649</v>
      </c>
      <c r="H2307" s="898" t="s">
        <v>2736</v>
      </c>
      <c r="I2307" s="943"/>
      <c r="J2307" s="943" t="s">
        <v>3575</v>
      </c>
      <c r="K2307" s="944"/>
      <c r="L2307" s="1249" t="s">
        <v>3863</v>
      </c>
      <c r="M2307" s="899">
        <v>18000</v>
      </c>
      <c r="N2307" s="1249"/>
      <c r="O2307" s="1249"/>
      <c r="P2307" s="899"/>
    </row>
    <row r="2308" spans="1:16" ht="24" x14ac:dyDescent="0.2">
      <c r="A2308" s="916" t="s">
        <v>7631</v>
      </c>
      <c r="B2308" s="898" t="s">
        <v>7632</v>
      </c>
      <c r="C2308" s="916" t="s">
        <v>7633</v>
      </c>
      <c r="D2308" s="898" t="s">
        <v>7650</v>
      </c>
      <c r="E2308" s="1144">
        <v>1500</v>
      </c>
      <c r="F2308" s="898">
        <v>44551485</v>
      </c>
      <c r="G2308" s="898" t="s">
        <v>7651</v>
      </c>
      <c r="H2308" s="898"/>
      <c r="I2308" s="943" t="s">
        <v>4952</v>
      </c>
      <c r="J2308" s="943"/>
      <c r="K2308" s="944"/>
      <c r="L2308" s="1249" t="s">
        <v>3863</v>
      </c>
      <c r="M2308" s="899">
        <v>18000</v>
      </c>
      <c r="N2308" s="1249"/>
      <c r="O2308" s="1249" t="s">
        <v>3863</v>
      </c>
      <c r="P2308" s="899">
        <v>19200</v>
      </c>
    </row>
    <row r="2309" spans="1:16" ht="24" x14ac:dyDescent="0.2">
      <c r="A2309" s="916" t="s">
        <v>7631</v>
      </c>
      <c r="B2309" s="898" t="s">
        <v>7632</v>
      </c>
      <c r="C2309" s="916" t="s">
        <v>7633</v>
      </c>
      <c r="D2309" s="898" t="s">
        <v>3134</v>
      </c>
      <c r="E2309" s="1144">
        <v>1350</v>
      </c>
      <c r="F2309" s="898">
        <v>40857872</v>
      </c>
      <c r="G2309" s="898" t="s">
        <v>7652</v>
      </c>
      <c r="H2309" s="898" t="s">
        <v>2729</v>
      </c>
      <c r="I2309" s="943"/>
      <c r="J2309" s="943"/>
      <c r="K2309" s="944"/>
      <c r="L2309" s="1249" t="s">
        <v>3863</v>
      </c>
      <c r="M2309" s="899">
        <v>16200</v>
      </c>
      <c r="N2309" s="1249"/>
      <c r="O2309" s="1249" t="s">
        <v>3863</v>
      </c>
      <c r="P2309" s="899">
        <v>19200</v>
      </c>
    </row>
    <row r="2310" spans="1:16" ht="24" x14ac:dyDescent="0.2">
      <c r="A2310" s="916" t="s">
        <v>7631</v>
      </c>
      <c r="B2310" s="898" t="s">
        <v>7632</v>
      </c>
      <c r="C2310" s="916" t="s">
        <v>7633</v>
      </c>
      <c r="D2310" s="898" t="s">
        <v>7653</v>
      </c>
      <c r="E2310" s="1144">
        <v>1800</v>
      </c>
      <c r="F2310" s="898">
        <v>43258323</v>
      </c>
      <c r="G2310" s="898" t="s">
        <v>7654</v>
      </c>
      <c r="H2310" s="898" t="s">
        <v>2736</v>
      </c>
      <c r="I2310" s="943"/>
      <c r="J2310" s="943"/>
      <c r="K2310" s="944"/>
      <c r="L2310" s="1249" t="s">
        <v>3863</v>
      </c>
      <c r="M2310" s="899">
        <v>21600</v>
      </c>
      <c r="N2310" s="1249"/>
      <c r="O2310" s="1249"/>
      <c r="P2310" s="899"/>
    </row>
    <row r="2311" spans="1:16" ht="24" x14ac:dyDescent="0.2">
      <c r="A2311" s="916" t="s">
        <v>7631</v>
      </c>
      <c r="B2311" s="898" t="s">
        <v>7632</v>
      </c>
      <c r="C2311" s="916" t="s">
        <v>7633</v>
      </c>
      <c r="D2311" s="898" t="s">
        <v>7655</v>
      </c>
      <c r="E2311" s="1144">
        <v>2500</v>
      </c>
      <c r="F2311" s="898">
        <v>116402</v>
      </c>
      <c r="G2311" s="898" t="s">
        <v>7656</v>
      </c>
      <c r="H2311" s="898" t="s">
        <v>7657</v>
      </c>
      <c r="I2311" s="943"/>
      <c r="J2311" s="943" t="s">
        <v>3575</v>
      </c>
      <c r="K2311" s="944" t="s">
        <v>7658</v>
      </c>
      <c r="L2311" s="1249" t="s">
        <v>3863</v>
      </c>
      <c r="M2311" s="899">
        <v>30000</v>
      </c>
      <c r="N2311" s="1249"/>
      <c r="O2311" s="1249" t="s">
        <v>3863</v>
      </c>
      <c r="P2311" s="899">
        <v>30000</v>
      </c>
    </row>
    <row r="2312" spans="1:16" ht="24" x14ac:dyDescent="0.2">
      <c r="A2312" s="916" t="s">
        <v>7631</v>
      </c>
      <c r="B2312" s="898" t="s">
        <v>7632</v>
      </c>
      <c r="C2312" s="916" t="s">
        <v>7633</v>
      </c>
      <c r="D2312" s="898" t="s">
        <v>7659</v>
      </c>
      <c r="E2312" s="1144">
        <v>2500</v>
      </c>
      <c r="F2312" s="898">
        <v>46641221</v>
      </c>
      <c r="G2312" s="898" t="s">
        <v>7660</v>
      </c>
      <c r="H2312" s="898" t="s">
        <v>3153</v>
      </c>
      <c r="I2312" s="943"/>
      <c r="J2312" s="943" t="s">
        <v>3575</v>
      </c>
      <c r="K2312" s="944" t="s">
        <v>7661</v>
      </c>
      <c r="L2312" s="1249" t="s">
        <v>3863</v>
      </c>
      <c r="M2312" s="899">
        <v>30000</v>
      </c>
      <c r="N2312" s="1249"/>
      <c r="O2312" s="1249" t="s">
        <v>3863</v>
      </c>
      <c r="P2312" s="899">
        <v>33600</v>
      </c>
    </row>
    <row r="2313" spans="1:16" ht="24" x14ac:dyDescent="0.2">
      <c r="A2313" s="916" t="s">
        <v>7631</v>
      </c>
      <c r="B2313" s="898" t="s">
        <v>7632</v>
      </c>
      <c r="C2313" s="916" t="s">
        <v>7633</v>
      </c>
      <c r="D2313" s="898" t="s">
        <v>7662</v>
      </c>
      <c r="E2313" s="1144">
        <v>2500</v>
      </c>
      <c r="F2313" s="898">
        <v>90312</v>
      </c>
      <c r="G2313" s="898" t="s">
        <v>7663</v>
      </c>
      <c r="H2313" s="898" t="s">
        <v>2736</v>
      </c>
      <c r="I2313" s="943"/>
      <c r="J2313" s="943" t="s">
        <v>3575</v>
      </c>
      <c r="K2313" s="944" t="s">
        <v>7664</v>
      </c>
      <c r="L2313" s="1249" t="s">
        <v>3863</v>
      </c>
      <c r="M2313" s="899">
        <v>30000</v>
      </c>
      <c r="N2313" s="1249"/>
      <c r="O2313" s="1249" t="s">
        <v>3863</v>
      </c>
      <c r="P2313" s="899">
        <v>30000</v>
      </c>
    </row>
    <row r="2314" spans="1:16" ht="24" x14ac:dyDescent="0.2">
      <c r="A2314" s="916" t="s">
        <v>7631</v>
      </c>
      <c r="B2314" s="898" t="s">
        <v>7632</v>
      </c>
      <c r="C2314" s="916" t="s">
        <v>7633</v>
      </c>
      <c r="D2314" s="898" t="s">
        <v>7662</v>
      </c>
      <c r="E2314" s="1144">
        <v>2500</v>
      </c>
      <c r="F2314" s="898">
        <v>45599188</v>
      </c>
      <c r="G2314" s="898" t="s">
        <v>7665</v>
      </c>
      <c r="H2314" s="898" t="s">
        <v>2729</v>
      </c>
      <c r="I2314" s="943"/>
      <c r="J2314" s="943" t="s">
        <v>3575</v>
      </c>
      <c r="K2314" s="944" t="s">
        <v>7666</v>
      </c>
      <c r="L2314" s="1249" t="s">
        <v>3863</v>
      </c>
      <c r="M2314" s="899">
        <v>30000</v>
      </c>
      <c r="N2314" s="1249"/>
      <c r="O2314" s="1249" t="s">
        <v>3863</v>
      </c>
      <c r="P2314" s="899">
        <v>30000</v>
      </c>
    </row>
    <row r="2315" spans="1:16" ht="24" x14ac:dyDescent="0.2">
      <c r="A2315" s="916" t="s">
        <v>7631</v>
      </c>
      <c r="B2315" s="898" t="s">
        <v>7632</v>
      </c>
      <c r="C2315" s="916" t="s">
        <v>7633</v>
      </c>
      <c r="D2315" s="898" t="s">
        <v>7591</v>
      </c>
      <c r="E2315" s="1144"/>
      <c r="F2315" s="898">
        <v>71524379</v>
      </c>
      <c r="G2315" s="898" t="s">
        <v>7667</v>
      </c>
      <c r="H2315" s="898" t="s">
        <v>2729</v>
      </c>
      <c r="I2315" s="943" t="s">
        <v>4952</v>
      </c>
      <c r="J2315" s="943"/>
      <c r="K2315" s="944"/>
      <c r="L2315" s="1249"/>
      <c r="M2315" s="899"/>
      <c r="N2315" s="1249"/>
      <c r="O2315" s="1249" t="s">
        <v>3863</v>
      </c>
      <c r="P2315" s="899">
        <v>30000</v>
      </c>
    </row>
    <row r="2316" spans="1:16" ht="36" x14ac:dyDescent="0.2">
      <c r="A2316" s="916" t="s">
        <v>7631</v>
      </c>
      <c r="B2316" s="898" t="s">
        <v>7632</v>
      </c>
      <c r="C2316" s="916" t="s">
        <v>7633</v>
      </c>
      <c r="D2316" s="898" t="s">
        <v>7668</v>
      </c>
      <c r="E2316" s="1144"/>
      <c r="F2316" s="898">
        <v>71980745</v>
      </c>
      <c r="G2316" s="898" t="s">
        <v>7669</v>
      </c>
      <c r="H2316" s="898" t="s">
        <v>2736</v>
      </c>
      <c r="I2316" s="943" t="s">
        <v>7670</v>
      </c>
      <c r="J2316" s="943"/>
      <c r="K2316" s="944"/>
      <c r="L2316" s="1249"/>
      <c r="M2316" s="899"/>
      <c r="N2316" s="1249"/>
      <c r="O2316" s="1249" t="s">
        <v>3863</v>
      </c>
      <c r="P2316" s="899">
        <v>19200</v>
      </c>
    </row>
    <row r="2317" spans="1:16" ht="24" x14ac:dyDescent="0.2">
      <c r="A2317" s="916" t="s">
        <v>7631</v>
      </c>
      <c r="B2317" s="898" t="s">
        <v>7632</v>
      </c>
      <c r="C2317" s="916" t="s">
        <v>7633</v>
      </c>
      <c r="D2317" s="898" t="s">
        <v>3134</v>
      </c>
      <c r="E2317" s="1144"/>
      <c r="F2317" s="898">
        <v>40533136</v>
      </c>
      <c r="G2317" s="898" t="s">
        <v>7671</v>
      </c>
      <c r="H2317" s="898" t="s">
        <v>3497</v>
      </c>
      <c r="I2317" s="943"/>
      <c r="J2317" s="943" t="s">
        <v>3575</v>
      </c>
      <c r="K2317" s="944"/>
      <c r="L2317" s="1249"/>
      <c r="M2317" s="899"/>
      <c r="N2317" s="1249"/>
      <c r="O2317" s="1249" t="s">
        <v>3863</v>
      </c>
      <c r="P2317" s="899">
        <v>18000</v>
      </c>
    </row>
    <row r="2318" spans="1:16" ht="36" x14ac:dyDescent="0.2">
      <c r="A2318" s="916" t="s">
        <v>7631</v>
      </c>
      <c r="B2318" s="898" t="s">
        <v>7632</v>
      </c>
      <c r="C2318" s="916" t="s">
        <v>7633</v>
      </c>
      <c r="D2318" s="898" t="s">
        <v>4165</v>
      </c>
      <c r="E2318" s="1144"/>
      <c r="F2318" s="898">
        <v>21143348</v>
      </c>
      <c r="G2318" s="898" t="s">
        <v>7672</v>
      </c>
      <c r="H2318" s="898"/>
      <c r="I2318" s="943" t="s">
        <v>7673</v>
      </c>
      <c r="J2318" s="943"/>
      <c r="K2318" s="944"/>
      <c r="L2318" s="1249"/>
      <c r="M2318" s="899"/>
      <c r="N2318" s="1249"/>
      <c r="O2318" s="1249" t="s">
        <v>3863</v>
      </c>
      <c r="P2318" s="899">
        <v>14400</v>
      </c>
    </row>
    <row r="2319" spans="1:16" ht="24" x14ac:dyDescent="0.2">
      <c r="A2319" s="916" t="s">
        <v>7631</v>
      </c>
      <c r="B2319" s="898" t="s">
        <v>7632</v>
      </c>
      <c r="C2319" s="916" t="s">
        <v>7633</v>
      </c>
      <c r="D2319" s="898" t="s">
        <v>7674</v>
      </c>
      <c r="E2319" s="1144"/>
      <c r="F2319" s="898">
        <v>72651367</v>
      </c>
      <c r="G2319" s="898" t="s">
        <v>7675</v>
      </c>
      <c r="H2319" s="898" t="s">
        <v>2729</v>
      </c>
      <c r="I2319" s="943" t="s">
        <v>4952</v>
      </c>
      <c r="J2319" s="943"/>
      <c r="K2319" s="944"/>
      <c r="L2319" s="1249"/>
      <c r="M2319" s="899"/>
      <c r="N2319" s="1249"/>
      <c r="O2319" s="1249" t="s">
        <v>3863</v>
      </c>
      <c r="P2319" s="899">
        <v>15600</v>
      </c>
    </row>
    <row r="2320" spans="1:16" ht="24" x14ac:dyDescent="0.2">
      <c r="A2320" s="916" t="s">
        <v>7631</v>
      </c>
      <c r="B2320" s="898" t="s">
        <v>7632</v>
      </c>
      <c r="C2320" s="916" t="s">
        <v>7633</v>
      </c>
      <c r="D2320" s="898" t="s">
        <v>7676</v>
      </c>
      <c r="E2320" s="1144"/>
      <c r="F2320" s="898">
        <v>42351053</v>
      </c>
      <c r="G2320" s="898" t="s">
        <v>7677</v>
      </c>
      <c r="H2320" s="898"/>
      <c r="I2320" s="943"/>
      <c r="J2320" s="943"/>
      <c r="K2320" s="944"/>
      <c r="L2320" s="1249"/>
      <c r="M2320" s="899"/>
      <c r="N2320" s="1249"/>
      <c r="O2320" s="1249" t="s">
        <v>3863</v>
      </c>
      <c r="P2320" s="899">
        <v>16800</v>
      </c>
    </row>
    <row r="2321" spans="1:16" ht="24" x14ac:dyDescent="0.2">
      <c r="A2321" s="916" t="s">
        <v>7631</v>
      </c>
      <c r="B2321" s="898" t="s">
        <v>7632</v>
      </c>
      <c r="C2321" s="916" t="s">
        <v>7633</v>
      </c>
      <c r="D2321" s="898" t="s">
        <v>3134</v>
      </c>
      <c r="E2321" s="1144"/>
      <c r="F2321" s="898">
        <v>70445343</v>
      </c>
      <c r="G2321" s="898" t="s">
        <v>7678</v>
      </c>
      <c r="H2321" s="898" t="s">
        <v>3497</v>
      </c>
      <c r="I2321" s="943"/>
      <c r="J2321" s="943" t="s">
        <v>3575</v>
      </c>
      <c r="K2321" s="944"/>
      <c r="L2321" s="1249"/>
      <c r="M2321" s="899"/>
      <c r="N2321" s="1249"/>
      <c r="O2321" s="1249" t="s">
        <v>3863</v>
      </c>
      <c r="P2321" s="899">
        <v>18000</v>
      </c>
    </row>
    <row r="2322" spans="1:16" ht="24" x14ac:dyDescent="0.2">
      <c r="A2322" s="916" t="s">
        <v>7631</v>
      </c>
      <c r="B2322" s="898" t="s">
        <v>7632</v>
      </c>
      <c r="C2322" s="916" t="s">
        <v>7633</v>
      </c>
      <c r="D2322" s="898" t="s">
        <v>7679</v>
      </c>
      <c r="E2322" s="1144"/>
      <c r="F2322" s="898">
        <v>46048194</v>
      </c>
      <c r="G2322" s="898" t="s">
        <v>7680</v>
      </c>
      <c r="H2322" s="898" t="s">
        <v>3497</v>
      </c>
      <c r="I2322" s="943" t="s">
        <v>4952</v>
      </c>
      <c r="J2322" s="943"/>
      <c r="K2322" s="944"/>
      <c r="L2322" s="1249"/>
      <c r="M2322" s="899"/>
      <c r="N2322" s="1249"/>
      <c r="O2322" s="1249" t="s">
        <v>3863</v>
      </c>
      <c r="P2322" s="899">
        <v>18000</v>
      </c>
    </row>
    <row r="2323" spans="1:16" ht="24" x14ac:dyDescent="0.2">
      <c r="A2323" s="916" t="s">
        <v>7631</v>
      </c>
      <c r="B2323" s="898" t="s">
        <v>7632</v>
      </c>
      <c r="C2323" s="916" t="s">
        <v>7681</v>
      </c>
      <c r="D2323" s="898" t="s">
        <v>7682</v>
      </c>
      <c r="E2323" s="1144">
        <v>700</v>
      </c>
      <c r="F2323" s="898">
        <v>70612824</v>
      </c>
      <c r="G2323" s="898" t="s">
        <v>7683</v>
      </c>
      <c r="H2323" s="898" t="s">
        <v>7684</v>
      </c>
      <c r="I2323" s="943"/>
      <c r="J2323" s="943"/>
      <c r="K2323" s="944"/>
      <c r="L2323" s="1249" t="s">
        <v>3863</v>
      </c>
      <c r="M2323" s="899">
        <v>8400</v>
      </c>
      <c r="N2323" s="1249"/>
      <c r="O2323" s="1249" t="s">
        <v>3863</v>
      </c>
      <c r="P2323" s="899">
        <v>8400</v>
      </c>
    </row>
    <row r="2324" spans="1:16" ht="24" x14ac:dyDescent="0.2">
      <c r="A2324" s="916" t="s">
        <v>7631</v>
      </c>
      <c r="B2324" s="898" t="s">
        <v>7632</v>
      </c>
      <c r="C2324" s="916" t="s">
        <v>7681</v>
      </c>
      <c r="D2324" s="898" t="s">
        <v>7682</v>
      </c>
      <c r="E2324" s="1144">
        <v>700</v>
      </c>
      <c r="F2324" s="898">
        <v>48381604</v>
      </c>
      <c r="G2324" s="898" t="s">
        <v>7685</v>
      </c>
      <c r="H2324" s="898" t="s">
        <v>7684</v>
      </c>
      <c r="I2324" s="943"/>
      <c r="J2324" s="943"/>
      <c r="K2324" s="944"/>
      <c r="L2324" s="1249" t="s">
        <v>3863</v>
      </c>
      <c r="M2324" s="899">
        <v>8400</v>
      </c>
      <c r="N2324" s="1249"/>
      <c r="O2324" s="1249" t="s">
        <v>3863</v>
      </c>
      <c r="P2324" s="899">
        <v>8400</v>
      </c>
    </row>
    <row r="2325" spans="1:16" ht="24" x14ac:dyDescent="0.2">
      <c r="A2325" s="916" t="s">
        <v>7631</v>
      </c>
      <c r="B2325" s="898" t="s">
        <v>7632</v>
      </c>
      <c r="C2325" s="916" t="s">
        <v>7681</v>
      </c>
      <c r="D2325" s="898" t="s">
        <v>7682</v>
      </c>
      <c r="E2325" s="1144">
        <v>700</v>
      </c>
      <c r="F2325" s="898">
        <v>44583611</v>
      </c>
      <c r="G2325" s="898" t="s">
        <v>7686</v>
      </c>
      <c r="H2325" s="898" t="s">
        <v>7684</v>
      </c>
      <c r="I2325" s="943"/>
      <c r="J2325" s="943"/>
      <c r="K2325" s="944"/>
      <c r="L2325" s="1249" t="s">
        <v>3863</v>
      </c>
      <c r="M2325" s="899">
        <v>8400</v>
      </c>
      <c r="N2325" s="1249"/>
      <c r="O2325" s="1249" t="s">
        <v>3863</v>
      </c>
      <c r="P2325" s="899">
        <v>8400</v>
      </c>
    </row>
    <row r="2326" spans="1:16" ht="24" x14ac:dyDescent="0.2">
      <c r="A2326" s="916" t="s">
        <v>7631</v>
      </c>
      <c r="B2326" s="898" t="s">
        <v>7632</v>
      </c>
      <c r="C2326" s="916" t="s">
        <v>7681</v>
      </c>
      <c r="D2326" s="898" t="s">
        <v>7682</v>
      </c>
      <c r="E2326" s="1144">
        <v>700</v>
      </c>
      <c r="F2326" s="898">
        <v>47642973</v>
      </c>
      <c r="G2326" s="898" t="s">
        <v>7687</v>
      </c>
      <c r="H2326" s="898" t="s">
        <v>7684</v>
      </c>
      <c r="I2326" s="943"/>
      <c r="J2326" s="943"/>
      <c r="K2326" s="944"/>
      <c r="L2326" s="1249" t="s">
        <v>3863</v>
      </c>
      <c r="M2326" s="899">
        <v>8400</v>
      </c>
      <c r="N2326" s="1249"/>
      <c r="O2326" s="1249" t="s">
        <v>3863</v>
      </c>
      <c r="P2326" s="899">
        <v>8400</v>
      </c>
    </row>
    <row r="2327" spans="1:16" ht="24" x14ac:dyDescent="0.2">
      <c r="A2327" s="916" t="s">
        <v>7631</v>
      </c>
      <c r="B2327" s="898" t="s">
        <v>7632</v>
      </c>
      <c r="C2327" s="916" t="s">
        <v>7681</v>
      </c>
      <c r="D2327" s="898" t="s">
        <v>7682</v>
      </c>
      <c r="E2327" s="1144">
        <v>700</v>
      </c>
      <c r="F2327" s="898">
        <v>46350839</v>
      </c>
      <c r="G2327" s="898" t="s">
        <v>7688</v>
      </c>
      <c r="H2327" s="898" t="s">
        <v>7684</v>
      </c>
      <c r="I2327" s="943"/>
      <c r="J2327" s="943"/>
      <c r="K2327" s="944"/>
      <c r="L2327" s="1249" t="s">
        <v>3863</v>
      </c>
      <c r="M2327" s="899">
        <v>8400</v>
      </c>
      <c r="N2327" s="1249"/>
      <c r="O2327" s="1249" t="s">
        <v>3863</v>
      </c>
      <c r="P2327" s="899">
        <v>8400</v>
      </c>
    </row>
    <row r="2328" spans="1:16" ht="24" x14ac:dyDescent="0.2">
      <c r="A2328" s="916" t="s">
        <v>7631</v>
      </c>
      <c r="B2328" s="898" t="s">
        <v>7632</v>
      </c>
      <c r="C2328" s="916" t="s">
        <v>7681</v>
      </c>
      <c r="D2328" s="898" t="s">
        <v>7682</v>
      </c>
      <c r="E2328" s="1144">
        <v>700</v>
      </c>
      <c r="F2328" s="898">
        <v>48100411</v>
      </c>
      <c r="G2328" s="898" t="s">
        <v>7689</v>
      </c>
      <c r="H2328" s="898" t="s">
        <v>7684</v>
      </c>
      <c r="I2328" s="943"/>
      <c r="J2328" s="943"/>
      <c r="K2328" s="944"/>
      <c r="L2328" s="1249" t="s">
        <v>3863</v>
      </c>
      <c r="M2328" s="899">
        <v>8400</v>
      </c>
      <c r="N2328" s="1249"/>
      <c r="O2328" s="1249" t="s">
        <v>3863</v>
      </c>
      <c r="P2328" s="899">
        <v>8400</v>
      </c>
    </row>
    <row r="2329" spans="1:16" ht="24" x14ac:dyDescent="0.2">
      <c r="A2329" s="916" t="s">
        <v>7631</v>
      </c>
      <c r="B2329" s="898" t="s">
        <v>7632</v>
      </c>
      <c r="C2329" s="916" t="s">
        <v>7681</v>
      </c>
      <c r="D2329" s="898" t="s">
        <v>7682</v>
      </c>
      <c r="E2329" s="1144">
        <v>700</v>
      </c>
      <c r="F2329" s="898">
        <v>40213234</v>
      </c>
      <c r="G2329" s="898" t="s">
        <v>7690</v>
      </c>
      <c r="H2329" s="898" t="s">
        <v>7684</v>
      </c>
      <c r="I2329" s="943"/>
      <c r="J2329" s="943"/>
      <c r="K2329" s="944"/>
      <c r="L2329" s="1249" t="s">
        <v>3863</v>
      </c>
      <c r="M2329" s="899">
        <v>8400</v>
      </c>
      <c r="N2329" s="1249"/>
      <c r="O2329" s="1249" t="s">
        <v>3863</v>
      </c>
      <c r="P2329" s="899">
        <v>8400</v>
      </c>
    </row>
    <row r="2330" spans="1:16" ht="24" x14ac:dyDescent="0.2">
      <c r="A2330" s="916" t="s">
        <v>7631</v>
      </c>
      <c r="B2330" s="898" t="s">
        <v>7632</v>
      </c>
      <c r="C2330" s="916" t="s">
        <v>7681</v>
      </c>
      <c r="D2330" s="898" t="s">
        <v>7682</v>
      </c>
      <c r="E2330" s="1144">
        <v>700</v>
      </c>
      <c r="F2330" s="898">
        <v>63156363</v>
      </c>
      <c r="G2330" s="898" t="s">
        <v>7691</v>
      </c>
      <c r="H2330" s="898" t="s">
        <v>7684</v>
      </c>
      <c r="I2330" s="943"/>
      <c r="J2330" s="943"/>
      <c r="K2330" s="944"/>
      <c r="L2330" s="1249" t="s">
        <v>3863</v>
      </c>
      <c r="M2330" s="899">
        <v>8400</v>
      </c>
      <c r="N2330" s="1249"/>
      <c r="O2330" s="1249" t="s">
        <v>3863</v>
      </c>
      <c r="P2330" s="899">
        <v>8400</v>
      </c>
    </row>
    <row r="2331" spans="1:16" ht="24" x14ac:dyDescent="0.2">
      <c r="A2331" s="916" t="s">
        <v>7631</v>
      </c>
      <c r="B2331" s="898" t="s">
        <v>7632</v>
      </c>
      <c r="C2331" s="916" t="s">
        <v>7681</v>
      </c>
      <c r="D2331" s="898" t="s">
        <v>7682</v>
      </c>
      <c r="E2331" s="1144">
        <v>700</v>
      </c>
      <c r="F2331" s="898">
        <v>40212826</v>
      </c>
      <c r="G2331" s="898" t="s">
        <v>7692</v>
      </c>
      <c r="H2331" s="898" t="s">
        <v>7684</v>
      </c>
      <c r="I2331" s="943"/>
      <c r="J2331" s="943"/>
      <c r="K2331" s="944"/>
      <c r="L2331" s="1249" t="s">
        <v>3863</v>
      </c>
      <c r="M2331" s="899">
        <v>8400</v>
      </c>
      <c r="N2331" s="1249"/>
      <c r="O2331" s="1249" t="s">
        <v>3863</v>
      </c>
      <c r="P2331" s="899">
        <v>8400</v>
      </c>
    </row>
    <row r="2332" spans="1:16" ht="24" x14ac:dyDescent="0.2">
      <c r="A2332" s="916" t="s">
        <v>7631</v>
      </c>
      <c r="B2332" s="898" t="s">
        <v>7632</v>
      </c>
      <c r="C2332" s="916" t="s">
        <v>7681</v>
      </c>
      <c r="D2332" s="898" t="s">
        <v>7682</v>
      </c>
      <c r="E2332" s="1144">
        <v>700</v>
      </c>
      <c r="F2332" s="898">
        <v>48805921</v>
      </c>
      <c r="G2332" s="898" t="s">
        <v>7693</v>
      </c>
      <c r="H2332" s="898" t="s">
        <v>7684</v>
      </c>
      <c r="I2332" s="943"/>
      <c r="J2332" s="943"/>
      <c r="K2332" s="944"/>
      <c r="L2332" s="1249" t="s">
        <v>3863</v>
      </c>
      <c r="M2332" s="899">
        <v>8400</v>
      </c>
      <c r="N2332" s="1249"/>
      <c r="O2332" s="1249" t="s">
        <v>3863</v>
      </c>
      <c r="P2332" s="899">
        <v>8400</v>
      </c>
    </row>
    <row r="2333" spans="1:16" ht="24" x14ac:dyDescent="0.2">
      <c r="A2333" s="916" t="s">
        <v>7631</v>
      </c>
      <c r="B2333" s="898" t="s">
        <v>7632</v>
      </c>
      <c r="C2333" s="916" t="s">
        <v>7681</v>
      </c>
      <c r="D2333" s="898" t="s">
        <v>7682</v>
      </c>
      <c r="E2333" s="1144">
        <v>700</v>
      </c>
      <c r="F2333" s="898">
        <v>47564807</v>
      </c>
      <c r="G2333" s="898" t="s">
        <v>7694</v>
      </c>
      <c r="H2333" s="898" t="s">
        <v>7684</v>
      </c>
      <c r="I2333" s="943"/>
      <c r="J2333" s="943"/>
      <c r="K2333" s="944"/>
      <c r="L2333" s="1249" t="s">
        <v>3863</v>
      </c>
      <c r="M2333" s="899">
        <v>8400</v>
      </c>
      <c r="N2333" s="1249"/>
      <c r="O2333" s="1249" t="s">
        <v>3863</v>
      </c>
      <c r="P2333" s="899">
        <v>8400</v>
      </c>
    </row>
    <row r="2334" spans="1:16" ht="24" x14ac:dyDescent="0.2">
      <c r="A2334" s="916" t="s">
        <v>7631</v>
      </c>
      <c r="B2334" s="898" t="s">
        <v>7632</v>
      </c>
      <c r="C2334" s="916" t="s">
        <v>7681</v>
      </c>
      <c r="D2334" s="898" t="s">
        <v>7682</v>
      </c>
      <c r="E2334" s="1144">
        <v>700</v>
      </c>
      <c r="F2334" s="898">
        <v>48727752</v>
      </c>
      <c r="G2334" s="898" t="s">
        <v>7695</v>
      </c>
      <c r="H2334" s="898" t="s">
        <v>7684</v>
      </c>
      <c r="I2334" s="943"/>
      <c r="J2334" s="943"/>
      <c r="K2334" s="944"/>
      <c r="L2334" s="1249" t="s">
        <v>3863</v>
      </c>
      <c r="M2334" s="899">
        <v>8400</v>
      </c>
      <c r="N2334" s="1249"/>
      <c r="O2334" s="1249" t="s">
        <v>3863</v>
      </c>
      <c r="P2334" s="899">
        <v>8400</v>
      </c>
    </row>
    <row r="2335" spans="1:16" ht="24" x14ac:dyDescent="0.2">
      <c r="A2335" s="916" t="s">
        <v>7631</v>
      </c>
      <c r="B2335" s="898" t="s">
        <v>7632</v>
      </c>
      <c r="C2335" s="916" t="s">
        <v>7681</v>
      </c>
      <c r="D2335" s="898" t="s">
        <v>7682</v>
      </c>
      <c r="E2335" s="1144">
        <v>700</v>
      </c>
      <c r="F2335" s="898">
        <v>76931594</v>
      </c>
      <c r="G2335" s="898" t="s">
        <v>7696</v>
      </c>
      <c r="H2335" s="898" t="s">
        <v>7684</v>
      </c>
      <c r="I2335" s="943"/>
      <c r="J2335" s="943"/>
      <c r="K2335" s="944"/>
      <c r="L2335" s="1249" t="s">
        <v>3863</v>
      </c>
      <c r="M2335" s="899">
        <v>8400</v>
      </c>
      <c r="N2335" s="1249"/>
      <c r="O2335" s="1249" t="s">
        <v>3863</v>
      </c>
      <c r="P2335" s="899">
        <v>8400</v>
      </c>
    </row>
    <row r="2336" spans="1:16" ht="24" x14ac:dyDescent="0.2">
      <c r="A2336" s="916" t="s">
        <v>7631</v>
      </c>
      <c r="B2336" s="898" t="s">
        <v>7632</v>
      </c>
      <c r="C2336" s="916" t="s">
        <v>7681</v>
      </c>
      <c r="D2336" s="898" t="s">
        <v>7682</v>
      </c>
      <c r="E2336" s="1144">
        <v>700</v>
      </c>
      <c r="F2336" s="898">
        <v>190830</v>
      </c>
      <c r="G2336" s="898" t="s">
        <v>7697</v>
      </c>
      <c r="H2336" s="898" t="s">
        <v>7684</v>
      </c>
      <c r="I2336" s="943"/>
      <c r="J2336" s="943"/>
      <c r="K2336" s="944"/>
      <c r="L2336" s="1249" t="s">
        <v>3863</v>
      </c>
      <c r="M2336" s="899">
        <v>8400</v>
      </c>
      <c r="N2336" s="1249"/>
      <c r="O2336" s="1249" t="s">
        <v>3863</v>
      </c>
      <c r="P2336" s="899">
        <v>8400</v>
      </c>
    </row>
    <row r="2337" spans="1:16" ht="24" x14ac:dyDescent="0.2">
      <c r="A2337" s="916" t="s">
        <v>7631</v>
      </c>
      <c r="B2337" s="898" t="s">
        <v>7632</v>
      </c>
      <c r="C2337" s="916" t="s">
        <v>7681</v>
      </c>
      <c r="D2337" s="898" t="s">
        <v>7682</v>
      </c>
      <c r="E2337" s="1144">
        <v>700</v>
      </c>
      <c r="F2337" s="898">
        <v>43802921</v>
      </c>
      <c r="G2337" s="898" t="s">
        <v>7698</v>
      </c>
      <c r="H2337" s="898" t="s">
        <v>7684</v>
      </c>
      <c r="I2337" s="943"/>
      <c r="J2337" s="943"/>
      <c r="K2337" s="944"/>
      <c r="L2337" s="1249" t="s">
        <v>3863</v>
      </c>
      <c r="M2337" s="899">
        <v>8400</v>
      </c>
      <c r="N2337" s="1249"/>
      <c r="O2337" s="1249" t="s">
        <v>3863</v>
      </c>
      <c r="P2337" s="899">
        <v>8400</v>
      </c>
    </row>
    <row r="2338" spans="1:16" ht="24" x14ac:dyDescent="0.2">
      <c r="A2338" s="916" t="s">
        <v>7631</v>
      </c>
      <c r="B2338" s="898" t="s">
        <v>7632</v>
      </c>
      <c r="C2338" s="916" t="s">
        <v>7699</v>
      </c>
      <c r="D2338" s="898" t="s">
        <v>7700</v>
      </c>
      <c r="E2338" s="1144">
        <v>4500</v>
      </c>
      <c r="F2338" s="898">
        <v>43067</v>
      </c>
      <c r="G2338" s="898" t="s">
        <v>7701</v>
      </c>
      <c r="H2338" s="898" t="s">
        <v>7702</v>
      </c>
      <c r="I2338" s="943" t="s">
        <v>7702</v>
      </c>
      <c r="J2338" s="943" t="s">
        <v>3575</v>
      </c>
      <c r="K2338" s="944"/>
      <c r="L2338" s="1249" t="s">
        <v>3863</v>
      </c>
      <c r="M2338" s="899">
        <v>54000</v>
      </c>
      <c r="N2338" s="1249"/>
      <c r="O2338" s="1249"/>
      <c r="P2338" s="899"/>
    </row>
    <row r="2339" spans="1:16" ht="24" x14ac:dyDescent="0.2">
      <c r="A2339" s="916" t="s">
        <v>7631</v>
      </c>
      <c r="B2339" s="898" t="s">
        <v>7632</v>
      </c>
      <c r="C2339" s="916" t="s">
        <v>7699</v>
      </c>
      <c r="D2339" s="898" t="s">
        <v>7700</v>
      </c>
      <c r="E2339" s="1144">
        <v>4500</v>
      </c>
      <c r="F2339" s="898">
        <v>99615</v>
      </c>
      <c r="G2339" s="898" t="s">
        <v>7703</v>
      </c>
      <c r="H2339" s="898" t="s">
        <v>7702</v>
      </c>
      <c r="I2339" s="943" t="s">
        <v>7702</v>
      </c>
      <c r="J2339" s="943" t="s">
        <v>3575</v>
      </c>
      <c r="K2339" s="944"/>
      <c r="L2339" s="1249" t="s">
        <v>3863</v>
      </c>
      <c r="M2339" s="899">
        <v>54000</v>
      </c>
      <c r="N2339" s="1249"/>
      <c r="O2339" s="1249" t="s">
        <v>3863</v>
      </c>
      <c r="P2339" s="899">
        <v>54000</v>
      </c>
    </row>
    <row r="2340" spans="1:16" ht="24" x14ac:dyDescent="0.2">
      <c r="A2340" s="916" t="s">
        <v>7631</v>
      </c>
      <c r="B2340" s="898" t="s">
        <v>7632</v>
      </c>
      <c r="C2340" s="916" t="s">
        <v>7699</v>
      </c>
      <c r="D2340" s="898" t="s">
        <v>7700</v>
      </c>
      <c r="E2340" s="1144">
        <v>2000</v>
      </c>
      <c r="F2340" s="898">
        <v>46896657</v>
      </c>
      <c r="G2340" s="898" t="s">
        <v>7704</v>
      </c>
      <c r="H2340" s="898" t="s">
        <v>7702</v>
      </c>
      <c r="I2340" s="943" t="s">
        <v>7702</v>
      </c>
      <c r="J2340" s="943" t="s">
        <v>3575</v>
      </c>
      <c r="K2340" s="944"/>
      <c r="L2340" s="1249" t="s">
        <v>3863</v>
      </c>
      <c r="M2340" s="899">
        <v>24000</v>
      </c>
      <c r="N2340" s="1249"/>
      <c r="O2340" s="1249"/>
      <c r="P2340" s="899"/>
    </row>
    <row r="2341" spans="1:16" ht="24" x14ac:dyDescent="0.2">
      <c r="A2341" s="916" t="s">
        <v>7631</v>
      </c>
      <c r="B2341" s="898" t="s">
        <v>7632</v>
      </c>
      <c r="C2341" s="916" t="s">
        <v>7699</v>
      </c>
      <c r="D2341" s="898" t="s">
        <v>7700</v>
      </c>
      <c r="E2341" s="1144">
        <v>4500</v>
      </c>
      <c r="F2341" s="898">
        <v>191073</v>
      </c>
      <c r="G2341" s="898" t="s">
        <v>7705</v>
      </c>
      <c r="H2341" s="898" t="s">
        <v>7702</v>
      </c>
      <c r="I2341" s="943" t="s">
        <v>7702</v>
      </c>
      <c r="J2341" s="943" t="s">
        <v>3575</v>
      </c>
      <c r="K2341" s="944"/>
      <c r="L2341" s="1249" t="s">
        <v>3863</v>
      </c>
      <c r="M2341" s="899">
        <v>54000</v>
      </c>
      <c r="N2341" s="1249"/>
      <c r="O2341" s="1249" t="s">
        <v>3863</v>
      </c>
      <c r="P2341" s="899">
        <v>54000</v>
      </c>
    </row>
    <row r="2342" spans="1:16" ht="24" x14ac:dyDescent="0.2">
      <c r="A2342" s="916" t="s">
        <v>7631</v>
      </c>
      <c r="B2342" s="898" t="s">
        <v>7632</v>
      </c>
      <c r="C2342" s="916" t="s">
        <v>7699</v>
      </c>
      <c r="D2342" s="898" t="s">
        <v>7700</v>
      </c>
      <c r="E2342" s="1144">
        <v>2000</v>
      </c>
      <c r="F2342" s="898">
        <v>23003552</v>
      </c>
      <c r="G2342" s="898" t="s">
        <v>7706</v>
      </c>
      <c r="H2342" s="898" t="s">
        <v>7702</v>
      </c>
      <c r="I2342" s="943" t="s">
        <v>7702</v>
      </c>
      <c r="J2342" s="943" t="s">
        <v>3575</v>
      </c>
      <c r="K2342" s="944"/>
      <c r="L2342" s="1249" t="s">
        <v>3863</v>
      </c>
      <c r="M2342" s="899">
        <v>24000</v>
      </c>
      <c r="N2342" s="1249"/>
      <c r="O2342" s="1249" t="s">
        <v>3863</v>
      </c>
      <c r="P2342" s="899">
        <v>24000</v>
      </c>
    </row>
    <row r="2343" spans="1:16" ht="24" x14ac:dyDescent="0.2">
      <c r="A2343" s="916" t="s">
        <v>7631</v>
      </c>
      <c r="B2343" s="898" t="s">
        <v>7632</v>
      </c>
      <c r="C2343" s="916" t="s">
        <v>7699</v>
      </c>
      <c r="D2343" s="898" t="s">
        <v>7700</v>
      </c>
      <c r="E2343" s="1144">
        <v>2000</v>
      </c>
      <c r="F2343" s="898">
        <v>42165306</v>
      </c>
      <c r="G2343" s="898" t="s">
        <v>7707</v>
      </c>
      <c r="H2343" s="898" t="s">
        <v>7702</v>
      </c>
      <c r="I2343" s="943" t="s">
        <v>7702</v>
      </c>
      <c r="J2343" s="943" t="s">
        <v>3575</v>
      </c>
      <c r="K2343" s="944"/>
      <c r="L2343" s="1249" t="s">
        <v>3863</v>
      </c>
      <c r="M2343" s="899">
        <v>24000</v>
      </c>
      <c r="N2343" s="1249"/>
      <c r="O2343" s="1249"/>
      <c r="P2343" s="899"/>
    </row>
    <row r="2344" spans="1:16" ht="24" x14ac:dyDescent="0.2">
      <c r="A2344" s="916" t="s">
        <v>7631</v>
      </c>
      <c r="B2344" s="898" t="s">
        <v>7632</v>
      </c>
      <c r="C2344" s="916" t="s">
        <v>7699</v>
      </c>
      <c r="D2344" s="898" t="s">
        <v>7700</v>
      </c>
      <c r="E2344" s="1144">
        <v>4300</v>
      </c>
      <c r="F2344" s="898">
        <v>89987</v>
      </c>
      <c r="G2344" s="898" t="s">
        <v>7708</v>
      </c>
      <c r="H2344" s="898" t="s">
        <v>7702</v>
      </c>
      <c r="I2344" s="943" t="s">
        <v>7702</v>
      </c>
      <c r="J2344" s="943" t="s">
        <v>3575</v>
      </c>
      <c r="K2344" s="944"/>
      <c r="L2344" s="1249" t="s">
        <v>3863</v>
      </c>
      <c r="M2344" s="899"/>
      <c r="N2344" s="1249"/>
      <c r="O2344" s="1249" t="s">
        <v>3863</v>
      </c>
      <c r="P2344" s="899">
        <v>24000</v>
      </c>
    </row>
    <row r="2345" spans="1:16" ht="24" x14ac:dyDescent="0.2">
      <c r="A2345" s="916" t="s">
        <v>7631</v>
      </c>
      <c r="B2345" s="898" t="s">
        <v>7632</v>
      </c>
      <c r="C2345" s="916" t="s">
        <v>7699</v>
      </c>
      <c r="D2345" s="898" t="s">
        <v>7700</v>
      </c>
      <c r="E2345" s="1144">
        <v>4300</v>
      </c>
      <c r="F2345" s="898">
        <v>71773</v>
      </c>
      <c r="G2345" s="898" t="s">
        <v>7709</v>
      </c>
      <c r="H2345" s="898" t="s">
        <v>7702</v>
      </c>
      <c r="I2345" s="943" t="s">
        <v>7702</v>
      </c>
      <c r="J2345" s="943" t="s">
        <v>3575</v>
      </c>
      <c r="K2345" s="944"/>
      <c r="L2345" s="1249" t="s">
        <v>3863</v>
      </c>
      <c r="M2345" s="899"/>
      <c r="N2345" s="1249"/>
      <c r="O2345" s="1249" t="s">
        <v>3863</v>
      </c>
      <c r="P2345" s="899">
        <v>51600</v>
      </c>
    </row>
    <row r="2346" spans="1:16" ht="24" x14ac:dyDescent="0.2">
      <c r="A2346" s="916" t="s">
        <v>7631</v>
      </c>
      <c r="B2346" s="898" t="s">
        <v>7632</v>
      </c>
      <c r="C2346" s="916" t="s">
        <v>7699</v>
      </c>
      <c r="D2346" s="898" t="s">
        <v>7700</v>
      </c>
      <c r="E2346" s="1144">
        <v>4300</v>
      </c>
      <c r="F2346" s="898">
        <v>41429797</v>
      </c>
      <c r="G2346" s="898" t="s">
        <v>7710</v>
      </c>
      <c r="H2346" s="898" t="s">
        <v>7702</v>
      </c>
      <c r="I2346" s="943" t="s">
        <v>7702</v>
      </c>
      <c r="J2346" s="943" t="s">
        <v>3575</v>
      </c>
      <c r="K2346" s="944"/>
      <c r="L2346" s="1249" t="s">
        <v>3863</v>
      </c>
      <c r="M2346" s="899"/>
      <c r="N2346" s="1249"/>
      <c r="O2346" s="1249" t="s">
        <v>3863</v>
      </c>
      <c r="P2346" s="899">
        <v>51600</v>
      </c>
    </row>
    <row r="2347" spans="1:16" ht="24" x14ac:dyDescent="0.2">
      <c r="A2347" s="916" t="s">
        <v>7631</v>
      </c>
      <c r="B2347" s="898" t="s">
        <v>7632</v>
      </c>
      <c r="C2347" s="916" t="s">
        <v>7699</v>
      </c>
      <c r="D2347" s="898" t="s">
        <v>7700</v>
      </c>
      <c r="E2347" s="1144">
        <v>2000</v>
      </c>
      <c r="F2347" s="898">
        <v>7271983</v>
      </c>
      <c r="G2347" s="898" t="s">
        <v>7711</v>
      </c>
      <c r="H2347" s="898"/>
      <c r="I2347" s="943"/>
      <c r="J2347" s="943"/>
      <c r="K2347" s="944"/>
      <c r="L2347" s="1249"/>
      <c r="M2347" s="899"/>
      <c r="N2347" s="1249"/>
      <c r="O2347" s="1249" t="s">
        <v>3863</v>
      </c>
      <c r="P2347" s="899">
        <v>24000</v>
      </c>
    </row>
    <row r="2348" spans="1:16" ht="24" x14ac:dyDescent="0.2">
      <c r="A2348" s="916" t="s">
        <v>7631</v>
      </c>
      <c r="B2348" s="898" t="s">
        <v>7632</v>
      </c>
      <c r="C2348" s="916" t="s">
        <v>7712</v>
      </c>
      <c r="D2348" s="898" t="s">
        <v>7700</v>
      </c>
      <c r="E2348" s="1144">
        <v>4200</v>
      </c>
      <c r="F2348" s="898">
        <v>191460</v>
      </c>
      <c r="G2348" s="898" t="s">
        <v>7713</v>
      </c>
      <c r="H2348" s="898" t="s">
        <v>7702</v>
      </c>
      <c r="I2348" s="943" t="s">
        <v>7702</v>
      </c>
      <c r="J2348" s="943" t="s">
        <v>3575</v>
      </c>
      <c r="K2348" s="944"/>
      <c r="L2348" s="1249" t="s">
        <v>3863</v>
      </c>
      <c r="M2348" s="899">
        <v>50400</v>
      </c>
      <c r="N2348" s="1249"/>
      <c r="O2348" s="1249"/>
      <c r="P2348" s="899"/>
    </row>
    <row r="2349" spans="1:16" ht="24" x14ac:dyDescent="0.2">
      <c r="A2349" s="916" t="s">
        <v>7631</v>
      </c>
      <c r="B2349" s="898" t="s">
        <v>7632</v>
      </c>
      <c r="C2349" s="916" t="s">
        <v>7712</v>
      </c>
      <c r="D2349" s="898" t="s">
        <v>7700</v>
      </c>
      <c r="E2349" s="1144">
        <v>4200</v>
      </c>
      <c r="F2349" s="898">
        <v>41570397</v>
      </c>
      <c r="G2349" s="898" t="s">
        <v>7714</v>
      </c>
      <c r="H2349" s="898" t="s">
        <v>7702</v>
      </c>
      <c r="I2349" s="943" t="s">
        <v>7702</v>
      </c>
      <c r="J2349" s="943" t="s">
        <v>3575</v>
      </c>
      <c r="K2349" s="944"/>
      <c r="L2349" s="1249" t="s">
        <v>3863</v>
      </c>
      <c r="M2349" s="899">
        <v>5400</v>
      </c>
      <c r="N2349" s="1249"/>
      <c r="O2349" s="1249"/>
      <c r="P2349" s="899"/>
    </row>
    <row r="2350" spans="1:16" ht="24" x14ac:dyDescent="0.2">
      <c r="A2350" s="916" t="s">
        <v>7631</v>
      </c>
      <c r="B2350" s="898" t="s">
        <v>7632</v>
      </c>
      <c r="C2350" s="916" t="s">
        <v>7712</v>
      </c>
      <c r="D2350" s="898" t="s">
        <v>7700</v>
      </c>
      <c r="E2350" s="1144">
        <v>4200</v>
      </c>
      <c r="F2350" s="898">
        <v>43504716</v>
      </c>
      <c r="G2350" s="898" t="s">
        <v>7715</v>
      </c>
      <c r="H2350" s="898" t="s">
        <v>7702</v>
      </c>
      <c r="I2350" s="943" t="s">
        <v>7702</v>
      </c>
      <c r="J2350" s="943" t="s">
        <v>3575</v>
      </c>
      <c r="K2350" s="944"/>
      <c r="L2350" s="1249" t="s">
        <v>3863</v>
      </c>
      <c r="M2350" s="899">
        <v>5400</v>
      </c>
      <c r="N2350" s="1249"/>
      <c r="O2350" s="1249"/>
      <c r="P2350" s="899"/>
    </row>
    <row r="2351" spans="1:16" ht="24" x14ac:dyDescent="0.2">
      <c r="A2351" s="916" t="s">
        <v>7631</v>
      </c>
      <c r="B2351" s="898" t="s">
        <v>7632</v>
      </c>
      <c r="C2351" s="916" t="s">
        <v>7716</v>
      </c>
      <c r="D2351" s="898" t="s">
        <v>7717</v>
      </c>
      <c r="E2351" s="1144">
        <v>2600</v>
      </c>
      <c r="F2351" s="898">
        <v>90312</v>
      </c>
      <c r="G2351" s="898" t="s">
        <v>7663</v>
      </c>
      <c r="H2351" s="898" t="s">
        <v>2736</v>
      </c>
      <c r="I2351" s="943"/>
      <c r="J2351" s="943" t="s">
        <v>3575</v>
      </c>
      <c r="K2351" s="944"/>
      <c r="L2351" s="1249" t="s">
        <v>3863</v>
      </c>
      <c r="M2351" s="899">
        <v>31200</v>
      </c>
      <c r="N2351" s="1249"/>
      <c r="O2351" s="1249"/>
      <c r="P2351" s="899"/>
    </row>
    <row r="2352" spans="1:16" ht="24" x14ac:dyDescent="0.2">
      <c r="A2352" s="916" t="s">
        <v>7631</v>
      </c>
      <c r="B2352" s="898" t="s">
        <v>7632</v>
      </c>
      <c r="C2352" s="916" t="s">
        <v>7716</v>
      </c>
      <c r="D2352" s="898" t="s">
        <v>7718</v>
      </c>
      <c r="E2352" s="1144">
        <v>2600</v>
      </c>
      <c r="F2352" s="898">
        <v>45599188</v>
      </c>
      <c r="G2352" s="898" t="s">
        <v>7665</v>
      </c>
      <c r="H2352" s="898" t="s">
        <v>2729</v>
      </c>
      <c r="I2352" s="943"/>
      <c r="J2352" s="943" t="s">
        <v>3575</v>
      </c>
      <c r="K2352" s="944"/>
      <c r="L2352" s="1249" t="s">
        <v>3863</v>
      </c>
      <c r="M2352" s="899">
        <v>31200</v>
      </c>
      <c r="N2352" s="1249"/>
      <c r="O2352" s="1249"/>
      <c r="P2352" s="899"/>
    </row>
    <row r="2353" spans="1:16" ht="24" x14ac:dyDescent="0.2">
      <c r="A2353" s="916" t="s">
        <v>7631</v>
      </c>
      <c r="B2353" s="898" t="s">
        <v>7632</v>
      </c>
      <c r="C2353" s="916" t="s">
        <v>7716</v>
      </c>
      <c r="D2353" s="898" t="s">
        <v>7719</v>
      </c>
      <c r="E2353" s="1144">
        <v>2600</v>
      </c>
      <c r="F2353" s="898">
        <v>46741221</v>
      </c>
      <c r="G2353" s="898" t="s">
        <v>7660</v>
      </c>
      <c r="H2353" s="898" t="s">
        <v>3153</v>
      </c>
      <c r="I2353" s="943"/>
      <c r="J2353" s="943" t="s">
        <v>3575</v>
      </c>
      <c r="K2353" s="944"/>
      <c r="L2353" s="1249" t="s">
        <v>3863</v>
      </c>
      <c r="M2353" s="899">
        <v>31200</v>
      </c>
      <c r="N2353" s="1249"/>
      <c r="O2353" s="1249"/>
      <c r="P2353" s="899"/>
    </row>
    <row r="2354" spans="1:16" ht="24" x14ac:dyDescent="0.2">
      <c r="A2354" s="916" t="s">
        <v>7631</v>
      </c>
      <c r="B2354" s="898" t="s">
        <v>7632</v>
      </c>
      <c r="C2354" s="916" t="s">
        <v>7716</v>
      </c>
      <c r="D2354" s="898" t="s">
        <v>7720</v>
      </c>
      <c r="E2354" s="1144">
        <v>3500</v>
      </c>
      <c r="F2354" s="898">
        <v>116402</v>
      </c>
      <c r="G2354" s="898" t="s">
        <v>7656</v>
      </c>
      <c r="H2354" s="898" t="s">
        <v>7657</v>
      </c>
      <c r="I2354" s="943"/>
      <c r="J2354" s="943" t="s">
        <v>3575</v>
      </c>
      <c r="K2354" s="944"/>
      <c r="L2354" s="1249" t="s">
        <v>3863</v>
      </c>
      <c r="M2354" s="899">
        <v>42000</v>
      </c>
      <c r="N2354" s="1249"/>
      <c r="O2354" s="1249"/>
      <c r="P2354" s="899"/>
    </row>
    <row r="2355" spans="1:16" ht="24" x14ac:dyDescent="0.2">
      <c r="A2355" s="916" t="s">
        <v>7631</v>
      </c>
      <c r="B2355" s="898" t="s">
        <v>7632</v>
      </c>
      <c r="C2355" s="916" t="s">
        <v>7716</v>
      </c>
      <c r="D2355" s="898" t="s">
        <v>7721</v>
      </c>
      <c r="E2355" s="1144">
        <v>3500</v>
      </c>
      <c r="F2355" s="898">
        <v>82734</v>
      </c>
      <c r="G2355" s="898" t="s">
        <v>7722</v>
      </c>
      <c r="H2355" s="898" t="s">
        <v>7721</v>
      </c>
      <c r="I2355" s="943"/>
      <c r="J2355" s="943" t="s">
        <v>3575</v>
      </c>
      <c r="K2355" s="944"/>
      <c r="L2355" s="1249" t="s">
        <v>3863</v>
      </c>
      <c r="M2355" s="899">
        <v>42000</v>
      </c>
      <c r="N2355" s="1249"/>
      <c r="O2355" s="1249"/>
      <c r="P2355" s="899"/>
    </row>
    <row r="2356" spans="1:16" ht="24" x14ac:dyDescent="0.2">
      <c r="A2356" s="916" t="s">
        <v>7631</v>
      </c>
      <c r="B2356" s="898" t="s">
        <v>7632</v>
      </c>
      <c r="C2356" s="916" t="s">
        <v>7723</v>
      </c>
      <c r="D2356" s="898" t="s">
        <v>564</v>
      </c>
      <c r="E2356" s="1144">
        <v>3500</v>
      </c>
      <c r="F2356" s="898">
        <v>71980785</v>
      </c>
      <c r="G2356" s="898" t="s">
        <v>7724</v>
      </c>
      <c r="H2356" s="898" t="s">
        <v>564</v>
      </c>
      <c r="I2356" s="943"/>
      <c r="J2356" s="943" t="s">
        <v>3575</v>
      </c>
      <c r="K2356" s="944"/>
      <c r="L2356" s="1249"/>
      <c r="M2356" s="899"/>
      <c r="N2356" s="1249"/>
      <c r="O2356" s="1249" t="s">
        <v>3863</v>
      </c>
      <c r="P2356" s="899">
        <v>42000</v>
      </c>
    </row>
    <row r="2357" spans="1:16" ht="24" x14ac:dyDescent="0.2">
      <c r="A2357" s="916" t="s">
        <v>7631</v>
      </c>
      <c r="B2357" s="898" t="s">
        <v>7632</v>
      </c>
      <c r="C2357" s="916" t="s">
        <v>7725</v>
      </c>
      <c r="D2357" s="898" t="s">
        <v>7726</v>
      </c>
      <c r="E2357" s="1144">
        <v>2500</v>
      </c>
      <c r="F2357" s="898">
        <v>72772968</v>
      </c>
      <c r="G2357" s="898" t="s">
        <v>7727</v>
      </c>
      <c r="H2357" s="898" t="s">
        <v>7728</v>
      </c>
      <c r="I2357" s="943"/>
      <c r="J2357" s="943" t="s">
        <v>3575</v>
      </c>
      <c r="K2357" s="944"/>
      <c r="L2357" s="1249"/>
      <c r="M2357" s="899"/>
      <c r="N2357" s="1249"/>
      <c r="O2357" s="1249" t="s">
        <v>3863</v>
      </c>
      <c r="P2357" s="899">
        <v>30000</v>
      </c>
    </row>
    <row r="2358" spans="1:16" ht="24" x14ac:dyDescent="0.2">
      <c r="A2358" s="916" t="s">
        <v>7631</v>
      </c>
      <c r="B2358" s="898" t="s">
        <v>7632</v>
      </c>
      <c r="C2358" s="916" t="s">
        <v>7729</v>
      </c>
      <c r="D2358" s="898" t="s">
        <v>7700</v>
      </c>
      <c r="E2358" s="1144">
        <v>4000</v>
      </c>
      <c r="F2358" s="898">
        <v>41570397</v>
      </c>
      <c r="G2358" s="898" t="s">
        <v>7730</v>
      </c>
      <c r="H2358" s="898" t="s">
        <v>7702</v>
      </c>
      <c r="I2358" s="943"/>
      <c r="J2358" s="943" t="s">
        <v>3575</v>
      </c>
      <c r="K2358" s="944"/>
      <c r="L2358" s="1249"/>
      <c r="M2358" s="899"/>
      <c r="N2358" s="1249"/>
      <c r="O2358" s="1249" t="s">
        <v>3863</v>
      </c>
      <c r="P2358" s="899">
        <v>48000</v>
      </c>
    </row>
    <row r="2359" spans="1:16" ht="24" x14ac:dyDescent="0.2">
      <c r="A2359" s="916" t="s">
        <v>7631</v>
      </c>
      <c r="B2359" s="898" t="s">
        <v>7632</v>
      </c>
      <c r="C2359" s="916" t="s">
        <v>7729</v>
      </c>
      <c r="D2359" s="898" t="s">
        <v>7700</v>
      </c>
      <c r="E2359" s="1144">
        <v>4000</v>
      </c>
      <c r="F2359" s="898">
        <v>60012587</v>
      </c>
      <c r="G2359" s="898" t="s">
        <v>7731</v>
      </c>
      <c r="H2359" s="898" t="s">
        <v>7702</v>
      </c>
      <c r="I2359" s="943"/>
      <c r="J2359" s="943" t="s">
        <v>3575</v>
      </c>
      <c r="K2359" s="944"/>
      <c r="L2359" s="1249"/>
      <c r="M2359" s="899"/>
      <c r="N2359" s="1249"/>
      <c r="O2359" s="1249" t="s">
        <v>3863</v>
      </c>
      <c r="P2359" s="899">
        <v>48000</v>
      </c>
    </row>
    <row r="2360" spans="1:16" ht="24" x14ac:dyDescent="0.2">
      <c r="A2360" s="916" t="s">
        <v>7631</v>
      </c>
      <c r="B2360" s="898" t="s">
        <v>7632</v>
      </c>
      <c r="C2360" s="916" t="s">
        <v>7729</v>
      </c>
      <c r="D2360" s="898" t="s">
        <v>7700</v>
      </c>
      <c r="E2360" s="1144">
        <v>4000</v>
      </c>
      <c r="F2360" s="898">
        <v>44042544</v>
      </c>
      <c r="G2360" s="898" t="s">
        <v>7732</v>
      </c>
      <c r="H2360" s="898" t="s">
        <v>7702</v>
      </c>
      <c r="I2360" s="943"/>
      <c r="J2360" s="943" t="s">
        <v>3575</v>
      </c>
      <c r="K2360" s="944"/>
      <c r="L2360" s="1249"/>
      <c r="M2360" s="899"/>
      <c r="N2360" s="1249"/>
      <c r="O2360" s="1249" t="s">
        <v>3863</v>
      </c>
      <c r="P2360" s="899">
        <v>48000</v>
      </c>
    </row>
    <row r="2361" spans="1:16" ht="24" x14ac:dyDescent="0.2">
      <c r="A2361" s="916" t="s">
        <v>7631</v>
      </c>
      <c r="B2361" s="898" t="s">
        <v>7632</v>
      </c>
      <c r="C2361" s="916" t="s">
        <v>7729</v>
      </c>
      <c r="D2361" s="898" t="s">
        <v>7700</v>
      </c>
      <c r="E2361" s="1144">
        <v>4000</v>
      </c>
      <c r="F2361" s="898">
        <v>123467</v>
      </c>
      <c r="G2361" s="898" t="s">
        <v>7733</v>
      </c>
      <c r="H2361" s="898" t="s">
        <v>7702</v>
      </c>
      <c r="I2361" s="943"/>
      <c r="J2361" s="943" t="s">
        <v>3575</v>
      </c>
      <c r="K2361" s="944"/>
      <c r="L2361" s="1249"/>
      <c r="M2361" s="899"/>
      <c r="N2361" s="1249"/>
      <c r="O2361" s="1249" t="s">
        <v>3863</v>
      </c>
      <c r="P2361" s="899">
        <v>48000</v>
      </c>
    </row>
    <row r="2362" spans="1:16" x14ac:dyDescent="0.2">
      <c r="A2362" s="1231"/>
      <c r="B2362" s="1239"/>
      <c r="C2362" s="1237"/>
      <c r="D2362" s="1230"/>
      <c r="E2362" s="1232"/>
      <c r="F2362" s="1239"/>
      <c r="G2362" s="1230"/>
      <c r="H2362" s="1230"/>
      <c r="I2362" s="1233"/>
      <c r="J2362" s="1233"/>
      <c r="K2362" s="1368"/>
      <c r="L2362" s="1234"/>
      <c r="M2362" s="1310">
        <f>SUM(M2301:M2361)</f>
        <v>901200</v>
      </c>
      <c r="N2362" s="1234"/>
      <c r="O2362" s="1234"/>
      <c r="P2362" s="1310">
        <f>SUM(P2301:P2361)</f>
        <v>1070400</v>
      </c>
    </row>
    <row r="2363" spans="1:16" x14ac:dyDescent="0.2">
      <c r="A2363" s="63"/>
      <c r="C2363" s="63"/>
      <c r="E2363" s="63"/>
      <c r="I2363" s="63"/>
      <c r="J2363" s="63"/>
      <c r="L2363" s="63"/>
      <c r="M2363" s="63"/>
      <c r="P2363" s="63"/>
    </row>
    <row r="2364" spans="1:16" x14ac:dyDescent="0.2">
      <c r="A2364" s="63"/>
      <c r="C2364" s="63"/>
      <c r="E2364" s="63"/>
      <c r="I2364" s="63"/>
      <c r="J2364" s="63"/>
      <c r="L2364" s="63"/>
      <c r="M2364" s="63"/>
      <c r="P2364" s="63"/>
    </row>
    <row r="2365" spans="1:16" x14ac:dyDescent="0.2">
      <c r="A2365" s="1546" t="s">
        <v>7734</v>
      </c>
      <c r="B2365" s="1546"/>
      <c r="C2365" s="1546"/>
      <c r="D2365" s="1230"/>
      <c r="E2365" s="1232"/>
      <c r="F2365" s="1230"/>
      <c r="G2365" s="1230"/>
      <c r="H2365" s="1230"/>
      <c r="I2365" s="1233"/>
      <c r="J2365" s="1233"/>
      <c r="K2365" s="1368"/>
      <c r="L2365" s="1234"/>
      <c r="M2365" s="1235"/>
      <c r="N2365" s="1230"/>
      <c r="O2365" s="1230"/>
      <c r="P2365" s="1235"/>
    </row>
    <row r="2366" spans="1:16" x14ac:dyDescent="0.2">
      <c r="A2366" s="1543" t="s">
        <v>3075</v>
      </c>
      <c r="B2366" s="1543"/>
      <c r="C2366" s="1543"/>
      <c r="D2366" s="1543"/>
      <c r="E2366" s="1543"/>
      <c r="F2366" s="1543" t="s">
        <v>3076</v>
      </c>
      <c r="G2366" s="1543"/>
      <c r="H2366" s="1543"/>
      <c r="I2366" s="1543"/>
      <c r="J2366" s="1543"/>
      <c r="K2366" s="1544" t="s">
        <v>3077</v>
      </c>
      <c r="L2366" s="1544"/>
      <c r="M2366" s="1544"/>
      <c r="N2366" s="1544" t="s">
        <v>3078</v>
      </c>
      <c r="O2366" s="1544"/>
      <c r="P2366" s="1544"/>
    </row>
    <row r="2367" spans="1:16" ht="90" customHeight="1" x14ac:dyDescent="0.2">
      <c r="A2367" s="1237" t="s">
        <v>2829</v>
      </c>
      <c r="B2367" s="1239" t="s">
        <v>3079</v>
      </c>
      <c r="C2367" s="1237" t="s">
        <v>3080</v>
      </c>
      <c r="D2367" s="1239" t="s">
        <v>3081</v>
      </c>
      <c r="E2367" s="1240" t="s">
        <v>3082</v>
      </c>
      <c r="F2367" s="1239" t="s">
        <v>3083</v>
      </c>
      <c r="G2367" s="1239" t="s">
        <v>3084</v>
      </c>
      <c r="H2367" s="1239" t="s">
        <v>3085</v>
      </c>
      <c r="I2367" s="1239" t="s">
        <v>3086</v>
      </c>
      <c r="J2367" s="1239" t="s">
        <v>3087</v>
      </c>
      <c r="K2367" s="1369" t="s">
        <v>3088</v>
      </c>
      <c r="L2367" s="1241" t="s">
        <v>3089</v>
      </c>
      <c r="M2367" s="1242" t="s">
        <v>3090</v>
      </c>
      <c r="N2367" s="1241" t="s">
        <v>3088</v>
      </c>
      <c r="O2367" s="1241" t="s">
        <v>3089</v>
      </c>
      <c r="P2367" s="1242" t="s">
        <v>3090</v>
      </c>
    </row>
    <row r="2368" spans="1:16" x14ac:dyDescent="0.2">
      <c r="A2368" s="916"/>
      <c r="B2368" s="898"/>
      <c r="C2368" s="916" t="s">
        <v>7735</v>
      </c>
      <c r="D2368" s="898"/>
      <c r="E2368" s="1144"/>
      <c r="F2368" s="943"/>
      <c r="G2368" s="1245"/>
      <c r="H2368" s="1245"/>
      <c r="I2368" s="1147"/>
      <c r="J2368" s="943"/>
      <c r="K2368" s="944"/>
      <c r="L2368" s="1249"/>
      <c r="M2368" s="899"/>
      <c r="N2368" s="1249"/>
      <c r="O2368" s="1249"/>
      <c r="P2368" s="899"/>
    </row>
    <row r="2369" spans="1:16" x14ac:dyDescent="0.2">
      <c r="A2369" s="1248"/>
      <c r="B2369" s="1276"/>
      <c r="C2369" s="1311" t="s">
        <v>7736</v>
      </c>
      <c r="D2369" s="1312"/>
      <c r="E2369" s="1313"/>
      <c r="F2369" s="1314"/>
      <c r="G2369" s="1315"/>
      <c r="H2369" s="1315"/>
      <c r="I2369" s="1316"/>
      <c r="J2369" s="1314"/>
      <c r="K2369" s="1385"/>
      <c r="L2369" s="1317"/>
      <c r="M2369" s="1318"/>
      <c r="N2369" s="1317"/>
      <c r="O2369" s="1317"/>
      <c r="P2369" s="1318"/>
    </row>
    <row r="2370" spans="1:16" ht="24" x14ac:dyDescent="0.2">
      <c r="A2370" s="916"/>
      <c r="B2370" s="898"/>
      <c r="C2370" s="916"/>
      <c r="D2370" s="898"/>
      <c r="E2370" s="1144"/>
      <c r="F2370" s="943" t="s">
        <v>7737</v>
      </c>
      <c r="G2370" s="1245" t="s">
        <v>7738</v>
      </c>
      <c r="H2370" s="1245" t="s">
        <v>564</v>
      </c>
      <c r="I2370" s="1147" t="s">
        <v>7739</v>
      </c>
      <c r="J2370" s="943" t="s">
        <v>3568</v>
      </c>
      <c r="K2370" s="944"/>
      <c r="L2370" s="1249"/>
      <c r="M2370" s="899"/>
      <c r="N2370" s="898">
        <v>1</v>
      </c>
      <c r="O2370" s="1249"/>
      <c r="P2370" s="1246">
        <v>2500</v>
      </c>
    </row>
    <row r="2371" spans="1:16" ht="24" x14ac:dyDescent="0.2">
      <c r="A2371" s="916"/>
      <c r="B2371" s="898"/>
      <c r="C2371" s="916"/>
      <c r="D2371" s="898"/>
      <c r="E2371" s="1144"/>
      <c r="F2371" s="943" t="s">
        <v>7740</v>
      </c>
      <c r="G2371" s="1245" t="s">
        <v>7741</v>
      </c>
      <c r="H2371" s="1245" t="s">
        <v>5043</v>
      </c>
      <c r="I2371" s="1147" t="s">
        <v>7742</v>
      </c>
      <c r="J2371" s="943" t="s">
        <v>3568</v>
      </c>
      <c r="K2371" s="944"/>
      <c r="L2371" s="1249"/>
      <c r="M2371" s="899"/>
      <c r="N2371" s="1319">
        <v>2</v>
      </c>
      <c r="O2371" s="1249"/>
      <c r="P2371" s="1246">
        <v>1800</v>
      </c>
    </row>
    <row r="2372" spans="1:16" ht="24" x14ac:dyDescent="0.2">
      <c r="A2372" s="916"/>
      <c r="B2372" s="898"/>
      <c r="C2372" s="916"/>
      <c r="D2372" s="898"/>
      <c r="E2372" s="1144"/>
      <c r="F2372" s="943" t="s">
        <v>7743</v>
      </c>
      <c r="G2372" s="1245" t="s">
        <v>7744</v>
      </c>
      <c r="H2372" s="1245" t="s">
        <v>3129</v>
      </c>
      <c r="I2372" s="1147" t="s">
        <v>7739</v>
      </c>
      <c r="J2372" s="943" t="s">
        <v>3568</v>
      </c>
      <c r="K2372" s="944"/>
      <c r="L2372" s="1249"/>
      <c r="M2372" s="899"/>
      <c r="N2372" s="1319">
        <v>3</v>
      </c>
      <c r="O2372" s="1249"/>
      <c r="P2372" s="1246">
        <v>2500</v>
      </c>
    </row>
    <row r="2373" spans="1:16" ht="24" x14ac:dyDescent="0.2">
      <c r="A2373" s="916"/>
      <c r="B2373" s="898"/>
      <c r="C2373" s="916"/>
      <c r="D2373" s="898"/>
      <c r="E2373" s="1144"/>
      <c r="F2373" s="943" t="s">
        <v>7745</v>
      </c>
      <c r="G2373" s="1245" t="s">
        <v>7746</v>
      </c>
      <c r="H2373" s="1245" t="s">
        <v>517</v>
      </c>
      <c r="I2373" s="1147" t="s">
        <v>7739</v>
      </c>
      <c r="J2373" s="943" t="s">
        <v>3568</v>
      </c>
      <c r="K2373" s="944"/>
      <c r="L2373" s="1249"/>
      <c r="M2373" s="899"/>
      <c r="N2373" s="898">
        <v>4</v>
      </c>
      <c r="O2373" s="1249"/>
      <c r="P2373" s="1246">
        <v>2200</v>
      </c>
    </row>
    <row r="2374" spans="1:16" ht="24" x14ac:dyDescent="0.2">
      <c r="A2374" s="916"/>
      <c r="B2374" s="898"/>
      <c r="C2374" s="916"/>
      <c r="D2374" s="898"/>
      <c r="E2374" s="1144"/>
      <c r="F2374" s="943" t="s">
        <v>7747</v>
      </c>
      <c r="G2374" s="1245" t="s">
        <v>7748</v>
      </c>
      <c r="H2374" s="1245" t="s">
        <v>564</v>
      </c>
      <c r="I2374" s="1147" t="s">
        <v>7739</v>
      </c>
      <c r="J2374" s="943" t="s">
        <v>3568</v>
      </c>
      <c r="K2374" s="944"/>
      <c r="L2374" s="1249"/>
      <c r="M2374" s="899"/>
      <c r="N2374" s="1319">
        <v>5</v>
      </c>
      <c r="O2374" s="1249"/>
      <c r="P2374" s="1246">
        <v>3000</v>
      </c>
    </row>
    <row r="2375" spans="1:16" ht="24" x14ac:dyDescent="0.2">
      <c r="A2375" s="916"/>
      <c r="B2375" s="898"/>
      <c r="C2375" s="916"/>
      <c r="D2375" s="898"/>
      <c r="E2375" s="1144"/>
      <c r="F2375" s="943" t="s">
        <v>7749</v>
      </c>
      <c r="G2375" s="1245" t="s">
        <v>7750</v>
      </c>
      <c r="H2375" s="1245" t="s">
        <v>517</v>
      </c>
      <c r="I2375" s="1147" t="s">
        <v>7739</v>
      </c>
      <c r="J2375" s="943" t="s">
        <v>3568</v>
      </c>
      <c r="K2375" s="944"/>
      <c r="L2375" s="1249"/>
      <c r="M2375" s="899"/>
      <c r="N2375" s="898">
        <v>6</v>
      </c>
      <c r="O2375" s="1249"/>
      <c r="P2375" s="1246">
        <v>2500</v>
      </c>
    </row>
    <row r="2376" spans="1:16" ht="24" x14ac:dyDescent="0.2">
      <c r="A2376" s="916"/>
      <c r="B2376" s="898"/>
      <c r="C2376" s="916"/>
      <c r="D2376" s="898"/>
      <c r="E2376" s="1144"/>
      <c r="F2376" s="943" t="s">
        <v>7751</v>
      </c>
      <c r="G2376" s="1245" t="s">
        <v>7752</v>
      </c>
      <c r="H2376" s="1245" t="s">
        <v>7753</v>
      </c>
      <c r="I2376" s="1147" t="s">
        <v>7754</v>
      </c>
      <c r="J2376" s="943"/>
      <c r="K2376" s="944"/>
      <c r="L2376" s="1249"/>
      <c r="M2376" s="899"/>
      <c r="N2376" s="898">
        <v>7</v>
      </c>
      <c r="O2376" s="1249"/>
      <c r="P2376" s="1246">
        <v>1000</v>
      </c>
    </row>
    <row r="2377" spans="1:16" ht="24" x14ac:dyDescent="0.2">
      <c r="A2377" s="916"/>
      <c r="B2377" s="898"/>
      <c r="C2377" s="916"/>
      <c r="D2377" s="898"/>
      <c r="E2377" s="1144"/>
      <c r="F2377" s="943" t="s">
        <v>7755</v>
      </c>
      <c r="G2377" s="1245" t="s">
        <v>7756</v>
      </c>
      <c r="H2377" s="1245" t="s">
        <v>5043</v>
      </c>
      <c r="I2377" s="1147" t="s">
        <v>7742</v>
      </c>
      <c r="J2377" s="943" t="s">
        <v>3568</v>
      </c>
      <c r="K2377" s="944"/>
      <c r="L2377" s="1249"/>
      <c r="M2377" s="899"/>
      <c r="N2377" s="898">
        <v>8</v>
      </c>
      <c r="O2377" s="1249"/>
      <c r="P2377" s="1246">
        <v>1200</v>
      </c>
    </row>
    <row r="2378" spans="1:16" ht="24" x14ac:dyDescent="0.2">
      <c r="A2378" s="916"/>
      <c r="B2378" s="898"/>
      <c r="C2378" s="916"/>
      <c r="D2378" s="898"/>
      <c r="E2378" s="1144"/>
      <c r="F2378" s="943" t="s">
        <v>7757</v>
      </c>
      <c r="G2378" s="1245" t="s">
        <v>7758</v>
      </c>
      <c r="H2378" s="1245" t="s">
        <v>7759</v>
      </c>
      <c r="I2378" s="1147" t="s">
        <v>7739</v>
      </c>
      <c r="J2378" s="943" t="s">
        <v>3568</v>
      </c>
      <c r="K2378" s="944"/>
      <c r="L2378" s="1249"/>
      <c r="M2378" s="899"/>
      <c r="N2378" s="1319">
        <v>9</v>
      </c>
      <c r="O2378" s="1249"/>
      <c r="P2378" s="1246">
        <v>6500</v>
      </c>
    </row>
    <row r="2379" spans="1:16" ht="24" x14ac:dyDescent="0.2">
      <c r="A2379" s="916"/>
      <c r="B2379" s="898"/>
      <c r="C2379" s="916"/>
      <c r="D2379" s="898"/>
      <c r="E2379" s="1144"/>
      <c r="F2379" s="943" t="s">
        <v>7760</v>
      </c>
      <c r="G2379" s="1245" t="s">
        <v>7761</v>
      </c>
      <c r="H2379" s="1245" t="s">
        <v>517</v>
      </c>
      <c r="I2379" s="1147" t="s">
        <v>7739</v>
      </c>
      <c r="J2379" s="943" t="s">
        <v>3568</v>
      </c>
      <c r="K2379" s="944"/>
      <c r="L2379" s="1249"/>
      <c r="M2379" s="899"/>
      <c r="N2379" s="1319">
        <v>10</v>
      </c>
      <c r="O2379" s="1249"/>
      <c r="P2379" s="1246">
        <v>2200</v>
      </c>
    </row>
    <row r="2380" spans="1:16" ht="24" x14ac:dyDescent="0.2">
      <c r="A2380" s="916"/>
      <c r="B2380" s="898"/>
      <c r="C2380" s="916"/>
      <c r="D2380" s="898"/>
      <c r="E2380" s="1144"/>
      <c r="F2380" s="943" t="s">
        <v>7762</v>
      </c>
      <c r="G2380" s="1245" t="s">
        <v>7763</v>
      </c>
      <c r="H2380" s="1245" t="s">
        <v>5043</v>
      </c>
      <c r="I2380" s="1147" t="s">
        <v>7742</v>
      </c>
      <c r="J2380" s="943" t="s">
        <v>3568</v>
      </c>
      <c r="K2380" s="944"/>
      <c r="L2380" s="1249"/>
      <c r="M2380" s="899"/>
      <c r="N2380" s="898">
        <v>12</v>
      </c>
      <c r="O2380" s="1249"/>
      <c r="P2380" s="1246">
        <v>1800</v>
      </c>
    </row>
    <row r="2381" spans="1:16" ht="24" x14ac:dyDescent="0.2">
      <c r="A2381" s="916"/>
      <c r="B2381" s="898"/>
      <c r="C2381" s="916"/>
      <c r="D2381" s="898"/>
      <c r="E2381" s="1144"/>
      <c r="F2381" s="943" t="s">
        <v>7764</v>
      </c>
      <c r="G2381" s="1245" t="s">
        <v>7765</v>
      </c>
      <c r="H2381" s="1245" t="s">
        <v>7766</v>
      </c>
      <c r="I2381" s="1147" t="s">
        <v>7739</v>
      </c>
      <c r="J2381" s="943" t="s">
        <v>3568</v>
      </c>
      <c r="K2381" s="944"/>
      <c r="L2381" s="1249"/>
      <c r="M2381" s="899"/>
      <c r="N2381" s="1319">
        <v>13</v>
      </c>
      <c r="O2381" s="1249"/>
      <c r="P2381" s="1246">
        <v>4778</v>
      </c>
    </row>
    <row r="2382" spans="1:16" ht="24" x14ac:dyDescent="0.2">
      <c r="A2382" s="916"/>
      <c r="B2382" s="898"/>
      <c r="C2382" s="916"/>
      <c r="D2382" s="898"/>
      <c r="E2382" s="1144"/>
      <c r="F2382" s="943" t="s">
        <v>7767</v>
      </c>
      <c r="G2382" s="1245" t="s">
        <v>7768</v>
      </c>
      <c r="H2382" s="1245" t="s">
        <v>7769</v>
      </c>
      <c r="I2382" s="1147" t="s">
        <v>7770</v>
      </c>
      <c r="J2382" s="943" t="s">
        <v>3595</v>
      </c>
      <c r="K2382" s="944"/>
      <c r="L2382" s="1249"/>
      <c r="M2382" s="899"/>
      <c r="N2382" s="1319">
        <v>15</v>
      </c>
      <c r="O2382" s="1249"/>
      <c r="P2382" s="1246">
        <v>3000</v>
      </c>
    </row>
    <row r="2383" spans="1:16" ht="24" x14ac:dyDescent="0.2">
      <c r="A2383" s="916"/>
      <c r="B2383" s="898"/>
      <c r="C2383" s="916"/>
      <c r="D2383" s="898"/>
      <c r="E2383" s="1144"/>
      <c r="F2383" s="943" t="s">
        <v>7771</v>
      </c>
      <c r="G2383" s="1245" t="s">
        <v>7772</v>
      </c>
      <c r="H2383" s="1245" t="s">
        <v>5106</v>
      </c>
      <c r="I2383" s="1147" t="s">
        <v>7739</v>
      </c>
      <c r="J2383" s="943" t="s">
        <v>3568</v>
      </c>
      <c r="K2383" s="944"/>
      <c r="L2383" s="1249"/>
      <c r="M2383" s="899"/>
      <c r="N2383" s="898">
        <v>16</v>
      </c>
      <c r="O2383" s="1249"/>
      <c r="P2383" s="1246">
        <v>2200</v>
      </c>
    </row>
    <row r="2384" spans="1:16" ht="24" x14ac:dyDescent="0.2">
      <c r="A2384" s="916"/>
      <c r="B2384" s="898"/>
      <c r="C2384" s="916"/>
      <c r="D2384" s="898"/>
      <c r="E2384" s="1144"/>
      <c r="F2384" s="943" t="s">
        <v>7773</v>
      </c>
      <c r="G2384" s="1245" t="s">
        <v>7774</v>
      </c>
      <c r="H2384" s="1245" t="s">
        <v>5106</v>
      </c>
      <c r="I2384" s="1147" t="s">
        <v>7739</v>
      </c>
      <c r="J2384" s="943" t="s">
        <v>3568</v>
      </c>
      <c r="K2384" s="944"/>
      <c r="L2384" s="1249"/>
      <c r="M2384" s="899"/>
      <c r="N2384" s="1319">
        <v>17</v>
      </c>
      <c r="O2384" s="1249"/>
      <c r="P2384" s="1246">
        <v>2200</v>
      </c>
    </row>
    <row r="2385" spans="1:16" ht="24" x14ac:dyDescent="0.2">
      <c r="A2385" s="916"/>
      <c r="B2385" s="898"/>
      <c r="C2385" s="916"/>
      <c r="D2385" s="898"/>
      <c r="E2385" s="1144"/>
      <c r="F2385" s="943" t="s">
        <v>7775</v>
      </c>
      <c r="G2385" s="1245" t="s">
        <v>7776</v>
      </c>
      <c r="H2385" s="1245" t="s">
        <v>517</v>
      </c>
      <c r="I2385" s="1147" t="s">
        <v>7739</v>
      </c>
      <c r="J2385" s="943" t="s">
        <v>3568</v>
      </c>
      <c r="K2385" s="944"/>
      <c r="L2385" s="1249"/>
      <c r="M2385" s="899"/>
      <c r="N2385" s="898">
        <v>18</v>
      </c>
      <c r="O2385" s="1249"/>
      <c r="P2385" s="1246">
        <v>2500</v>
      </c>
    </row>
    <row r="2386" spans="1:16" ht="24" x14ac:dyDescent="0.2">
      <c r="A2386" s="916"/>
      <c r="B2386" s="898"/>
      <c r="C2386" s="916"/>
      <c r="D2386" s="898"/>
      <c r="E2386" s="1144"/>
      <c r="F2386" s="943" t="s">
        <v>7777</v>
      </c>
      <c r="G2386" s="1245" t="s">
        <v>7778</v>
      </c>
      <c r="H2386" s="1245" t="s">
        <v>517</v>
      </c>
      <c r="I2386" s="1147" t="s">
        <v>7739</v>
      </c>
      <c r="J2386" s="943" t="s">
        <v>3568</v>
      </c>
      <c r="K2386" s="944"/>
      <c r="L2386" s="1249"/>
      <c r="M2386" s="899"/>
      <c r="N2386" s="898">
        <v>19</v>
      </c>
      <c r="O2386" s="1249"/>
      <c r="P2386" s="1246">
        <v>2200</v>
      </c>
    </row>
    <row r="2387" spans="1:16" ht="24" x14ac:dyDescent="0.2">
      <c r="A2387" s="916"/>
      <c r="B2387" s="898"/>
      <c r="C2387" s="916"/>
      <c r="D2387" s="898"/>
      <c r="E2387" s="1144"/>
      <c r="F2387" s="943" t="s">
        <v>7779</v>
      </c>
      <c r="G2387" s="1245" t="s">
        <v>7780</v>
      </c>
      <c r="H2387" s="1245"/>
      <c r="I2387" s="1147" t="s">
        <v>7781</v>
      </c>
      <c r="J2387" s="943"/>
      <c r="K2387" s="944"/>
      <c r="L2387" s="1249"/>
      <c r="M2387" s="899"/>
      <c r="N2387" s="1319">
        <v>20</v>
      </c>
      <c r="O2387" s="1249"/>
      <c r="P2387" s="1246">
        <v>1500</v>
      </c>
    </row>
    <row r="2388" spans="1:16" ht="24" x14ac:dyDescent="0.2">
      <c r="A2388" s="916"/>
      <c r="B2388" s="898"/>
      <c r="C2388" s="916"/>
      <c r="D2388" s="898"/>
      <c r="E2388" s="1144"/>
      <c r="F2388" s="943" t="s">
        <v>7782</v>
      </c>
      <c r="G2388" s="1245" t="s">
        <v>7783</v>
      </c>
      <c r="H2388" s="1245"/>
      <c r="I2388" s="1147" t="s">
        <v>7781</v>
      </c>
      <c r="J2388" s="943"/>
      <c r="K2388" s="944"/>
      <c r="L2388" s="1249"/>
      <c r="M2388" s="899"/>
      <c r="N2388" s="898">
        <v>21</v>
      </c>
      <c r="O2388" s="1249"/>
      <c r="P2388" s="1246">
        <v>1500</v>
      </c>
    </row>
    <row r="2389" spans="1:16" ht="24" x14ac:dyDescent="0.2">
      <c r="A2389" s="916"/>
      <c r="B2389" s="898"/>
      <c r="C2389" s="916"/>
      <c r="D2389" s="898"/>
      <c r="E2389" s="1144"/>
      <c r="F2389" s="943" t="s">
        <v>7784</v>
      </c>
      <c r="G2389" s="1245" t="s">
        <v>7785</v>
      </c>
      <c r="H2389" s="1245" t="s">
        <v>566</v>
      </c>
      <c r="I2389" s="1147" t="s">
        <v>7739</v>
      </c>
      <c r="J2389" s="943" t="s">
        <v>3568</v>
      </c>
      <c r="K2389" s="944"/>
      <c r="L2389" s="1249"/>
      <c r="M2389" s="899"/>
      <c r="N2389" s="898">
        <v>22</v>
      </c>
      <c r="O2389" s="1249"/>
      <c r="P2389" s="1246">
        <v>3000</v>
      </c>
    </row>
    <row r="2390" spans="1:16" ht="24" x14ac:dyDescent="0.2">
      <c r="A2390" s="916"/>
      <c r="B2390" s="898"/>
      <c r="C2390" s="916"/>
      <c r="D2390" s="898"/>
      <c r="E2390" s="1144"/>
      <c r="F2390" s="943" t="s">
        <v>7786</v>
      </c>
      <c r="G2390" s="1245" t="s">
        <v>7787</v>
      </c>
      <c r="H2390" s="1245" t="s">
        <v>5043</v>
      </c>
      <c r="I2390" s="1147" t="s">
        <v>7742</v>
      </c>
      <c r="J2390" s="943" t="s">
        <v>3568</v>
      </c>
      <c r="K2390" s="944"/>
      <c r="L2390" s="1249"/>
      <c r="M2390" s="899"/>
      <c r="N2390" s="1319">
        <v>430</v>
      </c>
      <c r="O2390" s="1249"/>
      <c r="P2390" s="1246">
        <v>2000</v>
      </c>
    </row>
    <row r="2391" spans="1:16" ht="24" x14ac:dyDescent="0.2">
      <c r="A2391" s="916"/>
      <c r="B2391" s="898"/>
      <c r="C2391" s="916"/>
      <c r="D2391" s="898"/>
      <c r="E2391" s="1144"/>
      <c r="F2391" s="943" t="s">
        <v>7788</v>
      </c>
      <c r="G2391" s="1245" t="s">
        <v>7789</v>
      </c>
      <c r="H2391" s="1245" t="s">
        <v>517</v>
      </c>
      <c r="I2391" s="1147" t="s">
        <v>7739</v>
      </c>
      <c r="J2391" s="943" t="s">
        <v>3568</v>
      </c>
      <c r="K2391" s="944"/>
      <c r="L2391" s="1249"/>
      <c r="M2391" s="899"/>
      <c r="N2391" s="1319">
        <v>24</v>
      </c>
      <c r="O2391" s="1249"/>
      <c r="P2391" s="1246">
        <v>2200</v>
      </c>
    </row>
    <row r="2392" spans="1:16" ht="24" x14ac:dyDescent="0.2">
      <c r="A2392" s="916"/>
      <c r="B2392" s="898"/>
      <c r="C2392" s="916"/>
      <c r="D2392" s="898"/>
      <c r="E2392" s="1144"/>
      <c r="F2392" s="943" t="s">
        <v>7790</v>
      </c>
      <c r="G2392" s="1245" t="s">
        <v>7791</v>
      </c>
      <c r="H2392" s="1245" t="s">
        <v>564</v>
      </c>
      <c r="I2392" s="1147" t="s">
        <v>7739</v>
      </c>
      <c r="J2392" s="943" t="s">
        <v>3568</v>
      </c>
      <c r="K2392" s="944"/>
      <c r="L2392" s="1249"/>
      <c r="M2392" s="899"/>
      <c r="N2392" s="1319">
        <v>129</v>
      </c>
      <c r="O2392" s="1249"/>
      <c r="P2392" s="1246">
        <v>3300</v>
      </c>
    </row>
    <row r="2393" spans="1:16" ht="24" x14ac:dyDescent="0.2">
      <c r="A2393" s="916"/>
      <c r="B2393" s="898"/>
      <c r="C2393" s="916"/>
      <c r="D2393" s="898"/>
      <c r="E2393" s="1144"/>
      <c r="F2393" s="943" t="s">
        <v>7792</v>
      </c>
      <c r="G2393" s="1245" t="s">
        <v>7793</v>
      </c>
      <c r="H2393" s="1245" t="s">
        <v>517</v>
      </c>
      <c r="I2393" s="1147" t="s">
        <v>7739</v>
      </c>
      <c r="J2393" s="943" t="s">
        <v>3568</v>
      </c>
      <c r="K2393" s="944"/>
      <c r="L2393" s="1249"/>
      <c r="M2393" s="899"/>
      <c r="N2393" s="898">
        <v>25</v>
      </c>
      <c r="O2393" s="1249"/>
      <c r="P2393" s="1246">
        <v>3000</v>
      </c>
    </row>
    <row r="2394" spans="1:16" ht="48" x14ac:dyDescent="0.2">
      <c r="A2394" s="916"/>
      <c r="B2394" s="898"/>
      <c r="C2394" s="916"/>
      <c r="D2394" s="898"/>
      <c r="E2394" s="1144"/>
      <c r="F2394" s="943" t="s">
        <v>7794</v>
      </c>
      <c r="G2394" s="1245" t="s">
        <v>7795</v>
      </c>
      <c r="H2394" s="1245" t="s">
        <v>7796</v>
      </c>
      <c r="I2394" s="1147" t="s">
        <v>7742</v>
      </c>
      <c r="J2394" s="943" t="s">
        <v>3568</v>
      </c>
      <c r="K2394" s="944"/>
      <c r="L2394" s="1249"/>
      <c r="M2394" s="899"/>
      <c r="N2394" s="1319">
        <v>26</v>
      </c>
      <c r="O2394" s="1249"/>
      <c r="P2394" s="1246">
        <v>1200</v>
      </c>
    </row>
    <row r="2395" spans="1:16" ht="24" x14ac:dyDescent="0.2">
      <c r="A2395" s="916"/>
      <c r="B2395" s="898"/>
      <c r="C2395" s="916"/>
      <c r="D2395" s="898"/>
      <c r="E2395" s="1144"/>
      <c r="F2395" s="943" t="s">
        <v>7797</v>
      </c>
      <c r="G2395" s="1245" t="s">
        <v>7798</v>
      </c>
      <c r="H2395" s="1245" t="s">
        <v>517</v>
      </c>
      <c r="I2395" s="1147" t="s">
        <v>7739</v>
      </c>
      <c r="J2395" s="943" t="s">
        <v>3568</v>
      </c>
      <c r="K2395" s="944"/>
      <c r="L2395" s="1249"/>
      <c r="M2395" s="899"/>
      <c r="N2395" s="1319">
        <v>460</v>
      </c>
      <c r="O2395" s="1249"/>
      <c r="P2395" s="1246">
        <v>3000</v>
      </c>
    </row>
    <row r="2396" spans="1:16" ht="24" x14ac:dyDescent="0.2">
      <c r="A2396" s="916"/>
      <c r="B2396" s="898"/>
      <c r="C2396" s="916"/>
      <c r="D2396" s="898"/>
      <c r="E2396" s="1144"/>
      <c r="F2396" s="943" t="s">
        <v>7799</v>
      </c>
      <c r="G2396" s="1245" t="s">
        <v>7800</v>
      </c>
      <c r="H2396" s="1245" t="s">
        <v>5043</v>
      </c>
      <c r="I2396" s="1147" t="s">
        <v>7742</v>
      </c>
      <c r="J2396" s="943" t="s">
        <v>3568</v>
      </c>
      <c r="K2396" s="944"/>
      <c r="L2396" s="1249"/>
      <c r="M2396" s="899"/>
      <c r="N2396" s="898">
        <v>27</v>
      </c>
      <c r="O2396" s="1249"/>
      <c r="P2396" s="1246">
        <v>1800</v>
      </c>
    </row>
    <row r="2397" spans="1:16" ht="24" x14ac:dyDescent="0.2">
      <c r="A2397" s="916"/>
      <c r="B2397" s="898"/>
      <c r="C2397" s="916"/>
      <c r="D2397" s="898"/>
      <c r="E2397" s="1144"/>
      <c r="F2397" s="943" t="s">
        <v>7801</v>
      </c>
      <c r="G2397" s="1245" t="s">
        <v>7802</v>
      </c>
      <c r="H2397" s="1245" t="s">
        <v>517</v>
      </c>
      <c r="I2397" s="1147" t="s">
        <v>7739</v>
      </c>
      <c r="J2397" s="943" t="s">
        <v>3568</v>
      </c>
      <c r="K2397" s="944"/>
      <c r="L2397" s="1249"/>
      <c r="M2397" s="899"/>
      <c r="N2397" s="898">
        <v>28</v>
      </c>
      <c r="O2397" s="1249"/>
      <c r="P2397" s="1246">
        <v>3000</v>
      </c>
    </row>
    <row r="2398" spans="1:16" ht="24" x14ac:dyDescent="0.2">
      <c r="A2398" s="916"/>
      <c r="B2398" s="898"/>
      <c r="C2398" s="916"/>
      <c r="D2398" s="898"/>
      <c r="E2398" s="1144"/>
      <c r="F2398" s="943" t="s">
        <v>7803</v>
      </c>
      <c r="G2398" s="1245" t="s">
        <v>7804</v>
      </c>
      <c r="H2398" s="1245" t="s">
        <v>5043</v>
      </c>
      <c r="I2398" s="1147" t="s">
        <v>7742</v>
      </c>
      <c r="J2398" s="943" t="s">
        <v>3568</v>
      </c>
      <c r="K2398" s="944"/>
      <c r="L2398" s="1249"/>
      <c r="M2398" s="899"/>
      <c r="N2398" s="1319">
        <v>431</v>
      </c>
      <c r="O2398" s="1249"/>
      <c r="P2398" s="1246">
        <v>2000</v>
      </c>
    </row>
    <row r="2399" spans="1:16" ht="24" x14ac:dyDescent="0.2">
      <c r="A2399" s="916"/>
      <c r="B2399" s="898"/>
      <c r="C2399" s="916"/>
      <c r="D2399" s="898"/>
      <c r="E2399" s="1144"/>
      <c r="F2399" s="943" t="s">
        <v>7805</v>
      </c>
      <c r="G2399" s="1245" t="s">
        <v>7806</v>
      </c>
      <c r="H2399" s="1245" t="s">
        <v>564</v>
      </c>
      <c r="I2399" s="1147" t="s">
        <v>7739</v>
      </c>
      <c r="J2399" s="943" t="s">
        <v>3568</v>
      </c>
      <c r="K2399" s="944"/>
      <c r="L2399" s="1249"/>
      <c r="M2399" s="899"/>
      <c r="N2399" s="898">
        <v>134</v>
      </c>
      <c r="O2399" s="1249"/>
      <c r="P2399" s="1246">
        <v>2500</v>
      </c>
    </row>
    <row r="2400" spans="1:16" ht="24" x14ac:dyDescent="0.2">
      <c r="A2400" s="916"/>
      <c r="B2400" s="898"/>
      <c r="C2400" s="916"/>
      <c r="D2400" s="898"/>
      <c r="E2400" s="1144"/>
      <c r="F2400" s="943" t="s">
        <v>7807</v>
      </c>
      <c r="G2400" s="1245" t="s">
        <v>7808</v>
      </c>
      <c r="H2400" s="1245" t="s">
        <v>7809</v>
      </c>
      <c r="I2400" s="1147" t="s">
        <v>7739</v>
      </c>
      <c r="J2400" s="943" t="s">
        <v>3568</v>
      </c>
      <c r="K2400" s="944"/>
      <c r="L2400" s="1249"/>
      <c r="M2400" s="899"/>
      <c r="N2400" s="898">
        <v>29</v>
      </c>
      <c r="O2400" s="1249"/>
      <c r="P2400" s="1246">
        <v>3178</v>
      </c>
    </row>
    <row r="2401" spans="1:16" ht="24" x14ac:dyDescent="0.2">
      <c r="A2401" s="916"/>
      <c r="B2401" s="898"/>
      <c r="C2401" s="916"/>
      <c r="D2401" s="898"/>
      <c r="E2401" s="1144"/>
      <c r="F2401" s="943" t="s">
        <v>7810</v>
      </c>
      <c r="G2401" s="1245" t="s">
        <v>7811</v>
      </c>
      <c r="H2401" s="1245" t="s">
        <v>5106</v>
      </c>
      <c r="I2401" s="1147" t="s">
        <v>7739</v>
      </c>
      <c r="J2401" s="943" t="s">
        <v>3568</v>
      </c>
      <c r="K2401" s="944"/>
      <c r="L2401" s="1249"/>
      <c r="M2401" s="899"/>
      <c r="N2401" s="1319">
        <v>30</v>
      </c>
      <c r="O2401" s="1249"/>
      <c r="P2401" s="1246">
        <v>2200</v>
      </c>
    </row>
    <row r="2402" spans="1:16" ht="24" x14ac:dyDescent="0.2">
      <c r="A2402" s="916"/>
      <c r="B2402" s="898"/>
      <c r="C2402" s="916"/>
      <c r="D2402" s="898"/>
      <c r="E2402" s="1144"/>
      <c r="F2402" s="943" t="s">
        <v>7812</v>
      </c>
      <c r="G2402" s="1245" t="s">
        <v>7813</v>
      </c>
      <c r="H2402" s="1245" t="s">
        <v>5043</v>
      </c>
      <c r="I2402" s="1147" t="s">
        <v>7742</v>
      </c>
      <c r="J2402" s="943" t="s">
        <v>3568</v>
      </c>
      <c r="K2402" s="944"/>
      <c r="L2402" s="1249"/>
      <c r="M2402" s="899"/>
      <c r="N2402" s="1319">
        <v>439</v>
      </c>
      <c r="O2402" s="1249"/>
      <c r="P2402" s="1246">
        <v>2000</v>
      </c>
    </row>
    <row r="2403" spans="1:16" ht="24" x14ac:dyDescent="0.2">
      <c r="A2403" s="916"/>
      <c r="B2403" s="898"/>
      <c r="C2403" s="916"/>
      <c r="D2403" s="898"/>
      <c r="E2403" s="1144"/>
      <c r="F2403" s="943" t="s">
        <v>7814</v>
      </c>
      <c r="G2403" s="1245" t="s">
        <v>7815</v>
      </c>
      <c r="H2403" s="1245" t="s">
        <v>5043</v>
      </c>
      <c r="I2403" s="1147" t="s">
        <v>7742</v>
      </c>
      <c r="J2403" s="943" t="s">
        <v>3568</v>
      </c>
      <c r="K2403" s="944"/>
      <c r="L2403" s="1249"/>
      <c r="M2403" s="899"/>
      <c r="N2403" s="898">
        <v>31</v>
      </c>
      <c r="O2403" s="1249"/>
      <c r="P2403" s="1246">
        <v>1800</v>
      </c>
    </row>
    <row r="2404" spans="1:16" ht="24" x14ac:dyDescent="0.2">
      <c r="A2404" s="916"/>
      <c r="B2404" s="898"/>
      <c r="C2404" s="916"/>
      <c r="D2404" s="898"/>
      <c r="E2404" s="1144"/>
      <c r="F2404" s="943" t="s">
        <v>7816</v>
      </c>
      <c r="G2404" s="1245" t="s">
        <v>7817</v>
      </c>
      <c r="H2404" s="1245"/>
      <c r="I2404" s="1147" t="s">
        <v>7818</v>
      </c>
      <c r="J2404" s="943"/>
      <c r="K2404" s="944"/>
      <c r="L2404" s="1249"/>
      <c r="M2404" s="899"/>
      <c r="N2404" s="1319">
        <v>33</v>
      </c>
      <c r="O2404" s="1249"/>
      <c r="P2404" s="1246">
        <v>1000</v>
      </c>
    </row>
    <row r="2405" spans="1:16" ht="24" x14ac:dyDescent="0.2">
      <c r="A2405" s="916"/>
      <c r="B2405" s="898"/>
      <c r="C2405" s="916"/>
      <c r="D2405" s="898"/>
      <c r="E2405" s="1144"/>
      <c r="F2405" s="943" t="s">
        <v>7819</v>
      </c>
      <c r="G2405" s="1245" t="s">
        <v>7820</v>
      </c>
      <c r="H2405" s="1245"/>
      <c r="I2405" s="1147" t="s">
        <v>7781</v>
      </c>
      <c r="J2405" s="943"/>
      <c r="K2405" s="944"/>
      <c r="L2405" s="1249"/>
      <c r="M2405" s="899"/>
      <c r="N2405" s="898">
        <v>32</v>
      </c>
      <c r="O2405" s="1249"/>
      <c r="P2405" s="1246">
        <v>1500</v>
      </c>
    </row>
    <row r="2406" spans="1:16" ht="24" x14ac:dyDescent="0.2">
      <c r="A2406" s="916"/>
      <c r="B2406" s="898"/>
      <c r="C2406" s="916"/>
      <c r="D2406" s="898"/>
      <c r="E2406" s="1144"/>
      <c r="F2406" s="943" t="s">
        <v>7821</v>
      </c>
      <c r="G2406" s="1245" t="s">
        <v>7822</v>
      </c>
      <c r="H2406" s="1245" t="s">
        <v>517</v>
      </c>
      <c r="I2406" s="1147" t="s">
        <v>7739</v>
      </c>
      <c r="J2406" s="943" t="s">
        <v>3568</v>
      </c>
      <c r="K2406" s="944"/>
      <c r="L2406" s="1249"/>
      <c r="M2406" s="899"/>
      <c r="N2406" s="1319">
        <v>35</v>
      </c>
      <c r="O2406" s="1249"/>
      <c r="P2406" s="1246">
        <v>2200</v>
      </c>
    </row>
    <row r="2407" spans="1:16" ht="24" x14ac:dyDescent="0.2">
      <c r="A2407" s="916"/>
      <c r="B2407" s="898"/>
      <c r="C2407" s="916"/>
      <c r="D2407" s="898"/>
      <c r="E2407" s="1144"/>
      <c r="F2407" s="943" t="s">
        <v>7823</v>
      </c>
      <c r="G2407" s="1245" t="s">
        <v>7824</v>
      </c>
      <c r="H2407" s="1245" t="s">
        <v>3134</v>
      </c>
      <c r="I2407" s="1147" t="s">
        <v>7742</v>
      </c>
      <c r="J2407" s="943" t="s">
        <v>3568</v>
      </c>
      <c r="K2407" s="944"/>
      <c r="L2407" s="1249"/>
      <c r="M2407" s="899"/>
      <c r="N2407" s="898">
        <v>36</v>
      </c>
      <c r="O2407" s="1249"/>
      <c r="P2407" s="1246">
        <v>1200</v>
      </c>
    </row>
    <row r="2408" spans="1:16" ht="24" x14ac:dyDescent="0.2">
      <c r="A2408" s="916"/>
      <c r="B2408" s="898"/>
      <c r="C2408" s="916"/>
      <c r="D2408" s="898"/>
      <c r="E2408" s="1144"/>
      <c r="F2408" s="943" t="s">
        <v>7825</v>
      </c>
      <c r="G2408" s="1245" t="s">
        <v>7826</v>
      </c>
      <c r="H2408" s="1245" t="s">
        <v>5043</v>
      </c>
      <c r="I2408" s="1147" t="s">
        <v>7742</v>
      </c>
      <c r="J2408" s="943" t="s">
        <v>3568</v>
      </c>
      <c r="K2408" s="944"/>
      <c r="L2408" s="1249"/>
      <c r="M2408" s="899"/>
      <c r="N2408" s="898">
        <v>433</v>
      </c>
      <c r="O2408" s="1249"/>
      <c r="P2408" s="1246">
        <v>2000</v>
      </c>
    </row>
    <row r="2409" spans="1:16" ht="24" x14ac:dyDescent="0.2">
      <c r="A2409" s="916"/>
      <c r="B2409" s="898"/>
      <c r="C2409" s="916"/>
      <c r="D2409" s="898"/>
      <c r="E2409" s="1144"/>
      <c r="F2409" s="943" t="s">
        <v>7827</v>
      </c>
      <c r="G2409" s="1245" t="s">
        <v>7828</v>
      </c>
      <c r="H2409" s="1245" t="s">
        <v>517</v>
      </c>
      <c r="I2409" s="1147" t="s">
        <v>7739</v>
      </c>
      <c r="J2409" s="943" t="s">
        <v>3568</v>
      </c>
      <c r="K2409" s="944"/>
      <c r="L2409" s="1249"/>
      <c r="M2409" s="899"/>
      <c r="N2409" s="898">
        <v>37</v>
      </c>
      <c r="O2409" s="1249"/>
      <c r="P2409" s="1246">
        <v>2500</v>
      </c>
    </row>
    <row r="2410" spans="1:16" ht="24" x14ac:dyDescent="0.2">
      <c r="A2410" s="916"/>
      <c r="B2410" s="898"/>
      <c r="C2410" s="916"/>
      <c r="D2410" s="898"/>
      <c r="E2410" s="1144"/>
      <c r="F2410" s="943" t="s">
        <v>7829</v>
      </c>
      <c r="G2410" s="1245" t="s">
        <v>7830</v>
      </c>
      <c r="H2410" s="1245" t="s">
        <v>7831</v>
      </c>
      <c r="I2410" s="1147" t="s">
        <v>7739</v>
      </c>
      <c r="J2410" s="943" t="s">
        <v>3568</v>
      </c>
      <c r="K2410" s="944"/>
      <c r="L2410" s="1249"/>
      <c r="M2410" s="899"/>
      <c r="N2410" s="898">
        <v>139</v>
      </c>
      <c r="O2410" s="1249"/>
      <c r="P2410" s="1246">
        <v>10000</v>
      </c>
    </row>
    <row r="2411" spans="1:16" ht="24" x14ac:dyDescent="0.2">
      <c r="A2411" s="916"/>
      <c r="B2411" s="898"/>
      <c r="C2411" s="916"/>
      <c r="D2411" s="898"/>
      <c r="E2411" s="1144"/>
      <c r="F2411" s="943" t="s">
        <v>7832</v>
      </c>
      <c r="G2411" s="1245" t="s">
        <v>7833</v>
      </c>
      <c r="H2411" s="1245" t="s">
        <v>566</v>
      </c>
      <c r="I2411" s="1147" t="s">
        <v>7739</v>
      </c>
      <c r="J2411" s="943" t="s">
        <v>3568</v>
      </c>
      <c r="K2411" s="944"/>
      <c r="L2411" s="1249"/>
      <c r="M2411" s="899"/>
      <c r="N2411" s="1319">
        <v>39</v>
      </c>
      <c r="O2411" s="1249"/>
      <c r="P2411" s="1246">
        <v>3000</v>
      </c>
    </row>
    <row r="2412" spans="1:16" ht="48" x14ac:dyDescent="0.2">
      <c r="A2412" s="916"/>
      <c r="B2412" s="898"/>
      <c r="C2412" s="916"/>
      <c r="D2412" s="898"/>
      <c r="E2412" s="1144"/>
      <c r="F2412" s="943" t="s">
        <v>7834</v>
      </c>
      <c r="G2412" s="1245" t="s">
        <v>7835</v>
      </c>
      <c r="H2412" s="1245" t="s">
        <v>7796</v>
      </c>
      <c r="I2412" s="1147" t="s">
        <v>7781</v>
      </c>
      <c r="J2412" s="943" t="s">
        <v>4952</v>
      </c>
      <c r="K2412" s="944"/>
      <c r="L2412" s="1249"/>
      <c r="M2412" s="899"/>
      <c r="N2412" s="1319">
        <v>40</v>
      </c>
      <c r="O2412" s="1249"/>
      <c r="P2412" s="1246">
        <v>1500</v>
      </c>
    </row>
    <row r="2413" spans="1:16" ht="24" x14ac:dyDescent="0.2">
      <c r="A2413" s="916"/>
      <c r="B2413" s="898"/>
      <c r="C2413" s="916"/>
      <c r="D2413" s="898"/>
      <c r="E2413" s="1144"/>
      <c r="F2413" s="943" t="s">
        <v>7836</v>
      </c>
      <c r="G2413" s="1245" t="s">
        <v>7837</v>
      </c>
      <c r="H2413" s="1245" t="s">
        <v>517</v>
      </c>
      <c r="I2413" s="1147" t="s">
        <v>7739</v>
      </c>
      <c r="J2413" s="943" t="s">
        <v>3568</v>
      </c>
      <c r="K2413" s="944"/>
      <c r="L2413" s="1249"/>
      <c r="M2413" s="899"/>
      <c r="N2413" s="1319">
        <v>42</v>
      </c>
      <c r="O2413" s="1249"/>
      <c r="P2413" s="1246">
        <v>3000</v>
      </c>
    </row>
    <row r="2414" spans="1:16" ht="24" x14ac:dyDescent="0.2">
      <c r="A2414" s="916"/>
      <c r="B2414" s="898"/>
      <c r="C2414" s="916"/>
      <c r="D2414" s="898"/>
      <c r="E2414" s="1144"/>
      <c r="F2414" s="943" t="s">
        <v>7838</v>
      </c>
      <c r="G2414" s="1245" t="s">
        <v>7839</v>
      </c>
      <c r="H2414" s="1245" t="s">
        <v>7753</v>
      </c>
      <c r="I2414" s="1147" t="s">
        <v>7781</v>
      </c>
      <c r="J2414" s="943"/>
      <c r="K2414" s="944"/>
      <c r="L2414" s="1249"/>
      <c r="M2414" s="899"/>
      <c r="N2414" s="1319">
        <v>43</v>
      </c>
      <c r="O2414" s="1249"/>
      <c r="P2414" s="1246">
        <v>1500</v>
      </c>
    </row>
    <row r="2415" spans="1:16" ht="24" x14ac:dyDescent="0.2">
      <c r="A2415" s="916"/>
      <c r="B2415" s="898"/>
      <c r="C2415" s="916"/>
      <c r="D2415" s="898"/>
      <c r="E2415" s="1144"/>
      <c r="F2415" s="943" t="s">
        <v>7840</v>
      </c>
      <c r="G2415" s="1245" t="s">
        <v>7841</v>
      </c>
      <c r="H2415" s="1245" t="s">
        <v>7842</v>
      </c>
      <c r="I2415" s="1147" t="s">
        <v>7739</v>
      </c>
      <c r="J2415" s="943" t="s">
        <v>3568</v>
      </c>
      <c r="K2415" s="944"/>
      <c r="L2415" s="1249"/>
      <c r="M2415" s="899"/>
      <c r="N2415" s="1319">
        <v>44</v>
      </c>
      <c r="O2415" s="1249"/>
      <c r="P2415" s="1246">
        <v>3000</v>
      </c>
    </row>
    <row r="2416" spans="1:16" ht="24" x14ac:dyDescent="0.2">
      <c r="A2416" s="916"/>
      <c r="B2416" s="898"/>
      <c r="C2416" s="916"/>
      <c r="D2416" s="898"/>
      <c r="E2416" s="1144"/>
      <c r="F2416" s="943" t="s">
        <v>7843</v>
      </c>
      <c r="G2416" s="1245" t="s">
        <v>7844</v>
      </c>
      <c r="H2416" s="1245" t="s">
        <v>3134</v>
      </c>
      <c r="I2416" s="1147" t="s">
        <v>7742</v>
      </c>
      <c r="J2416" s="943" t="s">
        <v>3568</v>
      </c>
      <c r="K2416" s="944"/>
      <c r="L2416" s="1249"/>
      <c r="M2416" s="899"/>
      <c r="N2416" s="1319">
        <v>47</v>
      </c>
      <c r="O2416" s="1249"/>
      <c r="P2416" s="1246">
        <v>1039</v>
      </c>
    </row>
    <row r="2417" spans="1:16" ht="24" x14ac:dyDescent="0.2">
      <c r="A2417" s="916"/>
      <c r="B2417" s="898"/>
      <c r="C2417" s="916"/>
      <c r="D2417" s="898"/>
      <c r="E2417" s="1144"/>
      <c r="F2417" s="943" t="s">
        <v>7845</v>
      </c>
      <c r="G2417" s="1245" t="s">
        <v>7846</v>
      </c>
      <c r="H2417" s="1245" t="s">
        <v>7759</v>
      </c>
      <c r="I2417" s="1147" t="s">
        <v>7739</v>
      </c>
      <c r="J2417" s="943" t="s">
        <v>3568</v>
      </c>
      <c r="K2417" s="944"/>
      <c r="L2417" s="1249"/>
      <c r="M2417" s="899"/>
      <c r="N2417" s="1319">
        <v>46</v>
      </c>
      <c r="O2417" s="1249"/>
      <c r="P2417" s="1246">
        <v>10000</v>
      </c>
    </row>
    <row r="2418" spans="1:16" ht="24" x14ac:dyDescent="0.2">
      <c r="A2418" s="916"/>
      <c r="B2418" s="898"/>
      <c r="C2418" s="916"/>
      <c r="D2418" s="898"/>
      <c r="E2418" s="1144"/>
      <c r="F2418" s="943" t="s">
        <v>7847</v>
      </c>
      <c r="G2418" s="1245" t="s">
        <v>7848</v>
      </c>
      <c r="H2418" s="1245" t="s">
        <v>564</v>
      </c>
      <c r="I2418" s="1147" t="s">
        <v>7739</v>
      </c>
      <c r="J2418" s="943" t="s">
        <v>3568</v>
      </c>
      <c r="K2418" s="944"/>
      <c r="L2418" s="1249"/>
      <c r="M2418" s="899"/>
      <c r="N2418" s="1319">
        <v>48</v>
      </c>
      <c r="O2418" s="1249"/>
      <c r="P2418" s="1246">
        <v>2500</v>
      </c>
    </row>
    <row r="2419" spans="1:16" ht="24" x14ac:dyDescent="0.2">
      <c r="A2419" s="916"/>
      <c r="B2419" s="898"/>
      <c r="C2419" s="916"/>
      <c r="D2419" s="898"/>
      <c r="E2419" s="1144"/>
      <c r="F2419" s="943" t="s">
        <v>7849</v>
      </c>
      <c r="G2419" s="1245" t="s">
        <v>7850</v>
      </c>
      <c r="H2419" s="1245" t="s">
        <v>564</v>
      </c>
      <c r="I2419" s="1147" t="s">
        <v>7739</v>
      </c>
      <c r="J2419" s="943" t="s">
        <v>3568</v>
      </c>
      <c r="K2419" s="944"/>
      <c r="L2419" s="1249"/>
      <c r="M2419" s="899"/>
      <c r="N2419" s="1319">
        <v>49</v>
      </c>
      <c r="O2419" s="1249"/>
      <c r="P2419" s="1246">
        <v>3000</v>
      </c>
    </row>
    <row r="2420" spans="1:16" ht="24" x14ac:dyDescent="0.2">
      <c r="A2420" s="916"/>
      <c r="B2420" s="898"/>
      <c r="C2420" s="916"/>
      <c r="D2420" s="898"/>
      <c r="E2420" s="1144"/>
      <c r="F2420" s="943" t="s">
        <v>7851</v>
      </c>
      <c r="G2420" s="1245" t="s">
        <v>7852</v>
      </c>
      <c r="H2420" s="1245" t="s">
        <v>561</v>
      </c>
      <c r="I2420" s="1147" t="s">
        <v>7739</v>
      </c>
      <c r="J2420" s="943" t="s">
        <v>3568</v>
      </c>
      <c r="K2420" s="944"/>
      <c r="L2420" s="1249"/>
      <c r="M2420" s="899"/>
      <c r="N2420" s="898">
        <v>50</v>
      </c>
      <c r="O2420" s="1249"/>
      <c r="P2420" s="1246">
        <v>2700</v>
      </c>
    </row>
    <row r="2421" spans="1:16" ht="24" x14ac:dyDescent="0.2">
      <c r="A2421" s="916"/>
      <c r="B2421" s="898"/>
      <c r="C2421" s="916"/>
      <c r="D2421" s="898"/>
      <c r="E2421" s="1144"/>
      <c r="F2421" s="943" t="s">
        <v>7853</v>
      </c>
      <c r="G2421" s="1245" t="s">
        <v>7854</v>
      </c>
      <c r="H2421" s="1245" t="s">
        <v>5106</v>
      </c>
      <c r="I2421" s="1147" t="s">
        <v>7739</v>
      </c>
      <c r="J2421" s="943" t="s">
        <v>3568</v>
      </c>
      <c r="K2421" s="944"/>
      <c r="L2421" s="1249"/>
      <c r="M2421" s="899"/>
      <c r="N2421" s="1319">
        <v>51</v>
      </c>
      <c r="O2421" s="1249"/>
      <c r="P2421" s="1246">
        <v>2500</v>
      </c>
    </row>
    <row r="2422" spans="1:16" ht="24" x14ac:dyDescent="0.2">
      <c r="A2422" s="916"/>
      <c r="B2422" s="898"/>
      <c r="C2422" s="916"/>
      <c r="D2422" s="898"/>
      <c r="E2422" s="1144"/>
      <c r="F2422" s="943" t="s">
        <v>7855</v>
      </c>
      <c r="G2422" s="1245" t="s">
        <v>7856</v>
      </c>
      <c r="H2422" s="1245" t="s">
        <v>3129</v>
      </c>
      <c r="I2422" s="1147" t="s">
        <v>7739</v>
      </c>
      <c r="J2422" s="943" t="s">
        <v>3568</v>
      </c>
      <c r="K2422" s="944"/>
      <c r="L2422" s="1249"/>
      <c r="M2422" s="899"/>
      <c r="N2422" s="898">
        <v>52</v>
      </c>
      <c r="O2422" s="1249"/>
      <c r="P2422" s="1246">
        <v>4778</v>
      </c>
    </row>
    <row r="2423" spans="1:16" ht="24" x14ac:dyDescent="0.2">
      <c r="A2423" s="916"/>
      <c r="B2423" s="898"/>
      <c r="C2423" s="916"/>
      <c r="D2423" s="898"/>
      <c r="E2423" s="1144"/>
      <c r="F2423" s="943" t="s">
        <v>7857</v>
      </c>
      <c r="G2423" s="1245" t="s">
        <v>7858</v>
      </c>
      <c r="H2423" s="1245" t="s">
        <v>5043</v>
      </c>
      <c r="I2423" s="1147" t="s">
        <v>7742</v>
      </c>
      <c r="J2423" s="943" t="s">
        <v>3568</v>
      </c>
      <c r="K2423" s="944"/>
      <c r="L2423" s="1249"/>
      <c r="M2423" s="899"/>
      <c r="N2423" s="898">
        <v>53</v>
      </c>
      <c r="O2423" s="1249"/>
      <c r="P2423" s="1246">
        <v>1800</v>
      </c>
    </row>
    <row r="2424" spans="1:16" ht="24" x14ac:dyDescent="0.2">
      <c r="A2424" s="916"/>
      <c r="B2424" s="898"/>
      <c r="C2424" s="916"/>
      <c r="D2424" s="898"/>
      <c r="E2424" s="1144"/>
      <c r="F2424" s="943" t="s">
        <v>7859</v>
      </c>
      <c r="G2424" s="1245" t="s">
        <v>7860</v>
      </c>
      <c r="H2424" s="1245" t="s">
        <v>517</v>
      </c>
      <c r="I2424" s="1147" t="s">
        <v>7739</v>
      </c>
      <c r="J2424" s="943" t="s">
        <v>3568</v>
      </c>
      <c r="K2424" s="944"/>
      <c r="L2424" s="1249"/>
      <c r="M2424" s="899"/>
      <c r="N2424" s="1319">
        <v>54</v>
      </c>
      <c r="O2424" s="1249"/>
      <c r="P2424" s="1246">
        <v>2500</v>
      </c>
    </row>
    <row r="2425" spans="1:16" ht="24" x14ac:dyDescent="0.2">
      <c r="A2425" s="916"/>
      <c r="B2425" s="898"/>
      <c r="C2425" s="916"/>
      <c r="D2425" s="898"/>
      <c r="E2425" s="1144"/>
      <c r="F2425" s="943" t="s">
        <v>7861</v>
      </c>
      <c r="G2425" s="1245" t="s">
        <v>7862</v>
      </c>
      <c r="H2425" s="1245" t="s">
        <v>5106</v>
      </c>
      <c r="I2425" s="1147" t="s">
        <v>7739</v>
      </c>
      <c r="J2425" s="943" t="s">
        <v>3568</v>
      </c>
      <c r="K2425" s="944"/>
      <c r="L2425" s="1249"/>
      <c r="M2425" s="899"/>
      <c r="N2425" s="898">
        <v>55</v>
      </c>
      <c r="O2425" s="1249"/>
      <c r="P2425" s="1246">
        <v>2200</v>
      </c>
    </row>
    <row r="2426" spans="1:16" ht="24" x14ac:dyDescent="0.2">
      <c r="A2426" s="916"/>
      <c r="B2426" s="898"/>
      <c r="C2426" s="916"/>
      <c r="D2426" s="898"/>
      <c r="E2426" s="1144"/>
      <c r="F2426" s="943" t="s">
        <v>7863</v>
      </c>
      <c r="G2426" s="1245" t="s">
        <v>7864</v>
      </c>
      <c r="H2426" s="1245" t="s">
        <v>5043</v>
      </c>
      <c r="I2426" s="1147" t="s">
        <v>7742</v>
      </c>
      <c r="J2426" s="943" t="s">
        <v>3568</v>
      </c>
      <c r="K2426" s="944"/>
      <c r="L2426" s="1249"/>
      <c r="M2426" s="899"/>
      <c r="N2426" s="1319">
        <v>56</v>
      </c>
      <c r="O2426" s="1249"/>
      <c r="P2426" s="1246">
        <v>1800</v>
      </c>
    </row>
    <row r="2427" spans="1:16" ht="24" x14ac:dyDescent="0.2">
      <c r="A2427" s="916"/>
      <c r="B2427" s="898"/>
      <c r="C2427" s="916"/>
      <c r="D2427" s="898"/>
      <c r="E2427" s="1144"/>
      <c r="F2427" s="943" t="s">
        <v>7865</v>
      </c>
      <c r="G2427" s="1245" t="s">
        <v>7866</v>
      </c>
      <c r="H2427" s="1245" t="s">
        <v>3129</v>
      </c>
      <c r="I2427" s="1147" t="s">
        <v>7739</v>
      </c>
      <c r="J2427" s="943" t="s">
        <v>3568</v>
      </c>
      <c r="K2427" s="944"/>
      <c r="L2427" s="1249"/>
      <c r="M2427" s="899"/>
      <c r="N2427" s="898">
        <v>57</v>
      </c>
      <c r="O2427" s="1249"/>
      <c r="P2427" s="1246">
        <v>2500</v>
      </c>
    </row>
    <row r="2428" spans="1:16" ht="24" x14ac:dyDescent="0.2">
      <c r="A2428" s="916"/>
      <c r="B2428" s="898"/>
      <c r="C2428" s="916"/>
      <c r="D2428" s="898"/>
      <c r="E2428" s="1144"/>
      <c r="F2428" s="943" t="s">
        <v>7867</v>
      </c>
      <c r="G2428" s="1245" t="s">
        <v>7868</v>
      </c>
      <c r="H2428" s="1245" t="s">
        <v>5106</v>
      </c>
      <c r="I2428" s="1147" t="s">
        <v>7739</v>
      </c>
      <c r="J2428" s="943" t="s">
        <v>3568</v>
      </c>
      <c r="K2428" s="944"/>
      <c r="L2428" s="1249"/>
      <c r="M2428" s="899"/>
      <c r="N2428" s="898">
        <v>58</v>
      </c>
      <c r="O2428" s="1249"/>
      <c r="P2428" s="1246">
        <v>2200</v>
      </c>
    </row>
    <row r="2429" spans="1:16" ht="24" x14ac:dyDescent="0.2">
      <c r="A2429" s="916"/>
      <c r="B2429" s="898"/>
      <c r="C2429" s="916"/>
      <c r="D2429" s="898"/>
      <c r="E2429" s="1144"/>
      <c r="F2429" s="943" t="s">
        <v>7869</v>
      </c>
      <c r="G2429" s="1245" t="s">
        <v>7870</v>
      </c>
      <c r="H2429" s="1245" t="s">
        <v>517</v>
      </c>
      <c r="I2429" s="1147" t="s">
        <v>7739</v>
      </c>
      <c r="J2429" s="943" t="s">
        <v>3568</v>
      </c>
      <c r="K2429" s="944"/>
      <c r="L2429" s="1249"/>
      <c r="M2429" s="899"/>
      <c r="N2429" s="1319">
        <v>59</v>
      </c>
      <c r="O2429" s="1249"/>
      <c r="P2429" s="1246">
        <v>3000</v>
      </c>
    </row>
    <row r="2430" spans="1:16" ht="24" x14ac:dyDescent="0.2">
      <c r="A2430" s="916"/>
      <c r="B2430" s="898"/>
      <c r="C2430" s="916"/>
      <c r="D2430" s="898"/>
      <c r="E2430" s="1144"/>
      <c r="F2430" s="943" t="s">
        <v>7871</v>
      </c>
      <c r="G2430" s="1245" t="s">
        <v>7872</v>
      </c>
      <c r="H2430" s="1245" t="s">
        <v>7842</v>
      </c>
      <c r="I2430" s="1147" t="s">
        <v>7739</v>
      </c>
      <c r="J2430" s="943" t="s">
        <v>3568</v>
      </c>
      <c r="K2430" s="944"/>
      <c r="L2430" s="1249"/>
      <c r="M2430" s="899"/>
      <c r="N2430" s="898">
        <v>60</v>
      </c>
      <c r="O2430" s="1249"/>
      <c r="P2430" s="1246">
        <v>3000</v>
      </c>
    </row>
    <row r="2431" spans="1:16" ht="24" x14ac:dyDescent="0.2">
      <c r="A2431" s="916"/>
      <c r="B2431" s="898"/>
      <c r="C2431" s="916"/>
      <c r="D2431" s="898"/>
      <c r="E2431" s="1144"/>
      <c r="F2431" s="943" t="s">
        <v>7873</v>
      </c>
      <c r="G2431" s="1245" t="s">
        <v>7874</v>
      </c>
      <c r="H2431" s="1245" t="s">
        <v>5106</v>
      </c>
      <c r="I2431" s="1147" t="s">
        <v>7739</v>
      </c>
      <c r="J2431" s="943" t="s">
        <v>3568</v>
      </c>
      <c r="K2431" s="944"/>
      <c r="L2431" s="1249"/>
      <c r="M2431" s="899"/>
      <c r="N2431" s="1319">
        <v>151</v>
      </c>
      <c r="O2431" s="1249"/>
      <c r="P2431" s="1246">
        <v>2700</v>
      </c>
    </row>
    <row r="2432" spans="1:16" ht="24" x14ac:dyDescent="0.2">
      <c r="A2432" s="916"/>
      <c r="B2432" s="898"/>
      <c r="C2432" s="916"/>
      <c r="D2432" s="898"/>
      <c r="E2432" s="1144"/>
      <c r="F2432" s="943" t="s">
        <v>7875</v>
      </c>
      <c r="G2432" s="1245" t="s">
        <v>7876</v>
      </c>
      <c r="H2432" s="1245" t="s">
        <v>3129</v>
      </c>
      <c r="I2432" s="1147" t="s">
        <v>7739</v>
      </c>
      <c r="J2432" s="943" t="s">
        <v>3568</v>
      </c>
      <c r="K2432" s="944"/>
      <c r="L2432" s="1249"/>
      <c r="M2432" s="899"/>
      <c r="N2432" s="1319">
        <v>61</v>
      </c>
      <c r="O2432" s="1249"/>
      <c r="P2432" s="1246">
        <v>2500</v>
      </c>
    </row>
    <row r="2433" spans="1:16" ht="24" x14ac:dyDescent="0.2">
      <c r="A2433" s="916"/>
      <c r="B2433" s="898"/>
      <c r="C2433" s="916"/>
      <c r="D2433" s="898"/>
      <c r="E2433" s="1144"/>
      <c r="F2433" s="943" t="s">
        <v>7877</v>
      </c>
      <c r="G2433" s="1245" t="s">
        <v>7878</v>
      </c>
      <c r="H2433" s="1245"/>
      <c r="I2433" s="1147"/>
      <c r="J2433" s="943"/>
      <c r="K2433" s="944"/>
      <c r="L2433" s="1249"/>
      <c r="M2433" s="899"/>
      <c r="N2433" s="1319"/>
      <c r="O2433" s="1249"/>
      <c r="P2433" s="1246">
        <v>1300</v>
      </c>
    </row>
    <row r="2434" spans="1:16" ht="24" x14ac:dyDescent="0.2">
      <c r="A2434" s="916"/>
      <c r="B2434" s="898"/>
      <c r="C2434" s="916"/>
      <c r="D2434" s="898"/>
      <c r="E2434" s="1144"/>
      <c r="F2434" s="943" t="s">
        <v>7877</v>
      </c>
      <c r="G2434" s="1245" t="s">
        <v>7878</v>
      </c>
      <c r="H2434" s="1245"/>
      <c r="I2434" s="1147"/>
      <c r="J2434" s="943"/>
      <c r="K2434" s="944"/>
      <c r="L2434" s="1249"/>
      <c r="M2434" s="899"/>
      <c r="N2434" s="898"/>
      <c r="O2434" s="1249"/>
      <c r="P2434" s="1246">
        <v>2700</v>
      </c>
    </row>
    <row r="2435" spans="1:16" ht="24" x14ac:dyDescent="0.2">
      <c r="A2435" s="916"/>
      <c r="B2435" s="898"/>
      <c r="C2435" s="916"/>
      <c r="D2435" s="898"/>
      <c r="E2435" s="1144"/>
      <c r="F2435" s="943" t="s">
        <v>7877</v>
      </c>
      <c r="G2435" s="1245" t="s">
        <v>7878</v>
      </c>
      <c r="H2435" s="1245"/>
      <c r="I2435" s="1147"/>
      <c r="J2435" s="943"/>
      <c r="K2435" s="944"/>
      <c r="L2435" s="1249"/>
      <c r="M2435" s="899"/>
      <c r="N2435" s="898"/>
      <c r="O2435" s="1249"/>
      <c r="P2435" s="1246">
        <v>2300</v>
      </c>
    </row>
    <row r="2436" spans="1:16" ht="24" x14ac:dyDescent="0.2">
      <c r="A2436" s="916"/>
      <c r="B2436" s="898"/>
      <c r="C2436" s="916"/>
      <c r="D2436" s="898"/>
      <c r="E2436" s="1144"/>
      <c r="F2436" s="943" t="s">
        <v>7877</v>
      </c>
      <c r="G2436" s="1245" t="s">
        <v>7878</v>
      </c>
      <c r="H2436" s="1245"/>
      <c r="I2436" s="1147"/>
      <c r="J2436" s="943"/>
      <c r="K2436" s="944"/>
      <c r="L2436" s="1249"/>
      <c r="M2436" s="899"/>
      <c r="N2436" s="1319"/>
      <c r="O2436" s="1249"/>
      <c r="P2436" s="1246">
        <v>2500</v>
      </c>
    </row>
    <row r="2437" spans="1:16" ht="24" x14ac:dyDescent="0.2">
      <c r="A2437" s="916"/>
      <c r="B2437" s="898"/>
      <c r="C2437" s="916"/>
      <c r="D2437" s="898"/>
      <c r="E2437" s="1144"/>
      <c r="F2437" s="943" t="s">
        <v>7877</v>
      </c>
      <c r="G2437" s="1245" t="s">
        <v>7878</v>
      </c>
      <c r="H2437" s="1245"/>
      <c r="I2437" s="1147"/>
      <c r="J2437" s="943"/>
      <c r="K2437" s="944"/>
      <c r="L2437" s="1249"/>
      <c r="M2437" s="899"/>
      <c r="N2437" s="898"/>
      <c r="O2437" s="1249"/>
      <c r="P2437" s="1246">
        <v>2500</v>
      </c>
    </row>
    <row r="2438" spans="1:16" ht="24" x14ac:dyDescent="0.2">
      <c r="A2438" s="916"/>
      <c r="B2438" s="898"/>
      <c r="C2438" s="916"/>
      <c r="D2438" s="898"/>
      <c r="E2438" s="1144"/>
      <c r="F2438" s="943" t="s">
        <v>7879</v>
      </c>
      <c r="G2438" s="1245" t="s">
        <v>7880</v>
      </c>
      <c r="H2438" s="1245" t="s">
        <v>5043</v>
      </c>
      <c r="I2438" s="1147" t="s">
        <v>7742</v>
      </c>
      <c r="J2438" s="943" t="s">
        <v>3568</v>
      </c>
      <c r="K2438" s="944"/>
      <c r="L2438" s="1249"/>
      <c r="M2438" s="899"/>
      <c r="N2438" s="898">
        <v>62</v>
      </c>
      <c r="O2438" s="1249"/>
      <c r="P2438" s="1246">
        <v>1500</v>
      </c>
    </row>
    <row r="2439" spans="1:16" ht="24" x14ac:dyDescent="0.2">
      <c r="A2439" s="916"/>
      <c r="B2439" s="898"/>
      <c r="C2439" s="916"/>
      <c r="D2439" s="898"/>
      <c r="E2439" s="1144"/>
      <c r="F2439" s="943" t="s">
        <v>7881</v>
      </c>
      <c r="G2439" s="1245" t="s">
        <v>7882</v>
      </c>
      <c r="H2439" s="1245" t="s">
        <v>7883</v>
      </c>
      <c r="I2439" s="1147" t="s">
        <v>7742</v>
      </c>
      <c r="J2439" s="943" t="s">
        <v>3568</v>
      </c>
      <c r="K2439" s="944"/>
      <c r="L2439" s="1249"/>
      <c r="M2439" s="899"/>
      <c r="N2439" s="1319">
        <v>63</v>
      </c>
      <c r="O2439" s="1249"/>
      <c r="P2439" s="1246">
        <v>1800</v>
      </c>
    </row>
    <row r="2440" spans="1:16" ht="24" x14ac:dyDescent="0.2">
      <c r="A2440" s="916"/>
      <c r="B2440" s="898"/>
      <c r="C2440" s="916"/>
      <c r="D2440" s="898"/>
      <c r="E2440" s="1144"/>
      <c r="F2440" s="943" t="s">
        <v>7884</v>
      </c>
      <c r="G2440" s="1245" t="s">
        <v>7885</v>
      </c>
      <c r="H2440" s="1245" t="s">
        <v>564</v>
      </c>
      <c r="I2440" s="1147" t="s">
        <v>7739</v>
      </c>
      <c r="J2440" s="943" t="s">
        <v>3568</v>
      </c>
      <c r="K2440" s="944"/>
      <c r="L2440" s="1249"/>
      <c r="M2440" s="899"/>
      <c r="N2440" s="1319">
        <v>64</v>
      </c>
      <c r="O2440" s="1249"/>
      <c r="P2440" s="1246">
        <v>2500</v>
      </c>
    </row>
    <row r="2441" spans="1:16" ht="24" x14ac:dyDescent="0.2">
      <c r="A2441" s="916"/>
      <c r="B2441" s="898"/>
      <c r="C2441" s="916"/>
      <c r="D2441" s="898"/>
      <c r="E2441" s="1144"/>
      <c r="F2441" s="943" t="s">
        <v>7886</v>
      </c>
      <c r="G2441" s="1245" t="s">
        <v>7887</v>
      </c>
      <c r="H2441" s="1245" t="s">
        <v>5043</v>
      </c>
      <c r="I2441" s="1147" t="s">
        <v>7742</v>
      </c>
      <c r="J2441" s="943" t="s">
        <v>3568</v>
      </c>
      <c r="K2441" s="944"/>
      <c r="L2441" s="1249"/>
      <c r="M2441" s="899"/>
      <c r="N2441" s="1319">
        <v>435</v>
      </c>
      <c r="O2441" s="1249"/>
      <c r="P2441" s="1246">
        <v>2000</v>
      </c>
    </row>
    <row r="2442" spans="1:16" ht="24" x14ac:dyDescent="0.2">
      <c r="A2442" s="916"/>
      <c r="B2442" s="898"/>
      <c r="C2442" s="916"/>
      <c r="D2442" s="898"/>
      <c r="E2442" s="1144"/>
      <c r="F2442" s="943" t="s">
        <v>7888</v>
      </c>
      <c r="G2442" s="1245" t="s">
        <v>7889</v>
      </c>
      <c r="H2442" s="1245" t="s">
        <v>517</v>
      </c>
      <c r="I2442" s="1147" t="s">
        <v>7739</v>
      </c>
      <c r="J2442" s="943" t="s">
        <v>3568</v>
      </c>
      <c r="K2442" s="944"/>
      <c r="L2442" s="1249"/>
      <c r="M2442" s="899"/>
      <c r="N2442" s="898">
        <v>65</v>
      </c>
      <c r="O2442" s="1249"/>
      <c r="P2442" s="1246">
        <v>3000</v>
      </c>
    </row>
    <row r="2443" spans="1:16" ht="24" x14ac:dyDescent="0.2">
      <c r="A2443" s="916"/>
      <c r="B2443" s="898"/>
      <c r="C2443" s="916"/>
      <c r="D2443" s="898"/>
      <c r="E2443" s="1144"/>
      <c r="F2443" s="943" t="s">
        <v>7890</v>
      </c>
      <c r="G2443" s="1245" t="s">
        <v>7891</v>
      </c>
      <c r="H2443" s="1245" t="s">
        <v>517</v>
      </c>
      <c r="I2443" s="1147" t="s">
        <v>7739</v>
      </c>
      <c r="J2443" s="943" t="s">
        <v>3568</v>
      </c>
      <c r="K2443" s="944"/>
      <c r="L2443" s="1249"/>
      <c r="M2443" s="899"/>
      <c r="N2443" s="1319">
        <v>66</v>
      </c>
      <c r="O2443" s="1249"/>
      <c r="P2443" s="1246">
        <v>2200</v>
      </c>
    </row>
    <row r="2444" spans="1:16" ht="24" x14ac:dyDescent="0.2">
      <c r="A2444" s="916"/>
      <c r="B2444" s="898"/>
      <c r="C2444" s="916"/>
      <c r="D2444" s="898"/>
      <c r="E2444" s="1144"/>
      <c r="F2444" s="943" t="s">
        <v>7892</v>
      </c>
      <c r="G2444" s="1245" t="s">
        <v>7893</v>
      </c>
      <c r="H2444" s="1245" t="s">
        <v>517</v>
      </c>
      <c r="I2444" s="1147" t="s">
        <v>7739</v>
      </c>
      <c r="J2444" s="943" t="s">
        <v>3568</v>
      </c>
      <c r="K2444" s="944"/>
      <c r="L2444" s="1249"/>
      <c r="M2444" s="899"/>
      <c r="N2444" s="898">
        <v>155</v>
      </c>
      <c r="O2444" s="1249"/>
      <c r="P2444" s="1246">
        <v>2500</v>
      </c>
    </row>
    <row r="2445" spans="1:16" ht="24" x14ac:dyDescent="0.2">
      <c r="A2445" s="916"/>
      <c r="B2445" s="898"/>
      <c r="C2445" s="916"/>
      <c r="D2445" s="898"/>
      <c r="E2445" s="1144"/>
      <c r="F2445" s="943" t="s">
        <v>7894</v>
      </c>
      <c r="G2445" s="1245" t="s">
        <v>7895</v>
      </c>
      <c r="H2445" s="1245" t="s">
        <v>517</v>
      </c>
      <c r="I2445" s="1147" t="s">
        <v>7739</v>
      </c>
      <c r="J2445" s="943" t="s">
        <v>3568</v>
      </c>
      <c r="K2445" s="944"/>
      <c r="L2445" s="1249"/>
      <c r="M2445" s="899"/>
      <c r="N2445" s="898">
        <v>67</v>
      </c>
      <c r="O2445" s="1249"/>
      <c r="P2445" s="1246">
        <v>2450</v>
      </c>
    </row>
    <row r="2446" spans="1:16" ht="24" x14ac:dyDescent="0.2">
      <c r="A2446" s="916"/>
      <c r="B2446" s="898"/>
      <c r="C2446" s="916"/>
      <c r="D2446" s="898"/>
      <c r="E2446" s="1144"/>
      <c r="F2446" s="943" t="s">
        <v>7896</v>
      </c>
      <c r="G2446" s="1245" t="s">
        <v>7897</v>
      </c>
      <c r="H2446" s="1245" t="s">
        <v>566</v>
      </c>
      <c r="I2446" s="1147" t="s">
        <v>7739</v>
      </c>
      <c r="J2446" s="943" t="s">
        <v>3568</v>
      </c>
      <c r="K2446" s="944"/>
      <c r="L2446" s="1249"/>
      <c r="M2446" s="899"/>
      <c r="N2446" s="898">
        <v>70</v>
      </c>
      <c r="O2446" s="1249"/>
      <c r="P2446" s="1246">
        <v>2500</v>
      </c>
    </row>
    <row r="2447" spans="1:16" ht="24" x14ac:dyDescent="0.2">
      <c r="A2447" s="916"/>
      <c r="B2447" s="898"/>
      <c r="C2447" s="916"/>
      <c r="D2447" s="898"/>
      <c r="E2447" s="1144"/>
      <c r="F2447" s="943" t="s">
        <v>7898</v>
      </c>
      <c r="G2447" s="1245" t="s">
        <v>7899</v>
      </c>
      <c r="H2447" s="1245" t="s">
        <v>7753</v>
      </c>
      <c r="I2447" s="1147" t="s">
        <v>7781</v>
      </c>
      <c r="J2447" s="943"/>
      <c r="K2447" s="944"/>
      <c r="L2447" s="1249"/>
      <c r="M2447" s="899"/>
      <c r="N2447" s="898">
        <v>72</v>
      </c>
      <c r="O2447" s="1249"/>
      <c r="P2447" s="1246">
        <v>1500</v>
      </c>
    </row>
    <row r="2448" spans="1:16" ht="36" x14ac:dyDescent="0.2">
      <c r="A2448" s="916"/>
      <c r="B2448" s="898"/>
      <c r="C2448" s="916"/>
      <c r="D2448" s="898"/>
      <c r="E2448" s="1144"/>
      <c r="F2448" s="943" t="s">
        <v>7900</v>
      </c>
      <c r="G2448" s="1245" t="s">
        <v>7901</v>
      </c>
      <c r="H2448" s="1245" t="s">
        <v>7902</v>
      </c>
      <c r="I2448" s="1147" t="s">
        <v>7739</v>
      </c>
      <c r="J2448" s="943" t="s">
        <v>3568</v>
      </c>
      <c r="K2448" s="944"/>
      <c r="L2448" s="1249"/>
      <c r="M2448" s="899"/>
      <c r="N2448" s="1319">
        <v>71</v>
      </c>
      <c r="O2448" s="1249"/>
      <c r="P2448" s="1246">
        <v>3300</v>
      </c>
    </row>
    <row r="2449" spans="1:16" ht="24" x14ac:dyDescent="0.2">
      <c r="A2449" s="916"/>
      <c r="B2449" s="898"/>
      <c r="C2449" s="916"/>
      <c r="D2449" s="898"/>
      <c r="E2449" s="1144"/>
      <c r="F2449" s="943" t="s">
        <v>7903</v>
      </c>
      <c r="G2449" s="1245" t="s">
        <v>7904</v>
      </c>
      <c r="H2449" s="1245" t="s">
        <v>3134</v>
      </c>
      <c r="I2449" s="1147" t="s">
        <v>7742</v>
      </c>
      <c r="J2449" s="943" t="s">
        <v>3568</v>
      </c>
      <c r="K2449" s="944"/>
      <c r="L2449" s="1249"/>
      <c r="M2449" s="899"/>
      <c r="N2449" s="1319">
        <v>73</v>
      </c>
      <c r="O2449" s="1249"/>
      <c r="P2449" s="1246">
        <v>1000</v>
      </c>
    </row>
    <row r="2450" spans="1:16" ht="24" x14ac:dyDescent="0.2">
      <c r="A2450" s="916"/>
      <c r="B2450" s="898"/>
      <c r="C2450" s="916"/>
      <c r="D2450" s="898"/>
      <c r="E2450" s="1144"/>
      <c r="F2450" s="943" t="s">
        <v>7905</v>
      </c>
      <c r="G2450" s="1245" t="s">
        <v>7906</v>
      </c>
      <c r="H2450" s="1245" t="s">
        <v>564</v>
      </c>
      <c r="I2450" s="1147" t="s">
        <v>7739</v>
      </c>
      <c r="J2450" s="943" t="s">
        <v>3568</v>
      </c>
      <c r="K2450" s="944"/>
      <c r="L2450" s="1249"/>
      <c r="M2450" s="899"/>
      <c r="N2450" s="1319">
        <v>75</v>
      </c>
      <c r="O2450" s="1249"/>
      <c r="P2450" s="1246">
        <v>3000</v>
      </c>
    </row>
    <row r="2451" spans="1:16" ht="24" x14ac:dyDescent="0.2">
      <c r="A2451" s="916"/>
      <c r="B2451" s="898"/>
      <c r="C2451" s="916"/>
      <c r="D2451" s="898"/>
      <c r="E2451" s="1144"/>
      <c r="F2451" s="943" t="s">
        <v>7907</v>
      </c>
      <c r="G2451" s="1245" t="s">
        <v>7908</v>
      </c>
      <c r="H2451" s="1245" t="s">
        <v>5106</v>
      </c>
      <c r="I2451" s="1147" t="s">
        <v>7739</v>
      </c>
      <c r="J2451" s="943" t="s">
        <v>3568</v>
      </c>
      <c r="K2451" s="944"/>
      <c r="L2451" s="1249"/>
      <c r="M2451" s="899"/>
      <c r="N2451" s="1319">
        <v>76</v>
      </c>
      <c r="O2451" s="1249"/>
      <c r="P2451" s="1246">
        <v>2200</v>
      </c>
    </row>
    <row r="2452" spans="1:16" ht="24" x14ac:dyDescent="0.2">
      <c r="A2452" s="916"/>
      <c r="B2452" s="898"/>
      <c r="C2452" s="916"/>
      <c r="D2452" s="898"/>
      <c r="E2452" s="1144"/>
      <c r="F2452" s="943" t="s">
        <v>7909</v>
      </c>
      <c r="G2452" s="1245" t="s">
        <v>7910</v>
      </c>
      <c r="H2452" s="1245" t="s">
        <v>517</v>
      </c>
      <c r="I2452" s="1147" t="s">
        <v>7739</v>
      </c>
      <c r="J2452" s="943" t="s">
        <v>3568</v>
      </c>
      <c r="K2452" s="944"/>
      <c r="L2452" s="1249"/>
      <c r="M2452" s="899"/>
      <c r="N2452" s="1319">
        <v>77</v>
      </c>
      <c r="O2452" s="1249"/>
      <c r="P2452" s="1246">
        <v>2200</v>
      </c>
    </row>
    <row r="2453" spans="1:16" ht="24" x14ac:dyDescent="0.2">
      <c r="A2453" s="916"/>
      <c r="B2453" s="898"/>
      <c r="C2453" s="916"/>
      <c r="D2453" s="898"/>
      <c r="E2453" s="1144"/>
      <c r="F2453" s="943" t="s">
        <v>7911</v>
      </c>
      <c r="G2453" s="1245" t="s">
        <v>7912</v>
      </c>
      <c r="H2453" s="1245" t="s">
        <v>517</v>
      </c>
      <c r="I2453" s="1147" t="s">
        <v>7739</v>
      </c>
      <c r="J2453" s="943" t="s">
        <v>3568</v>
      </c>
      <c r="K2453" s="944"/>
      <c r="L2453" s="1249"/>
      <c r="M2453" s="899"/>
      <c r="N2453" s="898">
        <v>78</v>
      </c>
      <c r="O2453" s="1249"/>
      <c r="P2453" s="1246">
        <v>2200</v>
      </c>
    </row>
    <row r="2454" spans="1:16" ht="24" x14ac:dyDescent="0.2">
      <c r="A2454" s="916"/>
      <c r="B2454" s="898"/>
      <c r="C2454" s="916"/>
      <c r="D2454" s="898"/>
      <c r="E2454" s="1144"/>
      <c r="F2454" s="943" t="s">
        <v>7913</v>
      </c>
      <c r="G2454" s="1245" t="s">
        <v>7914</v>
      </c>
      <c r="H2454" s="1245" t="s">
        <v>3134</v>
      </c>
      <c r="I2454" s="1147" t="s">
        <v>7742</v>
      </c>
      <c r="J2454" s="943" t="s">
        <v>3568</v>
      </c>
      <c r="K2454" s="944"/>
      <c r="L2454" s="1249"/>
      <c r="M2454" s="899"/>
      <c r="N2454" s="898">
        <v>80</v>
      </c>
      <c r="O2454" s="1249"/>
      <c r="P2454" s="1246">
        <v>1039</v>
      </c>
    </row>
    <row r="2455" spans="1:16" ht="24" x14ac:dyDescent="0.2">
      <c r="A2455" s="916"/>
      <c r="B2455" s="898"/>
      <c r="C2455" s="916"/>
      <c r="D2455" s="898"/>
      <c r="E2455" s="1144"/>
      <c r="F2455" s="943" t="s">
        <v>7915</v>
      </c>
      <c r="G2455" s="1245" t="s">
        <v>7916</v>
      </c>
      <c r="H2455" s="1245" t="s">
        <v>517</v>
      </c>
      <c r="I2455" s="1147" t="s">
        <v>7739</v>
      </c>
      <c r="J2455" s="943" t="s">
        <v>3568</v>
      </c>
      <c r="K2455" s="944"/>
      <c r="L2455" s="1249"/>
      <c r="M2455" s="899"/>
      <c r="N2455" s="1319">
        <v>79</v>
      </c>
      <c r="O2455" s="1249"/>
      <c r="P2455" s="1246">
        <v>3000</v>
      </c>
    </row>
    <row r="2456" spans="1:16" ht="24" x14ac:dyDescent="0.2">
      <c r="A2456" s="916"/>
      <c r="B2456" s="898"/>
      <c r="C2456" s="916"/>
      <c r="D2456" s="898"/>
      <c r="E2456" s="1144"/>
      <c r="F2456" s="943" t="s">
        <v>7917</v>
      </c>
      <c r="G2456" s="1245" t="s">
        <v>7918</v>
      </c>
      <c r="H2456" s="1245" t="s">
        <v>7919</v>
      </c>
      <c r="I2456" s="1147" t="s">
        <v>7742</v>
      </c>
      <c r="J2456" s="943" t="s">
        <v>4952</v>
      </c>
      <c r="K2456" s="944"/>
      <c r="L2456" s="1249"/>
      <c r="M2456" s="899"/>
      <c r="N2456" s="1319">
        <v>166</v>
      </c>
      <c r="O2456" s="1249"/>
      <c r="P2456" s="1246">
        <v>2000</v>
      </c>
    </row>
    <row r="2457" spans="1:16" ht="48" x14ac:dyDescent="0.2">
      <c r="A2457" s="916"/>
      <c r="B2457" s="898"/>
      <c r="C2457" s="916"/>
      <c r="D2457" s="898"/>
      <c r="E2457" s="1144"/>
      <c r="F2457" s="943" t="s">
        <v>7920</v>
      </c>
      <c r="G2457" s="1245" t="s">
        <v>7921</v>
      </c>
      <c r="H2457" s="1245" t="s">
        <v>7796</v>
      </c>
      <c r="I2457" s="1147" t="s">
        <v>7742</v>
      </c>
      <c r="J2457" s="943" t="s">
        <v>3568</v>
      </c>
      <c r="K2457" s="944"/>
      <c r="L2457" s="1249"/>
      <c r="M2457" s="899"/>
      <c r="N2457" s="898">
        <v>81</v>
      </c>
      <c r="O2457" s="1249"/>
      <c r="P2457" s="1246">
        <v>1000</v>
      </c>
    </row>
    <row r="2458" spans="1:16" ht="24" x14ac:dyDescent="0.2">
      <c r="A2458" s="916"/>
      <c r="B2458" s="898"/>
      <c r="C2458" s="916"/>
      <c r="D2458" s="898"/>
      <c r="E2458" s="1144"/>
      <c r="F2458" s="943" t="s">
        <v>7922</v>
      </c>
      <c r="G2458" s="1245" t="s">
        <v>7923</v>
      </c>
      <c r="H2458" s="1245" t="s">
        <v>517</v>
      </c>
      <c r="I2458" s="1147" t="s">
        <v>7739</v>
      </c>
      <c r="J2458" s="943" t="s">
        <v>3568</v>
      </c>
      <c r="K2458" s="944"/>
      <c r="L2458" s="1249"/>
      <c r="M2458" s="899"/>
      <c r="N2458" s="898">
        <v>82</v>
      </c>
      <c r="O2458" s="1249"/>
      <c r="P2458" s="1246">
        <v>3000</v>
      </c>
    </row>
    <row r="2459" spans="1:16" ht="24" x14ac:dyDescent="0.2">
      <c r="A2459" s="916"/>
      <c r="B2459" s="898"/>
      <c r="C2459" s="916"/>
      <c r="D2459" s="898"/>
      <c r="E2459" s="1144"/>
      <c r="F2459" s="943" t="s">
        <v>7924</v>
      </c>
      <c r="G2459" s="1245" t="s">
        <v>7925</v>
      </c>
      <c r="H2459" s="1245" t="s">
        <v>517</v>
      </c>
      <c r="I2459" s="1147" t="s">
        <v>7739</v>
      </c>
      <c r="J2459" s="943" t="s">
        <v>3568</v>
      </c>
      <c r="K2459" s="944"/>
      <c r="L2459" s="1249"/>
      <c r="M2459" s="899"/>
      <c r="N2459" s="1319">
        <v>83</v>
      </c>
      <c r="O2459" s="1249"/>
      <c r="P2459" s="1246">
        <v>3000</v>
      </c>
    </row>
    <row r="2460" spans="1:16" ht="24" x14ac:dyDescent="0.2">
      <c r="A2460" s="916"/>
      <c r="B2460" s="898"/>
      <c r="C2460" s="916"/>
      <c r="D2460" s="898"/>
      <c r="E2460" s="1144"/>
      <c r="F2460" s="943" t="s">
        <v>7926</v>
      </c>
      <c r="G2460" s="1245" t="s">
        <v>7927</v>
      </c>
      <c r="H2460" s="1245"/>
      <c r="I2460" s="1147" t="s">
        <v>7781</v>
      </c>
      <c r="J2460" s="943"/>
      <c r="K2460" s="944"/>
      <c r="L2460" s="1249"/>
      <c r="M2460" s="899"/>
      <c r="N2460" s="898">
        <v>84</v>
      </c>
      <c r="O2460" s="1249"/>
      <c r="P2460" s="1246">
        <v>1500</v>
      </c>
    </row>
    <row r="2461" spans="1:16" ht="24" x14ac:dyDescent="0.2">
      <c r="A2461" s="916"/>
      <c r="B2461" s="898"/>
      <c r="C2461" s="916"/>
      <c r="D2461" s="898"/>
      <c r="E2461" s="1144"/>
      <c r="F2461" s="943" t="s">
        <v>7928</v>
      </c>
      <c r="G2461" s="1245" t="s">
        <v>7929</v>
      </c>
      <c r="H2461" s="1245" t="s">
        <v>486</v>
      </c>
      <c r="I2461" s="1147" t="s">
        <v>7739</v>
      </c>
      <c r="J2461" s="943" t="s">
        <v>3568</v>
      </c>
      <c r="K2461" s="944"/>
      <c r="L2461" s="1249"/>
      <c r="M2461" s="899"/>
      <c r="N2461" s="898">
        <v>85</v>
      </c>
      <c r="O2461" s="1249"/>
      <c r="P2461" s="1246">
        <v>2200</v>
      </c>
    </row>
    <row r="2462" spans="1:16" ht="24" x14ac:dyDescent="0.2">
      <c r="A2462" s="916"/>
      <c r="B2462" s="898"/>
      <c r="C2462" s="916"/>
      <c r="D2462" s="898"/>
      <c r="E2462" s="1144"/>
      <c r="F2462" s="943" t="s">
        <v>7930</v>
      </c>
      <c r="G2462" s="1245" t="s">
        <v>7931</v>
      </c>
      <c r="H2462" s="1245" t="s">
        <v>564</v>
      </c>
      <c r="I2462" s="1147" t="s">
        <v>7739</v>
      </c>
      <c r="J2462" s="943" t="s">
        <v>3568</v>
      </c>
      <c r="K2462" s="944"/>
      <c r="L2462" s="1249"/>
      <c r="M2462" s="899"/>
      <c r="N2462" s="898">
        <v>86</v>
      </c>
      <c r="O2462" s="1249"/>
      <c r="P2462" s="1246">
        <v>3000</v>
      </c>
    </row>
    <row r="2463" spans="1:16" ht="24" x14ac:dyDescent="0.2">
      <c r="A2463" s="916"/>
      <c r="B2463" s="898"/>
      <c r="C2463" s="916"/>
      <c r="D2463" s="898"/>
      <c r="E2463" s="1144"/>
      <c r="F2463" s="943" t="s">
        <v>7932</v>
      </c>
      <c r="G2463" s="1245" t="s">
        <v>7933</v>
      </c>
      <c r="H2463" s="1245" t="s">
        <v>564</v>
      </c>
      <c r="I2463" s="1147" t="s">
        <v>7739</v>
      </c>
      <c r="J2463" s="943" t="s">
        <v>3568</v>
      </c>
      <c r="K2463" s="944"/>
      <c r="L2463" s="1249"/>
      <c r="M2463" s="899"/>
      <c r="N2463" s="1319">
        <v>87</v>
      </c>
      <c r="O2463" s="1249"/>
      <c r="P2463" s="1246">
        <v>3000</v>
      </c>
    </row>
    <row r="2464" spans="1:16" ht="24" x14ac:dyDescent="0.2">
      <c r="A2464" s="916"/>
      <c r="B2464" s="898"/>
      <c r="C2464" s="916"/>
      <c r="D2464" s="898"/>
      <c r="E2464" s="1144"/>
      <c r="F2464" s="943" t="s">
        <v>7934</v>
      </c>
      <c r="G2464" s="1245" t="s">
        <v>7935</v>
      </c>
      <c r="H2464" s="1245" t="s">
        <v>517</v>
      </c>
      <c r="I2464" s="1147" t="s">
        <v>7739</v>
      </c>
      <c r="J2464" s="943" t="s">
        <v>3568</v>
      </c>
      <c r="K2464" s="944"/>
      <c r="L2464" s="1249"/>
      <c r="M2464" s="899"/>
      <c r="N2464" s="1319">
        <v>88</v>
      </c>
      <c r="O2464" s="1249"/>
      <c r="P2464" s="1246">
        <v>2200</v>
      </c>
    </row>
    <row r="2465" spans="1:16" ht="24" x14ac:dyDescent="0.2">
      <c r="A2465" s="916"/>
      <c r="B2465" s="898"/>
      <c r="C2465" s="916"/>
      <c r="D2465" s="898"/>
      <c r="E2465" s="1144"/>
      <c r="F2465" s="943" t="s">
        <v>7936</v>
      </c>
      <c r="G2465" s="1245" t="s">
        <v>7937</v>
      </c>
      <c r="H2465" s="1245" t="s">
        <v>564</v>
      </c>
      <c r="I2465" s="1147" t="s">
        <v>7739</v>
      </c>
      <c r="J2465" s="943" t="s">
        <v>3568</v>
      </c>
      <c r="K2465" s="944"/>
      <c r="L2465" s="1249"/>
      <c r="M2465" s="899"/>
      <c r="N2465" s="898">
        <v>89</v>
      </c>
      <c r="O2465" s="1249"/>
      <c r="P2465" s="1246">
        <v>2500</v>
      </c>
    </row>
    <row r="2466" spans="1:16" ht="24" x14ac:dyDescent="0.2">
      <c r="A2466" s="916"/>
      <c r="B2466" s="898"/>
      <c r="C2466" s="916"/>
      <c r="D2466" s="898"/>
      <c r="E2466" s="1144"/>
      <c r="F2466" s="943" t="s">
        <v>7938</v>
      </c>
      <c r="G2466" s="1245" t="s">
        <v>7939</v>
      </c>
      <c r="H2466" s="1245" t="s">
        <v>3099</v>
      </c>
      <c r="I2466" s="1147" t="s">
        <v>7739</v>
      </c>
      <c r="J2466" s="943" t="s">
        <v>3568</v>
      </c>
      <c r="K2466" s="944"/>
      <c r="L2466" s="1249"/>
      <c r="M2466" s="899"/>
      <c r="N2466" s="1319">
        <v>90</v>
      </c>
      <c r="O2466" s="1249"/>
      <c r="P2466" s="1246">
        <v>5424</v>
      </c>
    </row>
    <row r="2467" spans="1:16" ht="24" x14ac:dyDescent="0.2">
      <c r="A2467" s="916"/>
      <c r="B2467" s="898"/>
      <c r="C2467" s="916"/>
      <c r="D2467" s="898"/>
      <c r="E2467" s="1144"/>
      <c r="F2467" s="943" t="s">
        <v>7940</v>
      </c>
      <c r="G2467" s="1245" t="s">
        <v>7941</v>
      </c>
      <c r="H2467" s="1245" t="s">
        <v>517</v>
      </c>
      <c r="I2467" s="1147" t="s">
        <v>7739</v>
      </c>
      <c r="J2467" s="943" t="s">
        <v>3568</v>
      </c>
      <c r="K2467" s="944"/>
      <c r="L2467" s="1249"/>
      <c r="M2467" s="899"/>
      <c r="N2467" s="898">
        <v>170</v>
      </c>
      <c r="O2467" s="1249"/>
      <c r="P2467" s="1246">
        <v>2450</v>
      </c>
    </row>
    <row r="2468" spans="1:16" ht="48" x14ac:dyDescent="0.2">
      <c r="A2468" s="916"/>
      <c r="B2468" s="898"/>
      <c r="C2468" s="916"/>
      <c r="D2468" s="898"/>
      <c r="E2468" s="1144"/>
      <c r="F2468" s="943" t="s">
        <v>7942</v>
      </c>
      <c r="G2468" s="1245" t="s">
        <v>7943</v>
      </c>
      <c r="H2468" s="1245" t="s">
        <v>7796</v>
      </c>
      <c r="I2468" s="1147" t="s">
        <v>7742</v>
      </c>
      <c r="J2468" s="943" t="s">
        <v>3568</v>
      </c>
      <c r="K2468" s="944"/>
      <c r="L2468" s="1249"/>
      <c r="M2468" s="899"/>
      <c r="N2468" s="898">
        <v>91</v>
      </c>
      <c r="O2468" s="1249"/>
      <c r="P2468" s="1246">
        <v>1000</v>
      </c>
    </row>
    <row r="2469" spans="1:16" ht="24" x14ac:dyDescent="0.2">
      <c r="A2469" s="916"/>
      <c r="B2469" s="898"/>
      <c r="C2469" s="916"/>
      <c r="D2469" s="898"/>
      <c r="E2469" s="1144"/>
      <c r="F2469" s="943" t="s">
        <v>7944</v>
      </c>
      <c r="G2469" s="1245" t="s">
        <v>7945</v>
      </c>
      <c r="H2469" s="1245" t="s">
        <v>7759</v>
      </c>
      <c r="I2469" s="1147" t="s">
        <v>7739</v>
      </c>
      <c r="J2469" s="943" t="s">
        <v>3568</v>
      </c>
      <c r="K2469" s="944"/>
      <c r="L2469" s="1249"/>
      <c r="M2469" s="899"/>
      <c r="N2469" s="1319">
        <v>171</v>
      </c>
      <c r="O2469" s="1249"/>
      <c r="P2469" s="1246">
        <v>6500</v>
      </c>
    </row>
    <row r="2470" spans="1:16" ht="24" x14ac:dyDescent="0.2">
      <c r="A2470" s="916"/>
      <c r="B2470" s="898"/>
      <c r="C2470" s="916"/>
      <c r="D2470" s="898"/>
      <c r="E2470" s="1144"/>
      <c r="F2470" s="943" t="s">
        <v>7946</v>
      </c>
      <c r="G2470" s="1245" t="s">
        <v>7947</v>
      </c>
      <c r="H2470" s="1245" t="s">
        <v>3129</v>
      </c>
      <c r="I2470" s="1147" t="s">
        <v>7739</v>
      </c>
      <c r="J2470" s="943" t="s">
        <v>3568</v>
      </c>
      <c r="K2470" s="944"/>
      <c r="L2470" s="1249"/>
      <c r="M2470" s="899"/>
      <c r="N2470" s="898"/>
      <c r="O2470" s="1249"/>
      <c r="P2470" s="1246">
        <v>5424</v>
      </c>
    </row>
    <row r="2471" spans="1:16" ht="24" x14ac:dyDescent="0.2">
      <c r="A2471" s="916"/>
      <c r="B2471" s="898"/>
      <c r="C2471" s="916"/>
      <c r="D2471" s="898"/>
      <c r="E2471" s="1144"/>
      <c r="F2471" s="943" t="s">
        <v>7948</v>
      </c>
      <c r="G2471" s="1245" t="s">
        <v>7949</v>
      </c>
      <c r="H2471" s="1245" t="s">
        <v>517</v>
      </c>
      <c r="I2471" s="1147" t="s">
        <v>7739</v>
      </c>
      <c r="J2471" s="943" t="s">
        <v>3568</v>
      </c>
      <c r="K2471" s="944"/>
      <c r="L2471" s="1249"/>
      <c r="M2471" s="899"/>
      <c r="N2471" s="898">
        <v>92</v>
      </c>
      <c r="O2471" s="1249"/>
      <c r="P2471" s="1246">
        <v>2200</v>
      </c>
    </row>
    <row r="2472" spans="1:16" ht="24" x14ac:dyDescent="0.2">
      <c r="A2472" s="916"/>
      <c r="B2472" s="898"/>
      <c r="C2472" s="916"/>
      <c r="D2472" s="898"/>
      <c r="E2472" s="1144"/>
      <c r="F2472" s="943" t="s">
        <v>7950</v>
      </c>
      <c r="G2472" s="1245" t="s">
        <v>7951</v>
      </c>
      <c r="H2472" s="1245" t="s">
        <v>5043</v>
      </c>
      <c r="I2472" s="1147" t="s">
        <v>7742</v>
      </c>
      <c r="J2472" s="943" t="s">
        <v>3568</v>
      </c>
      <c r="K2472" s="944"/>
      <c r="L2472" s="1249"/>
      <c r="M2472" s="899"/>
      <c r="N2472" s="1319">
        <v>93</v>
      </c>
      <c r="O2472" s="1249"/>
      <c r="P2472" s="1246">
        <v>1800</v>
      </c>
    </row>
    <row r="2473" spans="1:16" ht="24" x14ac:dyDescent="0.2">
      <c r="A2473" s="916"/>
      <c r="B2473" s="898"/>
      <c r="C2473" s="916"/>
      <c r="D2473" s="898"/>
      <c r="E2473" s="1144"/>
      <c r="F2473" s="943" t="s">
        <v>7952</v>
      </c>
      <c r="G2473" s="1245" t="s">
        <v>7953</v>
      </c>
      <c r="H2473" s="1245" t="s">
        <v>5043</v>
      </c>
      <c r="I2473" s="1147" t="s">
        <v>7742</v>
      </c>
      <c r="J2473" s="943" t="s">
        <v>3568</v>
      </c>
      <c r="K2473" s="944"/>
      <c r="L2473" s="1249"/>
      <c r="M2473" s="899"/>
      <c r="N2473" s="898">
        <v>94</v>
      </c>
      <c r="O2473" s="1249"/>
      <c r="P2473" s="1246">
        <v>1800</v>
      </c>
    </row>
    <row r="2474" spans="1:16" ht="24" x14ac:dyDescent="0.2">
      <c r="A2474" s="916"/>
      <c r="B2474" s="898"/>
      <c r="C2474" s="916"/>
      <c r="D2474" s="898"/>
      <c r="E2474" s="1144"/>
      <c r="F2474" s="943" t="s">
        <v>7954</v>
      </c>
      <c r="G2474" s="1245" t="s">
        <v>7955</v>
      </c>
      <c r="H2474" s="1245" t="s">
        <v>3841</v>
      </c>
      <c r="I2474" s="1147" t="s">
        <v>7739</v>
      </c>
      <c r="J2474" s="943" t="s">
        <v>3568</v>
      </c>
      <c r="K2474" s="944"/>
      <c r="L2474" s="1249"/>
      <c r="M2474" s="899"/>
      <c r="N2474" s="1319">
        <v>95</v>
      </c>
      <c r="O2474" s="1249"/>
      <c r="P2474" s="1246">
        <v>4778</v>
      </c>
    </row>
    <row r="2475" spans="1:16" ht="24" x14ac:dyDescent="0.2">
      <c r="A2475" s="916"/>
      <c r="B2475" s="898"/>
      <c r="C2475" s="916"/>
      <c r="D2475" s="898"/>
      <c r="E2475" s="1144"/>
      <c r="F2475" s="943" t="s">
        <v>7956</v>
      </c>
      <c r="G2475" s="1245" t="s">
        <v>7957</v>
      </c>
      <c r="H2475" s="1245" t="s">
        <v>7809</v>
      </c>
      <c r="I2475" s="1147" t="s">
        <v>7770</v>
      </c>
      <c r="J2475" s="943" t="s">
        <v>3632</v>
      </c>
      <c r="K2475" s="944"/>
      <c r="L2475" s="1249"/>
      <c r="M2475" s="899"/>
      <c r="N2475" s="898">
        <v>172</v>
      </c>
      <c r="O2475" s="1249"/>
      <c r="P2475" s="1246">
        <v>2500</v>
      </c>
    </row>
    <row r="2476" spans="1:16" ht="24" x14ac:dyDescent="0.2">
      <c r="A2476" s="916"/>
      <c r="B2476" s="898"/>
      <c r="C2476" s="916"/>
      <c r="D2476" s="898"/>
      <c r="E2476" s="1144"/>
      <c r="F2476" s="943" t="s">
        <v>7958</v>
      </c>
      <c r="G2476" s="1245" t="s">
        <v>7959</v>
      </c>
      <c r="H2476" s="1245" t="s">
        <v>517</v>
      </c>
      <c r="I2476" s="1147" t="s">
        <v>7739</v>
      </c>
      <c r="J2476" s="943" t="s">
        <v>3568</v>
      </c>
      <c r="K2476" s="944"/>
      <c r="L2476" s="1249"/>
      <c r="M2476" s="899"/>
      <c r="N2476" s="898">
        <v>97</v>
      </c>
      <c r="O2476" s="1249"/>
      <c r="P2476" s="1246">
        <v>2200</v>
      </c>
    </row>
    <row r="2477" spans="1:16" ht="24" x14ac:dyDescent="0.2">
      <c r="A2477" s="916"/>
      <c r="B2477" s="898"/>
      <c r="C2477" s="916"/>
      <c r="D2477" s="898"/>
      <c r="E2477" s="1144"/>
      <c r="F2477" s="943" t="s">
        <v>7960</v>
      </c>
      <c r="G2477" s="1245" t="s">
        <v>7961</v>
      </c>
      <c r="H2477" s="1245" t="s">
        <v>564</v>
      </c>
      <c r="I2477" s="1147" t="s">
        <v>7739</v>
      </c>
      <c r="J2477" s="943" t="s">
        <v>3568</v>
      </c>
      <c r="K2477" s="944"/>
      <c r="L2477" s="1249"/>
      <c r="M2477" s="899"/>
      <c r="N2477" s="898">
        <v>96</v>
      </c>
      <c r="O2477" s="1249"/>
      <c r="P2477" s="1246">
        <v>3000</v>
      </c>
    </row>
    <row r="2478" spans="1:16" ht="24" x14ac:dyDescent="0.2">
      <c r="A2478" s="916"/>
      <c r="B2478" s="898"/>
      <c r="C2478" s="916"/>
      <c r="D2478" s="898"/>
      <c r="E2478" s="1144"/>
      <c r="F2478" s="943" t="s">
        <v>7962</v>
      </c>
      <c r="G2478" s="1245" t="s">
        <v>7963</v>
      </c>
      <c r="H2478" s="1245" t="s">
        <v>5043</v>
      </c>
      <c r="I2478" s="1147" t="s">
        <v>7742</v>
      </c>
      <c r="J2478" s="943" t="s">
        <v>3568</v>
      </c>
      <c r="K2478" s="944"/>
      <c r="L2478" s="1249"/>
      <c r="M2478" s="899"/>
      <c r="N2478" s="1319">
        <v>98</v>
      </c>
      <c r="O2478" s="1249"/>
      <c r="P2478" s="1246">
        <v>1500</v>
      </c>
    </row>
    <row r="2479" spans="1:16" ht="24" x14ac:dyDescent="0.2">
      <c r="A2479" s="916"/>
      <c r="B2479" s="898"/>
      <c r="C2479" s="916"/>
      <c r="D2479" s="898"/>
      <c r="E2479" s="1144"/>
      <c r="F2479" s="943" t="s">
        <v>7964</v>
      </c>
      <c r="G2479" s="1245" t="s">
        <v>7965</v>
      </c>
      <c r="H2479" s="1245" t="s">
        <v>7753</v>
      </c>
      <c r="I2479" s="1147" t="s">
        <v>7818</v>
      </c>
      <c r="J2479" s="943"/>
      <c r="K2479" s="944"/>
      <c r="L2479" s="1249"/>
      <c r="M2479" s="899"/>
      <c r="N2479" s="898">
        <v>99</v>
      </c>
      <c r="O2479" s="1249"/>
      <c r="P2479" s="1246">
        <v>1500</v>
      </c>
    </row>
    <row r="2480" spans="1:16" ht="48" x14ac:dyDescent="0.2">
      <c r="A2480" s="916"/>
      <c r="B2480" s="898"/>
      <c r="C2480" s="916"/>
      <c r="D2480" s="898"/>
      <c r="E2480" s="1144"/>
      <c r="F2480" s="943" t="s">
        <v>7966</v>
      </c>
      <c r="G2480" s="1245" t="s">
        <v>7967</v>
      </c>
      <c r="H2480" s="1245" t="s">
        <v>7796</v>
      </c>
      <c r="I2480" s="1147" t="s">
        <v>7742</v>
      </c>
      <c r="J2480" s="943" t="s">
        <v>3568</v>
      </c>
      <c r="K2480" s="944"/>
      <c r="L2480" s="1249"/>
      <c r="M2480" s="899"/>
      <c r="N2480" s="1319">
        <v>100</v>
      </c>
      <c r="O2480" s="1249"/>
      <c r="P2480" s="1246">
        <v>2000</v>
      </c>
    </row>
    <row r="2481" spans="1:16" ht="24" x14ac:dyDescent="0.2">
      <c r="A2481" s="916"/>
      <c r="B2481" s="898"/>
      <c r="C2481" s="916"/>
      <c r="D2481" s="898"/>
      <c r="E2481" s="1144"/>
      <c r="F2481" s="943" t="s">
        <v>7968</v>
      </c>
      <c r="G2481" s="1245" t="s">
        <v>7969</v>
      </c>
      <c r="H2481" s="1245" t="s">
        <v>5043</v>
      </c>
      <c r="I2481" s="1147" t="s">
        <v>7742</v>
      </c>
      <c r="J2481" s="943" t="s">
        <v>4952</v>
      </c>
      <c r="K2481" s="944"/>
      <c r="L2481" s="1249"/>
      <c r="M2481" s="899"/>
      <c r="N2481" s="1319">
        <v>101</v>
      </c>
      <c r="O2481" s="1249"/>
      <c r="P2481" s="1246">
        <v>1500</v>
      </c>
    </row>
    <row r="2482" spans="1:16" ht="24" x14ac:dyDescent="0.2">
      <c r="A2482" s="916"/>
      <c r="B2482" s="898"/>
      <c r="C2482" s="916"/>
      <c r="D2482" s="898"/>
      <c r="E2482" s="1144"/>
      <c r="F2482" s="943" t="s">
        <v>7970</v>
      </c>
      <c r="G2482" s="1245" t="s">
        <v>7971</v>
      </c>
      <c r="H2482" s="1245" t="s">
        <v>5043</v>
      </c>
      <c r="I2482" s="1147" t="s">
        <v>7742</v>
      </c>
      <c r="J2482" s="943" t="s">
        <v>3568</v>
      </c>
      <c r="K2482" s="944"/>
      <c r="L2482" s="1249"/>
      <c r="M2482" s="899"/>
      <c r="N2482" s="1319">
        <v>103</v>
      </c>
      <c r="O2482" s="1249"/>
      <c r="P2482" s="1246">
        <v>1200</v>
      </c>
    </row>
    <row r="2483" spans="1:16" ht="24" x14ac:dyDescent="0.2">
      <c r="A2483" s="916"/>
      <c r="B2483" s="898"/>
      <c r="C2483" s="916"/>
      <c r="D2483" s="898"/>
      <c r="E2483" s="1144"/>
      <c r="F2483" s="943" t="s">
        <v>7972</v>
      </c>
      <c r="G2483" s="1245" t="s">
        <v>7973</v>
      </c>
      <c r="H2483" s="1245" t="s">
        <v>517</v>
      </c>
      <c r="I2483" s="1147" t="s">
        <v>7739</v>
      </c>
      <c r="J2483" s="943" t="s">
        <v>3568</v>
      </c>
      <c r="K2483" s="944"/>
      <c r="L2483" s="1249"/>
      <c r="M2483" s="899"/>
      <c r="N2483" s="898">
        <v>102</v>
      </c>
      <c r="O2483" s="1249"/>
      <c r="P2483" s="1246">
        <v>2500</v>
      </c>
    </row>
    <row r="2484" spans="1:16" ht="24" x14ac:dyDescent="0.2">
      <c r="A2484" s="916"/>
      <c r="B2484" s="898"/>
      <c r="C2484" s="916"/>
      <c r="D2484" s="898"/>
      <c r="E2484" s="1144"/>
      <c r="F2484" s="943" t="s">
        <v>7974</v>
      </c>
      <c r="G2484" s="1245" t="s">
        <v>7975</v>
      </c>
      <c r="H2484" s="1245" t="s">
        <v>5106</v>
      </c>
      <c r="I2484" s="1147" t="s">
        <v>7739</v>
      </c>
      <c r="J2484" s="943" t="s">
        <v>3568</v>
      </c>
      <c r="K2484" s="944"/>
      <c r="L2484" s="1249"/>
      <c r="M2484" s="899"/>
      <c r="N2484" s="1319">
        <v>104</v>
      </c>
      <c r="O2484" s="1249"/>
      <c r="P2484" s="1246">
        <v>2500</v>
      </c>
    </row>
    <row r="2485" spans="1:16" ht="24" x14ac:dyDescent="0.2">
      <c r="A2485" s="916"/>
      <c r="B2485" s="898"/>
      <c r="C2485" s="916"/>
      <c r="D2485" s="898"/>
      <c r="E2485" s="1144"/>
      <c r="F2485" s="943" t="s">
        <v>7976</v>
      </c>
      <c r="G2485" s="1245" t="s">
        <v>7977</v>
      </c>
      <c r="H2485" s="1245"/>
      <c r="I2485" s="1147" t="s">
        <v>7781</v>
      </c>
      <c r="J2485" s="943"/>
      <c r="K2485" s="944"/>
      <c r="L2485" s="1249"/>
      <c r="M2485" s="899"/>
      <c r="N2485" s="898">
        <v>105</v>
      </c>
      <c r="O2485" s="1249"/>
      <c r="P2485" s="1246">
        <v>1500</v>
      </c>
    </row>
    <row r="2486" spans="1:16" ht="24" x14ac:dyDescent="0.2">
      <c r="A2486" s="916"/>
      <c r="B2486" s="898"/>
      <c r="C2486" s="916"/>
      <c r="D2486" s="898"/>
      <c r="E2486" s="1144"/>
      <c r="F2486" s="943" t="s">
        <v>7978</v>
      </c>
      <c r="G2486" s="1245" t="s">
        <v>7979</v>
      </c>
      <c r="H2486" s="1245" t="s">
        <v>3129</v>
      </c>
      <c r="I2486" s="1147" t="s">
        <v>7739</v>
      </c>
      <c r="J2486" s="943" t="s">
        <v>3568</v>
      </c>
      <c r="K2486" s="944"/>
      <c r="L2486" s="1249"/>
      <c r="M2486" s="899"/>
      <c r="N2486" s="1319">
        <v>107</v>
      </c>
      <c r="O2486" s="1249"/>
      <c r="P2486" s="1246">
        <v>1800</v>
      </c>
    </row>
    <row r="2487" spans="1:16" ht="24" x14ac:dyDescent="0.2">
      <c r="A2487" s="916"/>
      <c r="B2487" s="898"/>
      <c r="C2487" s="916"/>
      <c r="D2487" s="898"/>
      <c r="E2487" s="1144"/>
      <c r="F2487" s="943" t="s">
        <v>7980</v>
      </c>
      <c r="G2487" s="1245" t="s">
        <v>7981</v>
      </c>
      <c r="H2487" s="1245" t="s">
        <v>517</v>
      </c>
      <c r="I2487" s="1147" t="s">
        <v>7739</v>
      </c>
      <c r="J2487" s="943" t="s">
        <v>3568</v>
      </c>
      <c r="K2487" s="944"/>
      <c r="L2487" s="1249"/>
      <c r="M2487" s="899"/>
      <c r="N2487" s="898">
        <v>106</v>
      </c>
      <c r="O2487" s="1249"/>
      <c r="P2487" s="1246">
        <v>2200</v>
      </c>
    </row>
    <row r="2488" spans="1:16" ht="24" x14ac:dyDescent="0.2">
      <c r="A2488" s="916"/>
      <c r="B2488" s="898"/>
      <c r="C2488" s="916"/>
      <c r="D2488" s="898"/>
      <c r="E2488" s="1144"/>
      <c r="F2488" s="943" t="s">
        <v>7982</v>
      </c>
      <c r="G2488" s="1245" t="s">
        <v>7983</v>
      </c>
      <c r="H2488" s="1245" t="s">
        <v>7809</v>
      </c>
      <c r="I2488" s="1147" t="s">
        <v>7739</v>
      </c>
      <c r="J2488" s="943" t="s">
        <v>3568</v>
      </c>
      <c r="K2488" s="944"/>
      <c r="L2488" s="1249"/>
      <c r="M2488" s="899"/>
      <c r="N2488" s="898">
        <v>108</v>
      </c>
      <c r="O2488" s="1249"/>
      <c r="P2488" s="1246">
        <v>5424</v>
      </c>
    </row>
    <row r="2489" spans="1:16" ht="24" x14ac:dyDescent="0.2">
      <c r="A2489" s="916"/>
      <c r="B2489" s="898"/>
      <c r="C2489" s="916"/>
      <c r="D2489" s="898"/>
      <c r="E2489" s="1144"/>
      <c r="F2489" s="943" t="s">
        <v>7984</v>
      </c>
      <c r="G2489" s="1245" t="s">
        <v>7985</v>
      </c>
      <c r="H2489" s="1245" t="s">
        <v>564</v>
      </c>
      <c r="I2489" s="1147" t="s">
        <v>7739</v>
      </c>
      <c r="J2489" s="943" t="s">
        <v>3568</v>
      </c>
      <c r="K2489" s="944"/>
      <c r="L2489" s="1249"/>
      <c r="M2489" s="899"/>
      <c r="N2489" s="1319">
        <v>181</v>
      </c>
      <c r="O2489" s="1249"/>
      <c r="P2489" s="1246">
        <v>3000</v>
      </c>
    </row>
    <row r="2490" spans="1:16" ht="24" x14ac:dyDescent="0.2">
      <c r="A2490" s="916"/>
      <c r="B2490" s="898"/>
      <c r="C2490" s="916"/>
      <c r="D2490" s="898"/>
      <c r="E2490" s="1144"/>
      <c r="F2490" s="943" t="s">
        <v>7986</v>
      </c>
      <c r="G2490" s="1245" t="s">
        <v>7987</v>
      </c>
      <c r="H2490" s="1245" t="s">
        <v>564</v>
      </c>
      <c r="I2490" s="1147" t="s">
        <v>7739</v>
      </c>
      <c r="J2490" s="943" t="s">
        <v>3568</v>
      </c>
      <c r="K2490" s="944"/>
      <c r="L2490" s="1249"/>
      <c r="M2490" s="899"/>
      <c r="N2490" s="1319">
        <v>453</v>
      </c>
      <c r="O2490" s="1249"/>
      <c r="P2490" s="1246">
        <v>2500</v>
      </c>
    </row>
    <row r="2491" spans="1:16" ht="24" x14ac:dyDescent="0.2">
      <c r="A2491" s="916"/>
      <c r="B2491" s="898"/>
      <c r="C2491" s="916"/>
      <c r="D2491" s="898"/>
      <c r="E2491" s="1144"/>
      <c r="F2491" s="943" t="s">
        <v>7988</v>
      </c>
      <c r="G2491" s="1245" t="s">
        <v>7989</v>
      </c>
      <c r="H2491" s="1245" t="s">
        <v>3134</v>
      </c>
      <c r="I2491" s="1147" t="s">
        <v>7742</v>
      </c>
      <c r="J2491" s="943" t="s">
        <v>3568</v>
      </c>
      <c r="K2491" s="944"/>
      <c r="L2491" s="1249"/>
      <c r="M2491" s="899"/>
      <c r="N2491" s="898">
        <v>181</v>
      </c>
      <c r="O2491" s="1249"/>
      <c r="P2491" s="1246">
        <v>2000</v>
      </c>
    </row>
    <row r="2492" spans="1:16" ht="24" x14ac:dyDescent="0.2">
      <c r="A2492" s="916"/>
      <c r="B2492" s="898"/>
      <c r="C2492" s="916"/>
      <c r="D2492" s="898"/>
      <c r="E2492" s="1144"/>
      <c r="F2492" s="943" t="s">
        <v>7990</v>
      </c>
      <c r="G2492" s="1245" t="s">
        <v>7991</v>
      </c>
      <c r="H2492" s="1245" t="s">
        <v>5043</v>
      </c>
      <c r="I2492" s="1147" t="s">
        <v>7742</v>
      </c>
      <c r="J2492" s="943" t="s">
        <v>3568</v>
      </c>
      <c r="K2492" s="944"/>
      <c r="L2492" s="1249"/>
      <c r="M2492" s="899"/>
      <c r="N2492" s="1319">
        <v>109</v>
      </c>
      <c r="O2492" s="1249"/>
      <c r="P2492" s="1246">
        <v>1200</v>
      </c>
    </row>
    <row r="2493" spans="1:16" ht="48" x14ac:dyDescent="0.2">
      <c r="A2493" s="916"/>
      <c r="B2493" s="898"/>
      <c r="C2493" s="916"/>
      <c r="D2493" s="898"/>
      <c r="E2493" s="1144"/>
      <c r="F2493" s="943" t="s">
        <v>7992</v>
      </c>
      <c r="G2493" s="1245" t="s">
        <v>7993</v>
      </c>
      <c r="H2493" s="1245" t="s">
        <v>7796</v>
      </c>
      <c r="I2493" s="1147" t="s">
        <v>7742</v>
      </c>
      <c r="J2493" s="943" t="s">
        <v>3568</v>
      </c>
      <c r="K2493" s="944"/>
      <c r="L2493" s="1249"/>
      <c r="M2493" s="899"/>
      <c r="N2493" s="898">
        <v>110</v>
      </c>
      <c r="O2493" s="1249"/>
      <c r="P2493" s="1246">
        <v>1000</v>
      </c>
    </row>
    <row r="2494" spans="1:16" ht="24" x14ac:dyDescent="0.2">
      <c r="A2494" s="916"/>
      <c r="B2494" s="898"/>
      <c r="C2494" s="916"/>
      <c r="D2494" s="898"/>
      <c r="E2494" s="1144"/>
      <c r="F2494" s="943" t="s">
        <v>7994</v>
      </c>
      <c r="G2494" s="1245" t="s">
        <v>7995</v>
      </c>
      <c r="H2494" s="1245" t="s">
        <v>5043</v>
      </c>
      <c r="I2494" s="1147" t="s">
        <v>7742</v>
      </c>
      <c r="J2494" s="943" t="s">
        <v>3568</v>
      </c>
      <c r="K2494" s="944"/>
      <c r="L2494" s="1249"/>
      <c r="M2494" s="899"/>
      <c r="N2494" s="898">
        <v>438</v>
      </c>
      <c r="O2494" s="1249"/>
      <c r="P2494" s="1246">
        <v>2000</v>
      </c>
    </row>
    <row r="2495" spans="1:16" ht="24" x14ac:dyDescent="0.2">
      <c r="A2495" s="916"/>
      <c r="B2495" s="898"/>
      <c r="C2495" s="916"/>
      <c r="D2495" s="898"/>
      <c r="E2495" s="1144"/>
      <c r="F2495" s="943" t="s">
        <v>7996</v>
      </c>
      <c r="G2495" s="1245" t="s">
        <v>7997</v>
      </c>
      <c r="H2495" s="1245" t="s">
        <v>3134</v>
      </c>
      <c r="I2495" s="1147" t="s">
        <v>7742</v>
      </c>
      <c r="J2495" s="943" t="s">
        <v>3568</v>
      </c>
      <c r="K2495" s="944"/>
      <c r="L2495" s="1249"/>
      <c r="M2495" s="899"/>
      <c r="N2495" s="1319">
        <v>111</v>
      </c>
      <c r="O2495" s="1249"/>
      <c r="P2495" s="1246">
        <v>2000</v>
      </c>
    </row>
    <row r="2496" spans="1:16" ht="24" x14ac:dyDescent="0.2">
      <c r="A2496" s="916"/>
      <c r="B2496" s="898"/>
      <c r="C2496" s="916"/>
      <c r="D2496" s="898"/>
      <c r="E2496" s="1144"/>
      <c r="F2496" s="943" t="s">
        <v>7998</v>
      </c>
      <c r="G2496" s="1245" t="s">
        <v>7999</v>
      </c>
      <c r="H2496" s="1245" t="s">
        <v>564</v>
      </c>
      <c r="I2496" s="1147" t="s">
        <v>7739</v>
      </c>
      <c r="J2496" s="943" t="s">
        <v>3568</v>
      </c>
      <c r="K2496" s="944"/>
      <c r="L2496" s="1249"/>
      <c r="M2496" s="899"/>
      <c r="N2496" s="1319">
        <v>112</v>
      </c>
      <c r="O2496" s="1249"/>
      <c r="P2496" s="1246">
        <v>3000</v>
      </c>
    </row>
    <row r="2497" spans="1:16" ht="24" x14ac:dyDescent="0.2">
      <c r="A2497" s="916"/>
      <c r="B2497" s="898"/>
      <c r="C2497" s="916"/>
      <c r="D2497" s="898"/>
      <c r="E2497" s="1144"/>
      <c r="F2497" s="943" t="s">
        <v>8000</v>
      </c>
      <c r="G2497" s="1245" t="s">
        <v>8001</v>
      </c>
      <c r="H2497" s="1245"/>
      <c r="I2497" s="1147" t="s">
        <v>7781</v>
      </c>
      <c r="J2497" s="943"/>
      <c r="K2497" s="944"/>
      <c r="L2497" s="1249"/>
      <c r="M2497" s="899"/>
      <c r="N2497" s="1319">
        <v>113</v>
      </c>
      <c r="O2497" s="1249"/>
      <c r="P2497" s="1246">
        <v>1500</v>
      </c>
    </row>
    <row r="2498" spans="1:16" ht="24" x14ac:dyDescent="0.2">
      <c r="A2498" s="916"/>
      <c r="B2498" s="898"/>
      <c r="C2498" s="916"/>
      <c r="D2498" s="898"/>
      <c r="E2498" s="1144"/>
      <c r="F2498" s="943" t="s">
        <v>8002</v>
      </c>
      <c r="G2498" s="1245" t="s">
        <v>8003</v>
      </c>
      <c r="H2498" s="1245" t="s">
        <v>517</v>
      </c>
      <c r="I2498" s="1147" t="s">
        <v>7739</v>
      </c>
      <c r="J2498" s="943" t="s">
        <v>3568</v>
      </c>
      <c r="K2498" s="944"/>
      <c r="L2498" s="1249"/>
      <c r="M2498" s="899"/>
      <c r="N2498" s="898">
        <v>114</v>
      </c>
      <c r="O2498" s="1249"/>
      <c r="P2498" s="1246">
        <v>3000</v>
      </c>
    </row>
    <row r="2499" spans="1:16" ht="24" x14ac:dyDescent="0.2">
      <c r="A2499" s="916"/>
      <c r="B2499" s="898"/>
      <c r="C2499" s="916"/>
      <c r="D2499" s="898"/>
      <c r="E2499" s="1144"/>
      <c r="F2499" s="943" t="s">
        <v>8004</v>
      </c>
      <c r="G2499" s="1245" t="s">
        <v>8005</v>
      </c>
      <c r="H2499" s="1245" t="s">
        <v>564</v>
      </c>
      <c r="I2499" s="1147" t="s">
        <v>7739</v>
      </c>
      <c r="J2499" s="943" t="s">
        <v>3568</v>
      </c>
      <c r="K2499" s="944"/>
      <c r="L2499" s="1249"/>
      <c r="M2499" s="899"/>
      <c r="N2499" s="898">
        <v>115</v>
      </c>
      <c r="O2499" s="1249"/>
      <c r="P2499" s="1246">
        <v>3000</v>
      </c>
    </row>
    <row r="2500" spans="1:16" ht="24" x14ac:dyDescent="0.2">
      <c r="A2500" s="916"/>
      <c r="B2500" s="898"/>
      <c r="C2500" s="916"/>
      <c r="D2500" s="898"/>
      <c r="E2500" s="1144"/>
      <c r="F2500" s="943" t="s">
        <v>8006</v>
      </c>
      <c r="G2500" s="1245" t="s">
        <v>8007</v>
      </c>
      <c r="H2500" s="1245" t="s">
        <v>5106</v>
      </c>
      <c r="I2500" s="1147" t="s">
        <v>7739</v>
      </c>
      <c r="J2500" s="943" t="s">
        <v>3568</v>
      </c>
      <c r="K2500" s="944"/>
      <c r="L2500" s="1249"/>
      <c r="M2500" s="899"/>
      <c r="N2500" s="898">
        <v>117</v>
      </c>
      <c r="O2500" s="1249"/>
      <c r="P2500" s="1246">
        <v>2200</v>
      </c>
    </row>
    <row r="2501" spans="1:16" x14ac:dyDescent="0.2">
      <c r="A2501" s="916"/>
      <c r="B2501" s="898"/>
      <c r="C2501" s="1311" t="s">
        <v>8008</v>
      </c>
      <c r="D2501" s="1320"/>
      <c r="E2501" s="1321"/>
      <c r="F2501" s="1322"/>
      <c r="G2501" s="1323"/>
      <c r="H2501" s="1323"/>
      <c r="I2501" s="1324"/>
      <c r="J2501" s="1322"/>
      <c r="K2501" s="1386"/>
      <c r="L2501" s="1325"/>
      <c r="M2501" s="1326"/>
      <c r="N2501" s="1325"/>
      <c r="O2501" s="1325"/>
      <c r="P2501" s="1327"/>
    </row>
    <row r="2502" spans="1:16" ht="24" x14ac:dyDescent="0.2">
      <c r="A2502" s="916"/>
      <c r="B2502" s="898"/>
      <c r="C2502" s="916"/>
      <c r="D2502" s="898"/>
      <c r="E2502" s="1144"/>
      <c r="F2502" s="943" t="s">
        <v>8009</v>
      </c>
      <c r="G2502" s="1245" t="s">
        <v>8010</v>
      </c>
      <c r="H2502" s="1245" t="s">
        <v>7769</v>
      </c>
      <c r="I2502" s="1147" t="s">
        <v>7739</v>
      </c>
      <c r="J2502" s="943"/>
      <c r="K2502" s="944"/>
      <c r="L2502" s="1249"/>
      <c r="M2502" s="899"/>
      <c r="N2502" s="1319">
        <v>191</v>
      </c>
      <c r="O2502" s="1249"/>
      <c r="P2502" s="1246">
        <v>2200</v>
      </c>
    </row>
    <row r="2503" spans="1:16" ht="48" x14ac:dyDescent="0.2">
      <c r="A2503" s="916"/>
      <c r="B2503" s="898"/>
      <c r="C2503" s="916"/>
      <c r="D2503" s="898"/>
      <c r="E2503" s="1144"/>
      <c r="F2503" s="943" t="s">
        <v>8011</v>
      </c>
      <c r="G2503" s="1245" t="s">
        <v>8012</v>
      </c>
      <c r="H2503" s="1245" t="s">
        <v>7796</v>
      </c>
      <c r="I2503" s="1147" t="s">
        <v>7742</v>
      </c>
      <c r="J2503" s="943"/>
      <c r="K2503" s="944"/>
      <c r="L2503" s="1249"/>
      <c r="M2503" s="899"/>
      <c r="N2503" s="898">
        <v>192</v>
      </c>
      <c r="O2503" s="1249"/>
      <c r="P2503" s="1246">
        <v>1000</v>
      </c>
    </row>
    <row r="2504" spans="1:16" ht="24" x14ac:dyDescent="0.2">
      <c r="A2504" s="916"/>
      <c r="B2504" s="898"/>
      <c r="C2504" s="916"/>
      <c r="D2504" s="898"/>
      <c r="E2504" s="1144"/>
      <c r="F2504" s="943" t="s">
        <v>8013</v>
      </c>
      <c r="G2504" s="1245" t="s">
        <v>8014</v>
      </c>
      <c r="H2504" s="1245"/>
      <c r="I2504" s="1147" t="s">
        <v>7781</v>
      </c>
      <c r="J2504" s="943"/>
      <c r="K2504" s="944"/>
      <c r="L2504" s="1249"/>
      <c r="M2504" s="899"/>
      <c r="N2504" s="1319">
        <v>193</v>
      </c>
      <c r="O2504" s="1249"/>
      <c r="P2504" s="1246">
        <v>1000</v>
      </c>
    </row>
    <row r="2505" spans="1:16" ht="24" x14ac:dyDescent="0.2">
      <c r="A2505" s="916"/>
      <c r="B2505" s="898"/>
      <c r="C2505" s="916"/>
      <c r="D2505" s="898"/>
      <c r="E2505" s="1144"/>
      <c r="F2505" s="943" t="s">
        <v>8015</v>
      </c>
      <c r="G2505" s="1245" t="s">
        <v>8016</v>
      </c>
      <c r="H2505" s="1245"/>
      <c r="I2505" s="1147" t="s">
        <v>7781</v>
      </c>
      <c r="J2505" s="943"/>
      <c r="K2505" s="944"/>
      <c r="L2505" s="1249"/>
      <c r="M2505" s="899"/>
      <c r="N2505" s="898">
        <v>194</v>
      </c>
      <c r="O2505" s="1249"/>
      <c r="P2505" s="1246">
        <v>1500</v>
      </c>
    </row>
    <row r="2506" spans="1:16" ht="24" x14ac:dyDescent="0.2">
      <c r="A2506" s="916"/>
      <c r="B2506" s="898"/>
      <c r="C2506" s="916"/>
      <c r="D2506" s="898"/>
      <c r="E2506" s="1144"/>
      <c r="F2506" s="943" t="s">
        <v>8017</v>
      </c>
      <c r="G2506" s="1245" t="s">
        <v>8018</v>
      </c>
      <c r="H2506" s="1245"/>
      <c r="I2506" s="1147" t="s">
        <v>7742</v>
      </c>
      <c r="J2506" s="943"/>
      <c r="K2506" s="944"/>
      <c r="L2506" s="1249"/>
      <c r="M2506" s="899"/>
      <c r="N2506" s="1319">
        <v>494</v>
      </c>
      <c r="O2506" s="1249"/>
      <c r="P2506" s="1246">
        <v>1200</v>
      </c>
    </row>
    <row r="2507" spans="1:16" ht="24" x14ac:dyDescent="0.2">
      <c r="A2507" s="916"/>
      <c r="B2507" s="898"/>
      <c r="C2507" s="916"/>
      <c r="D2507" s="898"/>
      <c r="E2507" s="1144"/>
      <c r="F2507" s="943" t="s">
        <v>8019</v>
      </c>
      <c r="G2507" s="1245" t="s">
        <v>8020</v>
      </c>
      <c r="H2507" s="1245" t="s">
        <v>8021</v>
      </c>
      <c r="I2507" s="1147" t="s">
        <v>7742</v>
      </c>
      <c r="J2507" s="943" t="s">
        <v>3568</v>
      </c>
      <c r="K2507" s="944"/>
      <c r="L2507" s="1249"/>
      <c r="M2507" s="899"/>
      <c r="N2507" s="898">
        <v>195</v>
      </c>
      <c r="O2507" s="1249"/>
      <c r="P2507" s="1246">
        <v>1200</v>
      </c>
    </row>
    <row r="2508" spans="1:16" ht="24" x14ac:dyDescent="0.2">
      <c r="A2508" s="916"/>
      <c r="B2508" s="898"/>
      <c r="C2508" s="916"/>
      <c r="D2508" s="898"/>
      <c r="E2508" s="1144"/>
      <c r="F2508" s="943" t="s">
        <v>8022</v>
      </c>
      <c r="G2508" s="1245" t="s">
        <v>8023</v>
      </c>
      <c r="H2508" s="1245" t="s">
        <v>7809</v>
      </c>
      <c r="I2508" s="1147" t="s">
        <v>7739</v>
      </c>
      <c r="J2508" s="943" t="s">
        <v>3568</v>
      </c>
      <c r="K2508" s="944"/>
      <c r="L2508" s="1249"/>
      <c r="M2508" s="899"/>
      <c r="N2508" s="1319">
        <v>196</v>
      </c>
      <c r="O2508" s="1249"/>
      <c r="P2508" s="1246">
        <v>2200</v>
      </c>
    </row>
    <row r="2509" spans="1:16" ht="24" x14ac:dyDescent="0.2">
      <c r="A2509" s="916"/>
      <c r="B2509" s="898"/>
      <c r="C2509" s="916"/>
      <c r="D2509" s="898"/>
      <c r="E2509" s="1144"/>
      <c r="F2509" s="943" t="s">
        <v>8024</v>
      </c>
      <c r="G2509" s="1245" t="s">
        <v>8025</v>
      </c>
      <c r="H2509" s="1245"/>
      <c r="I2509" s="1147" t="s">
        <v>7818</v>
      </c>
      <c r="J2509" s="943"/>
      <c r="K2509" s="944"/>
      <c r="L2509" s="1249"/>
      <c r="M2509" s="899"/>
      <c r="N2509" s="1319">
        <v>197</v>
      </c>
      <c r="O2509" s="1249"/>
      <c r="P2509" s="1246">
        <v>1000</v>
      </c>
    </row>
    <row r="2510" spans="1:16" ht="24" x14ac:dyDescent="0.2">
      <c r="A2510" s="916"/>
      <c r="B2510" s="898"/>
      <c r="C2510" s="916"/>
      <c r="D2510" s="898"/>
      <c r="E2510" s="1144"/>
      <c r="F2510" s="943" t="s">
        <v>8026</v>
      </c>
      <c r="G2510" s="1245" t="s">
        <v>8027</v>
      </c>
      <c r="H2510" s="1245"/>
      <c r="I2510" s="1147" t="s">
        <v>7781</v>
      </c>
      <c r="J2510" s="943"/>
      <c r="K2510" s="944"/>
      <c r="L2510" s="1249"/>
      <c r="M2510" s="899"/>
      <c r="N2510" s="1319">
        <v>199</v>
      </c>
      <c r="O2510" s="1249"/>
      <c r="P2510" s="1246">
        <v>1000</v>
      </c>
    </row>
    <row r="2511" spans="1:16" ht="24" x14ac:dyDescent="0.2">
      <c r="A2511" s="916"/>
      <c r="B2511" s="898"/>
      <c r="C2511" s="916"/>
      <c r="D2511" s="898"/>
      <c r="E2511" s="1144"/>
      <c r="F2511" s="943" t="s">
        <v>8028</v>
      </c>
      <c r="G2511" s="1245" t="s">
        <v>8029</v>
      </c>
      <c r="H2511" s="1245" t="s">
        <v>7809</v>
      </c>
      <c r="I2511" s="1147" t="s">
        <v>7739</v>
      </c>
      <c r="J2511" s="943" t="s">
        <v>3568</v>
      </c>
      <c r="K2511" s="944"/>
      <c r="L2511" s="1249"/>
      <c r="M2511" s="899"/>
      <c r="N2511" s="898">
        <v>198</v>
      </c>
      <c r="O2511" s="1249"/>
      <c r="P2511" s="1246">
        <v>1200</v>
      </c>
    </row>
    <row r="2512" spans="1:16" ht="24" x14ac:dyDescent="0.2">
      <c r="A2512" s="916"/>
      <c r="B2512" s="898"/>
      <c r="C2512" s="916"/>
      <c r="D2512" s="898"/>
      <c r="E2512" s="1144"/>
      <c r="F2512" s="943" t="s">
        <v>8030</v>
      </c>
      <c r="G2512" s="1245" t="s">
        <v>8031</v>
      </c>
      <c r="H2512" s="1245"/>
      <c r="I2512" s="1147" t="s">
        <v>7781</v>
      </c>
      <c r="J2512" s="943"/>
      <c r="K2512" s="944"/>
      <c r="L2512" s="1249"/>
      <c r="M2512" s="899"/>
      <c r="N2512" s="898">
        <v>200</v>
      </c>
      <c r="O2512" s="1249"/>
      <c r="P2512" s="1246">
        <v>1000</v>
      </c>
    </row>
    <row r="2513" spans="1:16" ht="24" x14ac:dyDescent="0.2">
      <c r="A2513" s="916"/>
      <c r="B2513" s="898"/>
      <c r="C2513" s="916"/>
      <c r="D2513" s="898"/>
      <c r="E2513" s="1144"/>
      <c r="F2513" s="943" t="s">
        <v>8032</v>
      </c>
      <c r="G2513" s="1245" t="s">
        <v>8033</v>
      </c>
      <c r="H2513" s="1245"/>
      <c r="I2513" s="1147" t="s">
        <v>7781</v>
      </c>
      <c r="J2513" s="943"/>
      <c r="K2513" s="944"/>
      <c r="L2513" s="1249"/>
      <c r="M2513" s="899"/>
      <c r="N2513" s="1319">
        <v>201</v>
      </c>
      <c r="O2513" s="1249"/>
      <c r="P2513" s="1246">
        <v>1500</v>
      </c>
    </row>
    <row r="2514" spans="1:16" ht="24" x14ac:dyDescent="0.2">
      <c r="A2514" s="916"/>
      <c r="B2514" s="898"/>
      <c r="C2514" s="916"/>
      <c r="D2514" s="898"/>
      <c r="E2514" s="1144"/>
      <c r="F2514" s="943" t="s">
        <v>8034</v>
      </c>
      <c r="G2514" s="1245" t="s">
        <v>8035</v>
      </c>
      <c r="H2514" s="1245"/>
      <c r="I2514" s="1147" t="s">
        <v>7781</v>
      </c>
      <c r="J2514" s="943"/>
      <c r="K2514" s="944"/>
      <c r="L2514" s="1249"/>
      <c r="M2514" s="899"/>
      <c r="N2514" s="898">
        <v>202</v>
      </c>
      <c r="O2514" s="1249"/>
      <c r="P2514" s="1246">
        <v>1000</v>
      </c>
    </row>
    <row r="2515" spans="1:16" ht="24" x14ac:dyDescent="0.2">
      <c r="A2515" s="916"/>
      <c r="B2515" s="898"/>
      <c r="C2515" s="916"/>
      <c r="D2515" s="898"/>
      <c r="E2515" s="1144"/>
      <c r="F2515" s="943" t="s">
        <v>8036</v>
      </c>
      <c r="G2515" s="1245" t="s">
        <v>8037</v>
      </c>
      <c r="H2515" s="1245" t="s">
        <v>7919</v>
      </c>
      <c r="I2515" s="1147" t="s">
        <v>7742</v>
      </c>
      <c r="J2515" s="943" t="s">
        <v>3568</v>
      </c>
      <c r="K2515" s="944"/>
      <c r="L2515" s="1249"/>
      <c r="M2515" s="899"/>
      <c r="N2515" s="898">
        <v>203</v>
      </c>
      <c r="O2515" s="1249"/>
      <c r="P2515" s="1246">
        <v>2000</v>
      </c>
    </row>
    <row r="2516" spans="1:16" ht="24" x14ac:dyDescent="0.2">
      <c r="A2516" s="916"/>
      <c r="B2516" s="898"/>
      <c r="C2516" s="916"/>
      <c r="D2516" s="898"/>
      <c r="E2516" s="1144"/>
      <c r="F2516" s="943" t="s">
        <v>8038</v>
      </c>
      <c r="G2516" s="1245" t="s">
        <v>8039</v>
      </c>
      <c r="H2516" s="1245" t="s">
        <v>8021</v>
      </c>
      <c r="I2516" s="1147" t="s">
        <v>7742</v>
      </c>
      <c r="J2516" s="943" t="s">
        <v>3568</v>
      </c>
      <c r="K2516" s="944"/>
      <c r="L2516" s="1249"/>
      <c r="M2516" s="899"/>
      <c r="N2516" s="898">
        <v>204</v>
      </c>
      <c r="O2516" s="1249"/>
      <c r="P2516" s="1246">
        <v>2500</v>
      </c>
    </row>
    <row r="2517" spans="1:16" ht="24" x14ac:dyDescent="0.2">
      <c r="A2517" s="916"/>
      <c r="B2517" s="898"/>
      <c r="C2517" s="916"/>
      <c r="D2517" s="898"/>
      <c r="E2517" s="1144"/>
      <c r="F2517" s="943" t="s">
        <v>8040</v>
      </c>
      <c r="G2517" s="1245" t="s">
        <v>8041</v>
      </c>
      <c r="H2517" s="1245"/>
      <c r="I2517" s="1147" t="s">
        <v>7781</v>
      </c>
      <c r="J2517" s="943"/>
      <c r="K2517" s="944"/>
      <c r="L2517" s="1249"/>
      <c r="M2517" s="899"/>
      <c r="N2517" s="1319">
        <v>205</v>
      </c>
      <c r="O2517" s="1249"/>
      <c r="P2517" s="1246">
        <v>1500</v>
      </c>
    </row>
    <row r="2518" spans="1:16" ht="24" x14ac:dyDescent="0.2">
      <c r="A2518" s="916"/>
      <c r="B2518" s="898"/>
      <c r="C2518" s="916"/>
      <c r="D2518" s="898"/>
      <c r="E2518" s="1144"/>
      <c r="F2518" s="943" t="s">
        <v>8042</v>
      </c>
      <c r="G2518" s="1245" t="s">
        <v>8043</v>
      </c>
      <c r="H2518" s="1245"/>
      <c r="I2518" s="1147" t="s">
        <v>7781</v>
      </c>
      <c r="J2518" s="943"/>
      <c r="K2518" s="944"/>
      <c r="L2518" s="1249"/>
      <c r="M2518" s="899"/>
      <c r="N2518" s="898">
        <v>206</v>
      </c>
      <c r="O2518" s="1249"/>
      <c r="P2518" s="1246">
        <v>1200</v>
      </c>
    </row>
    <row r="2519" spans="1:16" ht="24" x14ac:dyDescent="0.2">
      <c r="A2519" s="916"/>
      <c r="B2519" s="898"/>
      <c r="C2519" s="916"/>
      <c r="D2519" s="898"/>
      <c r="E2519" s="1144"/>
      <c r="F2519" s="943" t="s">
        <v>8044</v>
      </c>
      <c r="G2519" s="1245" t="s">
        <v>8045</v>
      </c>
      <c r="H2519" s="1245"/>
      <c r="I2519" s="1147" t="s">
        <v>7781</v>
      </c>
      <c r="J2519" s="943"/>
      <c r="K2519" s="944"/>
      <c r="L2519" s="1249"/>
      <c r="M2519" s="899"/>
      <c r="N2519" s="1319">
        <v>207</v>
      </c>
      <c r="O2519" s="1249"/>
      <c r="P2519" s="1246">
        <v>1000</v>
      </c>
    </row>
    <row r="2520" spans="1:16" ht="24" x14ac:dyDescent="0.2">
      <c r="A2520" s="916"/>
      <c r="B2520" s="898"/>
      <c r="C2520" s="916"/>
      <c r="D2520" s="898"/>
      <c r="E2520" s="1144"/>
      <c r="F2520" s="943" t="s">
        <v>8046</v>
      </c>
      <c r="G2520" s="1245" t="s">
        <v>8047</v>
      </c>
      <c r="H2520" s="1245" t="s">
        <v>7759</v>
      </c>
      <c r="I2520" s="1147" t="s">
        <v>7739</v>
      </c>
      <c r="J2520" s="943" t="s">
        <v>3568</v>
      </c>
      <c r="K2520" s="944"/>
      <c r="L2520" s="1249"/>
      <c r="M2520" s="899"/>
      <c r="N2520" s="898">
        <v>208</v>
      </c>
      <c r="O2520" s="1249"/>
      <c r="P2520" s="1246">
        <v>5500</v>
      </c>
    </row>
    <row r="2521" spans="1:16" ht="24" x14ac:dyDescent="0.2">
      <c r="A2521" s="916"/>
      <c r="B2521" s="898"/>
      <c r="C2521" s="916"/>
      <c r="D2521" s="898"/>
      <c r="E2521" s="1144"/>
      <c r="F2521" s="943" t="s">
        <v>8048</v>
      </c>
      <c r="G2521" s="1245" t="s">
        <v>8049</v>
      </c>
      <c r="H2521" s="1245" t="s">
        <v>5043</v>
      </c>
      <c r="I2521" s="1147" t="s">
        <v>7742</v>
      </c>
      <c r="J2521" s="943" t="s">
        <v>3568</v>
      </c>
      <c r="K2521" s="944"/>
      <c r="L2521" s="1249"/>
      <c r="M2521" s="899"/>
      <c r="N2521" s="1328" t="s">
        <v>8050</v>
      </c>
      <c r="O2521" s="1249"/>
      <c r="P2521" s="1246">
        <v>1200</v>
      </c>
    </row>
    <row r="2522" spans="1:16" ht="48" x14ac:dyDescent="0.2">
      <c r="A2522" s="916"/>
      <c r="B2522" s="898"/>
      <c r="C2522" s="916"/>
      <c r="D2522" s="898"/>
      <c r="E2522" s="1144"/>
      <c r="F2522" s="943" t="s">
        <v>8051</v>
      </c>
      <c r="G2522" s="1245" t="s">
        <v>8052</v>
      </c>
      <c r="H2522" s="1245" t="s">
        <v>7796</v>
      </c>
      <c r="I2522" s="1147" t="s">
        <v>7742</v>
      </c>
      <c r="J2522" s="943" t="s">
        <v>3568</v>
      </c>
      <c r="K2522" s="944"/>
      <c r="L2522" s="1249"/>
      <c r="M2522" s="899"/>
      <c r="N2522" s="898">
        <v>210</v>
      </c>
      <c r="O2522" s="1249"/>
      <c r="P2522" s="1246">
        <v>1000</v>
      </c>
    </row>
    <row r="2523" spans="1:16" ht="24" x14ac:dyDescent="0.2">
      <c r="A2523" s="916"/>
      <c r="B2523" s="898"/>
      <c r="C2523" s="916"/>
      <c r="D2523" s="898"/>
      <c r="E2523" s="1144"/>
      <c r="F2523" s="943" t="s">
        <v>8053</v>
      </c>
      <c r="G2523" s="1245" t="s">
        <v>8054</v>
      </c>
      <c r="H2523" s="1245" t="s">
        <v>5043</v>
      </c>
      <c r="I2523" s="1147" t="s">
        <v>7742</v>
      </c>
      <c r="J2523" s="943" t="s">
        <v>3568</v>
      </c>
      <c r="K2523" s="944"/>
      <c r="L2523" s="1249"/>
      <c r="M2523" s="899"/>
      <c r="N2523" s="1319">
        <v>211</v>
      </c>
      <c r="O2523" s="1249"/>
      <c r="P2523" s="1246">
        <v>1200</v>
      </c>
    </row>
    <row r="2524" spans="1:16" ht="24" x14ac:dyDescent="0.2">
      <c r="A2524" s="916"/>
      <c r="B2524" s="898"/>
      <c r="C2524" s="916"/>
      <c r="D2524" s="898"/>
      <c r="E2524" s="1144"/>
      <c r="F2524" s="943" t="s">
        <v>8055</v>
      </c>
      <c r="G2524" s="1245" t="s">
        <v>8056</v>
      </c>
      <c r="H2524" s="1245" t="s">
        <v>517</v>
      </c>
      <c r="I2524" s="1147" t="s">
        <v>7739</v>
      </c>
      <c r="J2524" s="943" t="s">
        <v>3568</v>
      </c>
      <c r="K2524" s="944"/>
      <c r="L2524" s="1249"/>
      <c r="M2524" s="899"/>
      <c r="N2524" s="898">
        <v>212</v>
      </c>
      <c r="O2524" s="1249"/>
      <c r="P2524" s="1246">
        <v>2200</v>
      </c>
    </row>
    <row r="2525" spans="1:16" ht="24" x14ac:dyDescent="0.2">
      <c r="A2525" s="916"/>
      <c r="B2525" s="898"/>
      <c r="C2525" s="916"/>
      <c r="D2525" s="898"/>
      <c r="E2525" s="1144"/>
      <c r="F2525" s="943" t="s">
        <v>8057</v>
      </c>
      <c r="G2525" s="1245" t="s">
        <v>8058</v>
      </c>
      <c r="H2525" s="1245" t="s">
        <v>5043</v>
      </c>
      <c r="I2525" s="1147" t="s">
        <v>7742</v>
      </c>
      <c r="J2525" s="943" t="s">
        <v>3568</v>
      </c>
      <c r="K2525" s="944"/>
      <c r="L2525" s="1249"/>
      <c r="M2525" s="899"/>
      <c r="N2525" s="898">
        <v>213</v>
      </c>
      <c r="O2525" s="1249"/>
      <c r="P2525" s="1246">
        <v>1200</v>
      </c>
    </row>
    <row r="2526" spans="1:16" ht="24" x14ac:dyDescent="0.2">
      <c r="A2526" s="916"/>
      <c r="B2526" s="898"/>
      <c r="C2526" s="916"/>
      <c r="D2526" s="898"/>
      <c r="E2526" s="1144"/>
      <c r="F2526" s="943" t="s">
        <v>8059</v>
      </c>
      <c r="G2526" s="1245" t="s">
        <v>8060</v>
      </c>
      <c r="H2526" s="1245"/>
      <c r="I2526" s="1147" t="s">
        <v>7781</v>
      </c>
      <c r="J2526" s="943"/>
      <c r="K2526" s="944"/>
      <c r="L2526" s="1249"/>
      <c r="M2526" s="899"/>
      <c r="N2526" s="1319">
        <v>214</v>
      </c>
      <c r="O2526" s="1249"/>
      <c r="P2526" s="1246">
        <v>1200</v>
      </c>
    </row>
    <row r="2527" spans="1:16" ht="24" x14ac:dyDescent="0.2">
      <c r="A2527" s="916"/>
      <c r="B2527" s="898"/>
      <c r="C2527" s="916"/>
      <c r="D2527" s="898"/>
      <c r="E2527" s="1144"/>
      <c r="F2527" s="943" t="s">
        <v>8061</v>
      </c>
      <c r="G2527" s="1245" t="s">
        <v>8062</v>
      </c>
      <c r="H2527" s="1245" t="s">
        <v>5043</v>
      </c>
      <c r="I2527" s="1147" t="s">
        <v>7742</v>
      </c>
      <c r="J2527" s="943" t="s">
        <v>3568</v>
      </c>
      <c r="K2527" s="944"/>
      <c r="L2527" s="1249"/>
      <c r="M2527" s="899"/>
      <c r="N2527" s="898">
        <v>215</v>
      </c>
      <c r="O2527" s="1249"/>
      <c r="P2527" s="1246">
        <v>1200</v>
      </c>
    </row>
    <row r="2528" spans="1:16" ht="24" x14ac:dyDescent="0.2">
      <c r="A2528" s="916"/>
      <c r="B2528" s="898"/>
      <c r="C2528" s="916"/>
      <c r="D2528" s="898"/>
      <c r="E2528" s="1144"/>
      <c r="F2528" s="943" t="s">
        <v>8063</v>
      </c>
      <c r="G2528" s="1245" t="s">
        <v>8064</v>
      </c>
      <c r="H2528" s="1245"/>
      <c r="I2528" s="1147" t="s">
        <v>7781</v>
      </c>
      <c r="J2528" s="943"/>
      <c r="K2528" s="944"/>
      <c r="L2528" s="1249"/>
      <c r="M2528" s="899"/>
      <c r="N2528" s="898">
        <v>217</v>
      </c>
      <c r="O2528" s="1249"/>
      <c r="P2528" s="1246">
        <v>1000</v>
      </c>
    </row>
    <row r="2529" spans="1:16" ht="24" x14ac:dyDescent="0.2">
      <c r="A2529" s="916"/>
      <c r="B2529" s="898"/>
      <c r="C2529" s="916"/>
      <c r="D2529" s="898"/>
      <c r="E2529" s="1144"/>
      <c r="F2529" s="943" t="s">
        <v>8065</v>
      </c>
      <c r="G2529" s="1245" t="s">
        <v>8066</v>
      </c>
      <c r="H2529" s="1245" t="s">
        <v>5043</v>
      </c>
      <c r="I2529" s="1147" t="s">
        <v>7742</v>
      </c>
      <c r="J2529" s="943" t="s">
        <v>3568</v>
      </c>
      <c r="K2529" s="944"/>
      <c r="L2529" s="1249"/>
      <c r="M2529" s="899"/>
      <c r="N2529" s="1319">
        <v>493</v>
      </c>
      <c r="O2529" s="1249"/>
      <c r="P2529" s="1246">
        <v>2500</v>
      </c>
    </row>
    <row r="2530" spans="1:16" ht="24" x14ac:dyDescent="0.2">
      <c r="A2530" s="916"/>
      <c r="B2530" s="898"/>
      <c r="C2530" s="916"/>
      <c r="D2530" s="898"/>
      <c r="E2530" s="1144"/>
      <c r="F2530" s="943" t="s">
        <v>8067</v>
      </c>
      <c r="G2530" s="1245" t="s">
        <v>8068</v>
      </c>
      <c r="H2530" s="1245" t="s">
        <v>471</v>
      </c>
      <c r="I2530" s="1147" t="s">
        <v>7739</v>
      </c>
      <c r="J2530" s="943" t="s">
        <v>3568</v>
      </c>
      <c r="K2530" s="944"/>
      <c r="L2530" s="1249"/>
      <c r="M2530" s="899"/>
      <c r="N2530" s="1319">
        <v>218</v>
      </c>
      <c r="O2530" s="1249"/>
      <c r="P2530" s="1246">
        <v>2200</v>
      </c>
    </row>
    <row r="2531" spans="1:16" ht="24" x14ac:dyDescent="0.2">
      <c r="A2531" s="916"/>
      <c r="B2531" s="898"/>
      <c r="C2531" s="916"/>
      <c r="D2531" s="898"/>
      <c r="E2531" s="1144"/>
      <c r="F2531" s="943" t="s">
        <v>8069</v>
      </c>
      <c r="G2531" s="1245" t="s">
        <v>8070</v>
      </c>
      <c r="H2531" s="1245" t="s">
        <v>517</v>
      </c>
      <c r="I2531" s="1147" t="s">
        <v>7739</v>
      </c>
      <c r="J2531" s="943" t="s">
        <v>3568</v>
      </c>
      <c r="K2531" s="944"/>
      <c r="L2531" s="1249"/>
      <c r="M2531" s="899"/>
      <c r="N2531" s="898">
        <v>219</v>
      </c>
      <c r="O2531" s="1249"/>
      <c r="P2531" s="1246">
        <v>3000</v>
      </c>
    </row>
    <row r="2532" spans="1:16" ht="24" x14ac:dyDescent="0.2">
      <c r="A2532" s="916"/>
      <c r="B2532" s="898"/>
      <c r="C2532" s="916"/>
      <c r="D2532" s="898"/>
      <c r="E2532" s="1144"/>
      <c r="F2532" s="943" t="s">
        <v>8071</v>
      </c>
      <c r="G2532" s="1245" t="s">
        <v>8072</v>
      </c>
      <c r="H2532" s="1245"/>
      <c r="I2532" s="1147" t="s">
        <v>7781</v>
      </c>
      <c r="J2532" s="943"/>
      <c r="K2532" s="944"/>
      <c r="L2532" s="1249"/>
      <c r="M2532" s="899"/>
      <c r="N2532" s="1319">
        <v>220</v>
      </c>
      <c r="O2532" s="1249"/>
      <c r="P2532" s="1246">
        <v>1000</v>
      </c>
    </row>
    <row r="2533" spans="1:16" ht="24" x14ac:dyDescent="0.2">
      <c r="A2533" s="916"/>
      <c r="B2533" s="898"/>
      <c r="C2533" s="916"/>
      <c r="D2533" s="898"/>
      <c r="E2533" s="1144"/>
      <c r="F2533" s="943" t="s">
        <v>8073</v>
      </c>
      <c r="G2533" s="1245" t="s">
        <v>8074</v>
      </c>
      <c r="H2533" s="1245" t="s">
        <v>5043</v>
      </c>
      <c r="I2533" s="1147" t="s">
        <v>7742</v>
      </c>
      <c r="J2533" s="943" t="s">
        <v>3568</v>
      </c>
      <c r="K2533" s="944"/>
      <c r="L2533" s="1249"/>
      <c r="M2533" s="899"/>
      <c r="N2533" s="1319">
        <v>222</v>
      </c>
      <c r="O2533" s="1249"/>
      <c r="P2533" s="1246">
        <v>1500</v>
      </c>
    </row>
    <row r="2534" spans="1:16" ht="24" x14ac:dyDescent="0.2">
      <c r="A2534" s="916"/>
      <c r="B2534" s="898"/>
      <c r="C2534" s="916"/>
      <c r="D2534" s="898"/>
      <c r="E2534" s="1144"/>
      <c r="F2534" s="943" t="s">
        <v>8075</v>
      </c>
      <c r="G2534" s="1245" t="s">
        <v>8076</v>
      </c>
      <c r="H2534" s="1245" t="s">
        <v>5043</v>
      </c>
      <c r="I2534" s="1147" t="s">
        <v>7742</v>
      </c>
      <c r="J2534" s="943" t="s">
        <v>3568</v>
      </c>
      <c r="K2534" s="944"/>
      <c r="L2534" s="1249"/>
      <c r="M2534" s="899"/>
      <c r="N2534" s="1319">
        <v>223</v>
      </c>
      <c r="O2534" s="1249"/>
      <c r="P2534" s="1246">
        <v>1200</v>
      </c>
    </row>
    <row r="2535" spans="1:16" ht="24" x14ac:dyDescent="0.2">
      <c r="A2535" s="916"/>
      <c r="B2535" s="898"/>
      <c r="C2535" s="916"/>
      <c r="D2535" s="898"/>
      <c r="E2535" s="1144"/>
      <c r="F2535" s="943" t="s">
        <v>8077</v>
      </c>
      <c r="G2535" s="1245" t="s">
        <v>8078</v>
      </c>
      <c r="H2535" s="1245" t="s">
        <v>7919</v>
      </c>
      <c r="I2535" s="1147" t="s">
        <v>7742</v>
      </c>
      <c r="J2535" s="943" t="s">
        <v>4952</v>
      </c>
      <c r="K2535" s="944"/>
      <c r="L2535" s="1249"/>
      <c r="M2535" s="899"/>
      <c r="N2535" s="1319">
        <v>221</v>
      </c>
      <c r="O2535" s="1249"/>
      <c r="P2535" s="1246">
        <v>2000</v>
      </c>
    </row>
    <row r="2536" spans="1:16" ht="24" x14ac:dyDescent="0.2">
      <c r="A2536" s="916"/>
      <c r="B2536" s="898"/>
      <c r="C2536" s="916"/>
      <c r="D2536" s="898"/>
      <c r="E2536" s="1144"/>
      <c r="F2536" s="943" t="s">
        <v>8079</v>
      </c>
      <c r="G2536" s="1245" t="s">
        <v>8080</v>
      </c>
      <c r="H2536" s="1245" t="s">
        <v>4016</v>
      </c>
      <c r="I2536" s="1147" t="s">
        <v>7739</v>
      </c>
      <c r="J2536" s="943" t="s">
        <v>3568</v>
      </c>
      <c r="K2536" s="944"/>
      <c r="L2536" s="1249"/>
      <c r="M2536" s="899"/>
      <c r="N2536" s="1319">
        <v>224</v>
      </c>
      <c r="O2536" s="1249"/>
      <c r="P2536" s="1246">
        <v>3000</v>
      </c>
    </row>
    <row r="2537" spans="1:16" ht="48" x14ac:dyDescent="0.2">
      <c r="A2537" s="916"/>
      <c r="B2537" s="898"/>
      <c r="C2537" s="916"/>
      <c r="D2537" s="898"/>
      <c r="E2537" s="1144"/>
      <c r="F2537" s="943" t="s">
        <v>8081</v>
      </c>
      <c r="G2537" s="1245" t="s">
        <v>8082</v>
      </c>
      <c r="H2537" s="1245" t="s">
        <v>7796</v>
      </c>
      <c r="I2537" s="1147" t="s">
        <v>7742</v>
      </c>
      <c r="J2537" s="943" t="s">
        <v>3568</v>
      </c>
      <c r="K2537" s="944"/>
      <c r="L2537" s="1249"/>
      <c r="M2537" s="899"/>
      <c r="N2537" s="898">
        <v>225</v>
      </c>
      <c r="O2537" s="1249"/>
      <c r="P2537" s="1246">
        <v>1000</v>
      </c>
    </row>
    <row r="2538" spans="1:16" ht="48" x14ac:dyDescent="0.2">
      <c r="A2538" s="916"/>
      <c r="B2538" s="898"/>
      <c r="C2538" s="916"/>
      <c r="D2538" s="898"/>
      <c r="E2538" s="1144"/>
      <c r="F2538" s="943" t="s">
        <v>8083</v>
      </c>
      <c r="G2538" s="1245" t="s">
        <v>8084</v>
      </c>
      <c r="H2538" s="1245" t="s">
        <v>7796</v>
      </c>
      <c r="I2538" s="1147" t="s">
        <v>7742</v>
      </c>
      <c r="J2538" s="943" t="s">
        <v>3568</v>
      </c>
      <c r="K2538" s="944"/>
      <c r="L2538" s="1249"/>
      <c r="M2538" s="899"/>
      <c r="N2538" s="898">
        <v>226</v>
      </c>
      <c r="O2538" s="1249"/>
      <c r="P2538" s="1246">
        <v>1000</v>
      </c>
    </row>
    <row r="2539" spans="1:16" ht="24" x14ac:dyDescent="0.2">
      <c r="A2539" s="916"/>
      <c r="B2539" s="898"/>
      <c r="C2539" s="916"/>
      <c r="D2539" s="898"/>
      <c r="E2539" s="1144"/>
      <c r="F2539" s="943" t="s">
        <v>8085</v>
      </c>
      <c r="G2539" s="1245" t="s">
        <v>8086</v>
      </c>
      <c r="H2539" s="1245"/>
      <c r="I2539" s="1147" t="s">
        <v>7781</v>
      </c>
      <c r="J2539" s="943"/>
      <c r="K2539" s="944"/>
      <c r="L2539" s="1249"/>
      <c r="M2539" s="899"/>
      <c r="N2539" s="1319">
        <v>228</v>
      </c>
      <c r="O2539" s="1249"/>
      <c r="P2539" s="1246">
        <v>1000</v>
      </c>
    </row>
    <row r="2540" spans="1:16" ht="24" x14ac:dyDescent="0.2">
      <c r="A2540" s="916"/>
      <c r="B2540" s="898"/>
      <c r="C2540" s="916"/>
      <c r="D2540" s="898"/>
      <c r="E2540" s="1144"/>
      <c r="F2540" s="943" t="s">
        <v>8087</v>
      </c>
      <c r="G2540" s="1245" t="s">
        <v>8088</v>
      </c>
      <c r="H2540" s="1245" t="s">
        <v>5043</v>
      </c>
      <c r="I2540" s="1147" t="s">
        <v>7742</v>
      </c>
      <c r="J2540" s="943" t="s">
        <v>3568</v>
      </c>
      <c r="K2540" s="944"/>
      <c r="L2540" s="1249"/>
      <c r="M2540" s="899"/>
      <c r="N2540" s="1319">
        <v>229</v>
      </c>
      <c r="O2540" s="1249"/>
      <c r="P2540" s="1246">
        <v>1200</v>
      </c>
    </row>
    <row r="2541" spans="1:16" ht="24" x14ac:dyDescent="0.2">
      <c r="A2541" s="916"/>
      <c r="B2541" s="898"/>
      <c r="C2541" s="916"/>
      <c r="D2541" s="898"/>
      <c r="E2541" s="1144"/>
      <c r="F2541" s="943" t="s">
        <v>8089</v>
      </c>
      <c r="G2541" s="1245" t="s">
        <v>8090</v>
      </c>
      <c r="H2541" s="1245" t="s">
        <v>5043</v>
      </c>
      <c r="I2541" s="1147" t="s">
        <v>7742</v>
      </c>
      <c r="J2541" s="943" t="s">
        <v>3568</v>
      </c>
      <c r="K2541" s="944"/>
      <c r="L2541" s="1249"/>
      <c r="M2541" s="899"/>
      <c r="N2541" s="1319">
        <v>230</v>
      </c>
      <c r="O2541" s="1249"/>
      <c r="P2541" s="1246">
        <v>1200</v>
      </c>
    </row>
    <row r="2542" spans="1:16" ht="48" x14ac:dyDescent="0.2">
      <c r="A2542" s="916"/>
      <c r="B2542" s="898"/>
      <c r="C2542" s="916"/>
      <c r="D2542" s="898"/>
      <c r="E2542" s="1144"/>
      <c r="F2542" s="943" t="s">
        <v>8091</v>
      </c>
      <c r="G2542" s="1245" t="s">
        <v>8092</v>
      </c>
      <c r="H2542" s="1245" t="s">
        <v>7796</v>
      </c>
      <c r="I2542" s="1147" t="s">
        <v>8093</v>
      </c>
      <c r="J2542" s="943" t="s">
        <v>3632</v>
      </c>
      <c r="K2542" s="944"/>
      <c r="L2542" s="1249"/>
      <c r="M2542" s="899"/>
      <c r="N2542" s="898">
        <v>231</v>
      </c>
      <c r="O2542" s="1249"/>
      <c r="P2542" s="1246">
        <v>1000</v>
      </c>
    </row>
    <row r="2543" spans="1:16" ht="24" x14ac:dyDescent="0.2">
      <c r="A2543" s="916"/>
      <c r="B2543" s="898"/>
      <c r="C2543" s="916"/>
      <c r="D2543" s="898"/>
      <c r="E2543" s="1144"/>
      <c r="F2543" s="943" t="s">
        <v>8094</v>
      </c>
      <c r="G2543" s="1245" t="s">
        <v>8095</v>
      </c>
      <c r="H2543" s="1245" t="s">
        <v>5043</v>
      </c>
      <c r="I2543" s="1147" t="s">
        <v>7742</v>
      </c>
      <c r="J2543" s="943" t="s">
        <v>3568</v>
      </c>
      <c r="K2543" s="944"/>
      <c r="L2543" s="1249"/>
      <c r="M2543" s="899"/>
      <c r="N2543" s="1328" t="s">
        <v>8096</v>
      </c>
      <c r="O2543" s="1249"/>
      <c r="P2543" s="1246">
        <v>1200</v>
      </c>
    </row>
    <row r="2544" spans="1:16" ht="24" x14ac:dyDescent="0.2">
      <c r="A2544" s="916"/>
      <c r="B2544" s="898"/>
      <c r="C2544" s="916"/>
      <c r="D2544" s="898"/>
      <c r="E2544" s="1144"/>
      <c r="F2544" s="943" t="s">
        <v>8097</v>
      </c>
      <c r="G2544" s="1245" t="s">
        <v>8098</v>
      </c>
      <c r="H2544" s="1245" t="s">
        <v>7759</v>
      </c>
      <c r="I2544" s="1147" t="s">
        <v>7739</v>
      </c>
      <c r="J2544" s="943" t="s">
        <v>3568</v>
      </c>
      <c r="K2544" s="944"/>
      <c r="L2544" s="1249"/>
      <c r="M2544" s="899"/>
      <c r="N2544" s="1319">
        <v>232</v>
      </c>
      <c r="O2544" s="1249"/>
      <c r="P2544" s="1246">
        <v>8000</v>
      </c>
    </row>
    <row r="2545" spans="1:16" ht="24" x14ac:dyDescent="0.2">
      <c r="A2545" s="916"/>
      <c r="B2545" s="898"/>
      <c r="C2545" s="916"/>
      <c r="D2545" s="898"/>
      <c r="E2545" s="1144"/>
      <c r="F2545" s="943" t="s">
        <v>8099</v>
      </c>
      <c r="G2545" s="1245" t="s">
        <v>8100</v>
      </c>
      <c r="H2545" s="1245" t="s">
        <v>5043</v>
      </c>
      <c r="I2545" s="1147" t="s">
        <v>7742</v>
      </c>
      <c r="J2545" s="943" t="s">
        <v>3568</v>
      </c>
      <c r="K2545" s="944"/>
      <c r="L2545" s="1249"/>
      <c r="M2545" s="899"/>
      <c r="N2545" s="898">
        <v>236</v>
      </c>
      <c r="O2545" s="1249"/>
      <c r="P2545" s="1246">
        <v>2500</v>
      </c>
    </row>
    <row r="2546" spans="1:16" ht="24" x14ac:dyDescent="0.2">
      <c r="A2546" s="916"/>
      <c r="B2546" s="898"/>
      <c r="C2546" s="916"/>
      <c r="D2546" s="898"/>
      <c r="E2546" s="1144"/>
      <c r="F2546" s="943" t="s">
        <v>8101</v>
      </c>
      <c r="G2546" s="1245" t="s">
        <v>8102</v>
      </c>
      <c r="H2546" s="1245" t="s">
        <v>7919</v>
      </c>
      <c r="I2546" s="1147" t="s">
        <v>7742</v>
      </c>
      <c r="J2546" s="943" t="s">
        <v>3568</v>
      </c>
      <c r="K2546" s="944"/>
      <c r="L2546" s="1249"/>
      <c r="M2546" s="899"/>
      <c r="N2546" s="1329">
        <v>237600</v>
      </c>
      <c r="O2546" s="1249"/>
      <c r="P2546" s="1246">
        <v>1000</v>
      </c>
    </row>
    <row r="2547" spans="1:16" ht="24" x14ac:dyDescent="0.2">
      <c r="A2547" s="916"/>
      <c r="B2547" s="898"/>
      <c r="C2547" s="916"/>
      <c r="D2547" s="898"/>
      <c r="E2547" s="1144"/>
      <c r="F2547" s="943" t="s">
        <v>8103</v>
      </c>
      <c r="G2547" s="1245" t="s">
        <v>8104</v>
      </c>
      <c r="H2547" s="1245" t="s">
        <v>7759</v>
      </c>
      <c r="I2547" s="1147" t="s">
        <v>7739</v>
      </c>
      <c r="J2547" s="943" t="s">
        <v>3568</v>
      </c>
      <c r="K2547" s="944"/>
      <c r="L2547" s="1249"/>
      <c r="M2547" s="899"/>
      <c r="N2547" s="898">
        <v>238</v>
      </c>
      <c r="O2547" s="1249"/>
      <c r="P2547" s="1246">
        <v>7000</v>
      </c>
    </row>
    <row r="2548" spans="1:16" ht="24" x14ac:dyDescent="0.2">
      <c r="A2548" s="916"/>
      <c r="B2548" s="898"/>
      <c r="C2548" s="916"/>
      <c r="D2548" s="898"/>
      <c r="E2548" s="1144"/>
      <c r="F2548" s="943" t="s">
        <v>8105</v>
      </c>
      <c r="G2548" s="1245" t="s">
        <v>8106</v>
      </c>
      <c r="H2548" s="1245" t="s">
        <v>517</v>
      </c>
      <c r="I2548" s="1147" t="s">
        <v>7739</v>
      </c>
      <c r="J2548" s="943" t="s">
        <v>3568</v>
      </c>
      <c r="K2548" s="944"/>
      <c r="L2548" s="1249"/>
      <c r="M2548" s="899"/>
      <c r="N2548" s="1319">
        <v>239</v>
      </c>
      <c r="O2548" s="1249"/>
      <c r="P2548" s="1246">
        <v>2200</v>
      </c>
    </row>
    <row r="2549" spans="1:16" ht="24" x14ac:dyDescent="0.2">
      <c r="A2549" s="916"/>
      <c r="B2549" s="898"/>
      <c r="C2549" s="916"/>
      <c r="D2549" s="898"/>
      <c r="E2549" s="1144"/>
      <c r="F2549" s="943" t="s">
        <v>8107</v>
      </c>
      <c r="G2549" s="1245" t="s">
        <v>8108</v>
      </c>
      <c r="H2549" s="1245"/>
      <c r="I2549" s="1147" t="s">
        <v>7781</v>
      </c>
      <c r="J2549" s="943"/>
      <c r="K2549" s="944"/>
      <c r="L2549" s="1249"/>
      <c r="M2549" s="899"/>
      <c r="N2549" s="1319">
        <v>429</v>
      </c>
      <c r="O2549" s="1249"/>
      <c r="P2549" s="1246">
        <v>1000</v>
      </c>
    </row>
    <row r="2550" spans="1:16" ht="24" x14ac:dyDescent="0.2">
      <c r="A2550" s="916"/>
      <c r="B2550" s="898"/>
      <c r="C2550" s="916"/>
      <c r="D2550" s="898"/>
      <c r="E2550" s="1144"/>
      <c r="F2550" s="943" t="s">
        <v>8109</v>
      </c>
      <c r="G2550" s="1245" t="s">
        <v>8110</v>
      </c>
      <c r="H2550" s="1245" t="s">
        <v>3134</v>
      </c>
      <c r="I2550" s="1147" t="s">
        <v>7742</v>
      </c>
      <c r="J2550" s="943" t="s">
        <v>3568</v>
      </c>
      <c r="K2550" s="944"/>
      <c r="L2550" s="1249"/>
      <c r="M2550" s="899"/>
      <c r="N2550" s="1319">
        <v>241</v>
      </c>
      <c r="O2550" s="1249"/>
      <c r="P2550" s="1246">
        <v>1300</v>
      </c>
    </row>
    <row r="2551" spans="1:16" ht="24" x14ac:dyDescent="0.2">
      <c r="A2551" s="916"/>
      <c r="B2551" s="898"/>
      <c r="C2551" s="916"/>
      <c r="D2551" s="898"/>
      <c r="E2551" s="1144"/>
      <c r="F2551" s="943" t="s">
        <v>8111</v>
      </c>
      <c r="G2551" s="1245" t="s">
        <v>8112</v>
      </c>
      <c r="H2551" s="1245" t="s">
        <v>7809</v>
      </c>
      <c r="I2551" s="1147" t="s">
        <v>7739</v>
      </c>
      <c r="J2551" s="943" t="s">
        <v>4952</v>
      </c>
      <c r="K2551" s="944"/>
      <c r="L2551" s="1249"/>
      <c r="M2551" s="899"/>
      <c r="N2551" s="1319">
        <v>243</v>
      </c>
      <c r="O2551" s="1249"/>
      <c r="P2551" s="1246">
        <v>1300</v>
      </c>
    </row>
    <row r="2552" spans="1:16" ht="24" x14ac:dyDescent="0.2">
      <c r="A2552" s="916"/>
      <c r="B2552" s="898"/>
      <c r="C2552" s="916"/>
      <c r="D2552" s="898"/>
      <c r="E2552" s="1144"/>
      <c r="F2552" s="943" t="s">
        <v>8113</v>
      </c>
      <c r="G2552" s="1245" t="s">
        <v>8114</v>
      </c>
      <c r="H2552" s="1245" t="s">
        <v>5043</v>
      </c>
      <c r="I2552" s="1147" t="s">
        <v>7742</v>
      </c>
      <c r="J2552" s="943" t="s">
        <v>3568</v>
      </c>
      <c r="K2552" s="944"/>
      <c r="L2552" s="1249"/>
      <c r="M2552" s="899"/>
      <c r="N2552" s="1329">
        <v>242605</v>
      </c>
      <c r="O2552" s="1249"/>
      <c r="P2552" s="1246">
        <v>1500</v>
      </c>
    </row>
    <row r="2553" spans="1:16" ht="24" x14ac:dyDescent="0.2">
      <c r="A2553" s="916"/>
      <c r="B2553" s="898"/>
      <c r="C2553" s="916"/>
      <c r="D2553" s="898"/>
      <c r="E2553" s="1144"/>
      <c r="F2553" s="943" t="s">
        <v>8115</v>
      </c>
      <c r="G2553" s="1245" t="s">
        <v>8116</v>
      </c>
      <c r="H2553" s="1245"/>
      <c r="I2553" s="1147" t="s">
        <v>7781</v>
      </c>
      <c r="J2553" s="943"/>
      <c r="K2553" s="944"/>
      <c r="L2553" s="1249"/>
      <c r="M2553" s="899"/>
      <c r="N2553" s="898">
        <v>244</v>
      </c>
      <c r="O2553" s="1249"/>
      <c r="P2553" s="1246">
        <v>1500</v>
      </c>
    </row>
    <row r="2554" spans="1:16" ht="24" x14ac:dyDescent="0.2">
      <c r="A2554" s="916"/>
      <c r="B2554" s="898"/>
      <c r="C2554" s="916"/>
      <c r="D2554" s="898"/>
      <c r="E2554" s="1144"/>
      <c r="F2554" s="943" t="s">
        <v>8117</v>
      </c>
      <c r="G2554" s="1245" t="s">
        <v>8118</v>
      </c>
      <c r="H2554" s="1245"/>
      <c r="I2554" s="1147" t="s">
        <v>7781</v>
      </c>
      <c r="J2554" s="943"/>
      <c r="K2554" s="944"/>
      <c r="L2554" s="1249"/>
      <c r="M2554" s="899"/>
      <c r="N2554" s="898">
        <v>323</v>
      </c>
      <c r="O2554" s="1249"/>
      <c r="P2554" s="1246">
        <v>2000</v>
      </c>
    </row>
    <row r="2555" spans="1:16" ht="24" x14ac:dyDescent="0.2">
      <c r="A2555" s="916"/>
      <c r="B2555" s="898"/>
      <c r="C2555" s="916"/>
      <c r="D2555" s="898"/>
      <c r="E2555" s="1144"/>
      <c r="F2555" s="943" t="s">
        <v>8119</v>
      </c>
      <c r="G2555" s="1245" t="s">
        <v>8120</v>
      </c>
      <c r="H2555" s="1245"/>
      <c r="I2555" s="1147" t="s">
        <v>7781</v>
      </c>
      <c r="J2555" s="943"/>
      <c r="K2555" s="944"/>
      <c r="L2555" s="1249"/>
      <c r="M2555" s="899"/>
      <c r="N2555" s="1319">
        <v>245</v>
      </c>
      <c r="O2555" s="1249"/>
      <c r="P2555" s="1246">
        <v>1500</v>
      </c>
    </row>
    <row r="2556" spans="1:16" ht="24" x14ac:dyDescent="0.2">
      <c r="A2556" s="916"/>
      <c r="B2556" s="898"/>
      <c r="C2556" s="916"/>
      <c r="D2556" s="898"/>
      <c r="E2556" s="1144"/>
      <c r="F2556" s="943" t="s">
        <v>8121</v>
      </c>
      <c r="G2556" s="1245" t="s">
        <v>8122</v>
      </c>
      <c r="H2556" s="1245" t="s">
        <v>5043</v>
      </c>
      <c r="I2556" s="1147" t="s">
        <v>7742</v>
      </c>
      <c r="J2556" s="943" t="s">
        <v>3568</v>
      </c>
      <c r="K2556" s="944"/>
      <c r="L2556" s="1249"/>
      <c r="M2556" s="899"/>
      <c r="N2556" s="898">
        <v>246</v>
      </c>
      <c r="O2556" s="1249"/>
      <c r="P2556" s="1246">
        <v>2500</v>
      </c>
    </row>
    <row r="2557" spans="1:16" ht="24" x14ac:dyDescent="0.2">
      <c r="A2557" s="916"/>
      <c r="B2557" s="898"/>
      <c r="C2557" s="916"/>
      <c r="D2557" s="898"/>
      <c r="E2557" s="1144"/>
      <c r="F2557" s="943" t="s">
        <v>8123</v>
      </c>
      <c r="G2557" s="1245" t="s">
        <v>8124</v>
      </c>
      <c r="H2557" s="1245" t="s">
        <v>5043</v>
      </c>
      <c r="I2557" s="1147" t="s">
        <v>7742</v>
      </c>
      <c r="J2557" s="943" t="s">
        <v>3568</v>
      </c>
      <c r="K2557" s="944"/>
      <c r="L2557" s="1249"/>
      <c r="M2557" s="899"/>
      <c r="N2557" s="1319">
        <v>247</v>
      </c>
      <c r="O2557" s="1249"/>
      <c r="P2557" s="1246">
        <v>1200</v>
      </c>
    </row>
    <row r="2558" spans="1:16" ht="24" x14ac:dyDescent="0.2">
      <c r="A2558" s="916"/>
      <c r="B2558" s="898"/>
      <c r="C2558" s="916"/>
      <c r="D2558" s="898"/>
      <c r="E2558" s="1144"/>
      <c r="F2558" s="943" t="s">
        <v>8125</v>
      </c>
      <c r="G2558" s="1245" t="s">
        <v>8126</v>
      </c>
      <c r="H2558" s="1245" t="s">
        <v>517</v>
      </c>
      <c r="I2558" s="1147" t="s">
        <v>7739</v>
      </c>
      <c r="J2558" s="943" t="s">
        <v>3568</v>
      </c>
      <c r="K2558" s="944"/>
      <c r="L2558" s="1249"/>
      <c r="M2558" s="899"/>
      <c r="N2558" s="1319">
        <v>249</v>
      </c>
      <c r="O2558" s="1249"/>
      <c r="P2558" s="1246">
        <v>3000</v>
      </c>
    </row>
    <row r="2559" spans="1:16" ht="24" x14ac:dyDescent="0.2">
      <c r="A2559" s="916"/>
      <c r="B2559" s="898"/>
      <c r="C2559" s="916"/>
      <c r="D2559" s="898"/>
      <c r="E2559" s="1144"/>
      <c r="F2559" s="943" t="s">
        <v>8127</v>
      </c>
      <c r="G2559" s="1245" t="s">
        <v>8128</v>
      </c>
      <c r="H2559" s="1245" t="s">
        <v>517</v>
      </c>
      <c r="I2559" s="1147" t="s">
        <v>7739</v>
      </c>
      <c r="J2559" s="943" t="s">
        <v>3568</v>
      </c>
      <c r="K2559" s="944"/>
      <c r="L2559" s="1249"/>
      <c r="M2559" s="899"/>
      <c r="N2559" s="898">
        <v>250</v>
      </c>
      <c r="O2559" s="1249"/>
      <c r="P2559" s="1246">
        <v>2200</v>
      </c>
    </row>
    <row r="2560" spans="1:16" ht="24" x14ac:dyDescent="0.2">
      <c r="A2560" s="916"/>
      <c r="B2560" s="898"/>
      <c r="C2560" s="916"/>
      <c r="D2560" s="898"/>
      <c r="E2560" s="1144"/>
      <c r="F2560" s="943" t="s">
        <v>8129</v>
      </c>
      <c r="G2560" s="1245" t="s">
        <v>8130</v>
      </c>
      <c r="H2560" s="1245" t="s">
        <v>8021</v>
      </c>
      <c r="I2560" s="1147" t="s">
        <v>7742</v>
      </c>
      <c r="J2560" s="943" t="s">
        <v>3568</v>
      </c>
      <c r="K2560" s="944"/>
      <c r="L2560" s="1249"/>
      <c r="M2560" s="899"/>
      <c r="N2560" s="1330" t="s">
        <v>8131</v>
      </c>
      <c r="O2560" s="1249"/>
      <c r="P2560" s="1246">
        <v>1200</v>
      </c>
    </row>
    <row r="2561" spans="1:16" ht="24" x14ac:dyDescent="0.2">
      <c r="A2561" s="916"/>
      <c r="B2561" s="898"/>
      <c r="C2561" s="916"/>
      <c r="D2561" s="898"/>
      <c r="E2561" s="1144"/>
      <c r="F2561" s="943" t="s">
        <v>8132</v>
      </c>
      <c r="G2561" s="1245" t="s">
        <v>8133</v>
      </c>
      <c r="H2561" s="1245"/>
      <c r="I2561" s="1147" t="s">
        <v>7781</v>
      </c>
      <c r="J2561" s="943"/>
      <c r="K2561" s="944"/>
      <c r="L2561" s="1249"/>
      <c r="M2561" s="899"/>
      <c r="N2561" s="1319">
        <v>253</v>
      </c>
      <c r="O2561" s="1249"/>
      <c r="P2561" s="1246">
        <v>1500</v>
      </c>
    </row>
    <row r="2562" spans="1:16" ht="24" x14ac:dyDescent="0.2">
      <c r="A2562" s="916"/>
      <c r="B2562" s="898"/>
      <c r="C2562" s="916"/>
      <c r="D2562" s="898"/>
      <c r="E2562" s="1144"/>
      <c r="F2562" s="943" t="s">
        <v>8134</v>
      </c>
      <c r="G2562" s="1245" t="s">
        <v>8135</v>
      </c>
      <c r="H2562" s="1245" t="s">
        <v>8021</v>
      </c>
      <c r="I2562" s="1147" t="s">
        <v>7742</v>
      </c>
      <c r="J2562" s="943" t="s">
        <v>3568</v>
      </c>
      <c r="K2562" s="944"/>
      <c r="L2562" s="1249"/>
      <c r="M2562" s="899"/>
      <c r="N2562" s="1319">
        <v>254</v>
      </c>
      <c r="O2562" s="1249"/>
      <c r="P2562" s="1246">
        <v>1200</v>
      </c>
    </row>
    <row r="2563" spans="1:16" ht="24" x14ac:dyDescent="0.2">
      <c r="A2563" s="916"/>
      <c r="B2563" s="898"/>
      <c r="C2563" s="916"/>
      <c r="D2563" s="898"/>
      <c r="E2563" s="1144"/>
      <c r="F2563" s="943" t="s">
        <v>8136</v>
      </c>
      <c r="G2563" s="1245" t="s">
        <v>8137</v>
      </c>
      <c r="H2563" s="1245" t="s">
        <v>5106</v>
      </c>
      <c r="I2563" s="1147" t="s">
        <v>7739</v>
      </c>
      <c r="J2563" s="943" t="s">
        <v>3568</v>
      </c>
      <c r="K2563" s="944"/>
      <c r="L2563" s="1249"/>
      <c r="M2563" s="899"/>
      <c r="N2563" s="1319">
        <v>255</v>
      </c>
      <c r="O2563" s="1249"/>
      <c r="P2563" s="1246">
        <v>2200</v>
      </c>
    </row>
    <row r="2564" spans="1:16" ht="24" x14ac:dyDescent="0.2">
      <c r="A2564" s="916"/>
      <c r="B2564" s="898"/>
      <c r="C2564" s="916"/>
      <c r="D2564" s="898"/>
      <c r="E2564" s="1144"/>
      <c r="F2564" s="943" t="s">
        <v>8138</v>
      </c>
      <c r="G2564" s="1245" t="s">
        <v>8139</v>
      </c>
      <c r="H2564" s="1245"/>
      <c r="I2564" s="1147" t="s">
        <v>7781</v>
      </c>
      <c r="J2564" s="943"/>
      <c r="K2564" s="944"/>
      <c r="L2564" s="1249"/>
      <c r="M2564" s="899"/>
      <c r="N2564" s="898">
        <v>256</v>
      </c>
      <c r="O2564" s="1249"/>
      <c r="P2564" s="1246">
        <v>1000</v>
      </c>
    </row>
    <row r="2565" spans="1:16" ht="24" x14ac:dyDescent="0.2">
      <c r="A2565" s="916"/>
      <c r="B2565" s="898"/>
      <c r="C2565" s="916"/>
      <c r="D2565" s="898"/>
      <c r="E2565" s="1144"/>
      <c r="F2565" s="943" t="s">
        <v>8140</v>
      </c>
      <c r="G2565" s="1245" t="s">
        <v>8141</v>
      </c>
      <c r="H2565" s="1245" t="s">
        <v>5043</v>
      </c>
      <c r="I2565" s="1147" t="s">
        <v>7742</v>
      </c>
      <c r="J2565" s="943" t="s">
        <v>3568</v>
      </c>
      <c r="K2565" s="944"/>
      <c r="L2565" s="1249"/>
      <c r="M2565" s="899"/>
      <c r="N2565" s="1319">
        <v>257</v>
      </c>
      <c r="O2565" s="1249"/>
      <c r="P2565" s="1246">
        <v>2500</v>
      </c>
    </row>
    <row r="2566" spans="1:16" ht="24" x14ac:dyDescent="0.2">
      <c r="A2566" s="916"/>
      <c r="B2566" s="898"/>
      <c r="C2566" s="916"/>
      <c r="D2566" s="898"/>
      <c r="E2566" s="1144"/>
      <c r="F2566" s="943" t="s">
        <v>8142</v>
      </c>
      <c r="G2566" s="1245" t="s">
        <v>8143</v>
      </c>
      <c r="H2566" s="1245"/>
      <c r="I2566" s="1147" t="s">
        <v>7781</v>
      </c>
      <c r="J2566" s="943"/>
      <c r="K2566" s="944"/>
      <c r="L2566" s="1249"/>
      <c r="M2566" s="899"/>
      <c r="N2566" s="898">
        <v>258</v>
      </c>
      <c r="O2566" s="1249"/>
      <c r="P2566" s="1246">
        <v>1000</v>
      </c>
    </row>
    <row r="2567" spans="1:16" ht="24" x14ac:dyDescent="0.2">
      <c r="A2567" s="916"/>
      <c r="B2567" s="898"/>
      <c r="C2567" s="916"/>
      <c r="D2567" s="898"/>
      <c r="E2567" s="1144"/>
      <c r="F2567" s="943" t="s">
        <v>8144</v>
      </c>
      <c r="G2567" s="1245" t="s">
        <v>8145</v>
      </c>
      <c r="H2567" s="1245" t="s">
        <v>5043</v>
      </c>
      <c r="I2567" s="1147" t="s">
        <v>7742</v>
      </c>
      <c r="J2567" s="943" t="s">
        <v>3568</v>
      </c>
      <c r="K2567" s="944"/>
      <c r="L2567" s="1249"/>
      <c r="M2567" s="899"/>
      <c r="N2567" s="1319">
        <v>259</v>
      </c>
      <c r="O2567" s="1249"/>
      <c r="P2567" s="1246">
        <v>1200</v>
      </c>
    </row>
    <row r="2568" spans="1:16" ht="24" x14ac:dyDescent="0.2">
      <c r="A2568" s="916"/>
      <c r="B2568" s="898"/>
      <c r="C2568" s="916"/>
      <c r="D2568" s="898"/>
      <c r="E2568" s="1144"/>
      <c r="F2568" s="943" t="s">
        <v>8146</v>
      </c>
      <c r="G2568" s="1245" t="s">
        <v>8147</v>
      </c>
      <c r="H2568" s="1245" t="s">
        <v>5106</v>
      </c>
      <c r="I2568" s="1147" t="s">
        <v>7739</v>
      </c>
      <c r="J2568" s="943" t="s">
        <v>3568</v>
      </c>
      <c r="K2568" s="944"/>
      <c r="L2568" s="1249"/>
      <c r="M2568" s="899"/>
      <c r="N2568" s="1319">
        <v>260</v>
      </c>
      <c r="O2568" s="1249"/>
      <c r="P2568" s="1246">
        <v>2500</v>
      </c>
    </row>
    <row r="2569" spans="1:16" ht="24" x14ac:dyDescent="0.2">
      <c r="A2569" s="916"/>
      <c r="B2569" s="898"/>
      <c r="C2569" s="916"/>
      <c r="D2569" s="898"/>
      <c r="E2569" s="1144"/>
      <c r="F2569" s="943" t="s">
        <v>8148</v>
      </c>
      <c r="G2569" s="1245" t="s">
        <v>8149</v>
      </c>
      <c r="H2569" s="1245" t="s">
        <v>5043</v>
      </c>
      <c r="I2569" s="1147" t="s">
        <v>7742</v>
      </c>
      <c r="J2569" s="943"/>
      <c r="K2569" s="944"/>
      <c r="L2569" s="1249"/>
      <c r="M2569" s="899"/>
      <c r="N2569" s="1329" t="s">
        <v>8150</v>
      </c>
      <c r="O2569" s="1249"/>
      <c r="P2569" s="1246">
        <v>1200</v>
      </c>
    </row>
    <row r="2570" spans="1:16" ht="24" x14ac:dyDescent="0.2">
      <c r="A2570" s="916"/>
      <c r="B2570" s="898"/>
      <c r="C2570" s="916"/>
      <c r="D2570" s="898"/>
      <c r="E2570" s="1144"/>
      <c r="F2570" s="943" t="s">
        <v>8151</v>
      </c>
      <c r="G2570" s="1245" t="s">
        <v>8152</v>
      </c>
      <c r="H2570" s="1245" t="s">
        <v>7759</v>
      </c>
      <c r="I2570" s="1147" t="s">
        <v>7739</v>
      </c>
      <c r="J2570" s="943" t="s">
        <v>3568</v>
      </c>
      <c r="K2570" s="944"/>
      <c r="L2570" s="1249"/>
      <c r="M2570" s="899"/>
      <c r="N2570" s="898">
        <v>427</v>
      </c>
      <c r="O2570" s="1249"/>
      <c r="P2570" s="1246">
        <v>4200</v>
      </c>
    </row>
    <row r="2571" spans="1:16" ht="24" x14ac:dyDescent="0.2">
      <c r="A2571" s="916"/>
      <c r="B2571" s="898"/>
      <c r="C2571" s="916"/>
      <c r="D2571" s="898"/>
      <c r="E2571" s="1144"/>
      <c r="F2571" s="943" t="s">
        <v>8153</v>
      </c>
      <c r="G2571" s="1245" t="s">
        <v>8154</v>
      </c>
      <c r="H2571" s="1245"/>
      <c r="I2571" s="1147" t="s">
        <v>7781</v>
      </c>
      <c r="J2571" s="943"/>
      <c r="K2571" s="944"/>
      <c r="L2571" s="1249"/>
      <c r="M2571" s="899"/>
      <c r="N2571" s="898">
        <v>262</v>
      </c>
      <c r="O2571" s="1249"/>
      <c r="P2571" s="1246">
        <v>1500</v>
      </c>
    </row>
    <row r="2572" spans="1:16" ht="24" x14ac:dyDescent="0.2">
      <c r="A2572" s="916"/>
      <c r="B2572" s="898"/>
      <c r="C2572" s="916"/>
      <c r="D2572" s="898"/>
      <c r="E2572" s="1144"/>
      <c r="F2572" s="943" t="s">
        <v>8155</v>
      </c>
      <c r="G2572" s="1245" t="s">
        <v>8156</v>
      </c>
      <c r="H2572" s="1245" t="s">
        <v>5043</v>
      </c>
      <c r="I2572" s="1147" t="s">
        <v>7742</v>
      </c>
      <c r="J2572" s="943" t="s">
        <v>3568</v>
      </c>
      <c r="K2572" s="944"/>
      <c r="L2572" s="1249"/>
      <c r="M2572" s="899"/>
      <c r="N2572" s="1331" t="s">
        <v>8157</v>
      </c>
      <c r="O2572" s="1249"/>
      <c r="P2572" s="1246">
        <v>1200</v>
      </c>
    </row>
    <row r="2573" spans="1:16" ht="24" x14ac:dyDescent="0.2">
      <c r="A2573" s="916"/>
      <c r="B2573" s="898"/>
      <c r="C2573" s="916"/>
      <c r="D2573" s="898"/>
      <c r="E2573" s="1144"/>
      <c r="F2573" s="943" t="s">
        <v>8158</v>
      </c>
      <c r="G2573" s="1245" t="s">
        <v>8159</v>
      </c>
      <c r="H2573" s="1245" t="s">
        <v>7753</v>
      </c>
      <c r="I2573" s="1147" t="s">
        <v>7781</v>
      </c>
      <c r="J2573" s="943"/>
      <c r="K2573" s="944"/>
      <c r="L2573" s="1249"/>
      <c r="M2573" s="899"/>
      <c r="N2573" s="898">
        <v>264</v>
      </c>
      <c r="O2573" s="1249"/>
      <c r="P2573" s="1246">
        <v>1500</v>
      </c>
    </row>
    <row r="2574" spans="1:16" ht="24" x14ac:dyDescent="0.2">
      <c r="A2574" s="916"/>
      <c r="B2574" s="898"/>
      <c r="C2574" s="916"/>
      <c r="D2574" s="898"/>
      <c r="E2574" s="1144"/>
      <c r="F2574" s="943" t="s">
        <v>8160</v>
      </c>
      <c r="G2574" s="1245" t="s">
        <v>8161</v>
      </c>
      <c r="H2574" s="1245"/>
      <c r="I2574" s="1147" t="s">
        <v>7781</v>
      </c>
      <c r="J2574" s="943"/>
      <c r="K2574" s="944"/>
      <c r="L2574" s="1249"/>
      <c r="M2574" s="899"/>
      <c r="N2574" s="898">
        <v>266</v>
      </c>
      <c r="O2574" s="1249"/>
      <c r="P2574" s="1246">
        <v>1000</v>
      </c>
    </row>
    <row r="2575" spans="1:16" ht="24" x14ac:dyDescent="0.2">
      <c r="A2575" s="916"/>
      <c r="B2575" s="898"/>
      <c r="C2575" s="916"/>
      <c r="D2575" s="898"/>
      <c r="E2575" s="1144"/>
      <c r="F2575" s="943" t="s">
        <v>8162</v>
      </c>
      <c r="G2575" s="1245" t="s">
        <v>8163</v>
      </c>
      <c r="H2575" s="1245" t="s">
        <v>5043</v>
      </c>
      <c r="I2575" s="1147" t="s">
        <v>7742</v>
      </c>
      <c r="J2575" s="943" t="s">
        <v>3568</v>
      </c>
      <c r="K2575" s="944"/>
      <c r="L2575" s="1249"/>
      <c r="M2575" s="899"/>
      <c r="N2575" s="1329" t="s">
        <v>8164</v>
      </c>
      <c r="O2575" s="1249"/>
      <c r="P2575" s="1246">
        <v>1200</v>
      </c>
    </row>
    <row r="2576" spans="1:16" ht="24" x14ac:dyDescent="0.2">
      <c r="A2576" s="916"/>
      <c r="B2576" s="898"/>
      <c r="C2576" s="916"/>
      <c r="D2576" s="898"/>
      <c r="E2576" s="1144"/>
      <c r="F2576" s="943" t="s">
        <v>8165</v>
      </c>
      <c r="G2576" s="1245" t="s">
        <v>8166</v>
      </c>
      <c r="H2576" s="1245" t="s">
        <v>7883</v>
      </c>
      <c r="I2576" s="1147" t="s">
        <v>7742</v>
      </c>
      <c r="J2576" s="943" t="s">
        <v>3568</v>
      </c>
      <c r="K2576" s="944"/>
      <c r="L2576" s="1249"/>
      <c r="M2576" s="899"/>
      <c r="N2576" s="1319">
        <v>269</v>
      </c>
      <c r="O2576" s="1249"/>
      <c r="P2576" s="1246">
        <v>1200</v>
      </c>
    </row>
    <row r="2577" spans="1:16" ht="24" x14ac:dyDescent="0.2">
      <c r="A2577" s="916"/>
      <c r="B2577" s="898"/>
      <c r="C2577" s="916"/>
      <c r="D2577" s="898"/>
      <c r="E2577" s="1144"/>
      <c r="F2577" s="943" t="s">
        <v>8167</v>
      </c>
      <c r="G2577" s="1245" t="s">
        <v>8168</v>
      </c>
      <c r="H2577" s="1245" t="s">
        <v>7809</v>
      </c>
      <c r="I2577" s="1147" t="s">
        <v>7739</v>
      </c>
      <c r="J2577" s="943" t="s">
        <v>3595</v>
      </c>
      <c r="K2577" s="944"/>
      <c r="L2577" s="1249"/>
      <c r="M2577" s="899"/>
      <c r="N2577" s="1319">
        <v>271</v>
      </c>
      <c r="O2577" s="1249"/>
      <c r="P2577" s="1246">
        <v>1500</v>
      </c>
    </row>
    <row r="2578" spans="1:16" ht="24" x14ac:dyDescent="0.2">
      <c r="A2578" s="916"/>
      <c r="B2578" s="898"/>
      <c r="C2578" s="916"/>
      <c r="D2578" s="898"/>
      <c r="E2578" s="1144"/>
      <c r="F2578" s="943" t="s">
        <v>8169</v>
      </c>
      <c r="G2578" s="1245" t="s">
        <v>8170</v>
      </c>
      <c r="H2578" s="1245" t="s">
        <v>5043</v>
      </c>
      <c r="I2578" s="1147" t="s">
        <v>7742</v>
      </c>
      <c r="J2578" s="943" t="s">
        <v>3568</v>
      </c>
      <c r="K2578" s="944"/>
      <c r="L2578" s="1249"/>
      <c r="M2578" s="899"/>
      <c r="N2578" s="898">
        <v>270</v>
      </c>
      <c r="O2578" s="1249"/>
      <c r="P2578" s="1246">
        <v>1500</v>
      </c>
    </row>
    <row r="2579" spans="1:16" ht="24" x14ac:dyDescent="0.2">
      <c r="A2579" s="916"/>
      <c r="B2579" s="898"/>
      <c r="C2579" s="916"/>
      <c r="D2579" s="898"/>
      <c r="E2579" s="1144"/>
      <c r="F2579" s="943" t="s">
        <v>8171</v>
      </c>
      <c r="G2579" s="1245" t="s">
        <v>8172</v>
      </c>
      <c r="H2579" s="1245"/>
      <c r="I2579" s="1147" t="s">
        <v>7781</v>
      </c>
      <c r="J2579" s="943"/>
      <c r="K2579" s="944"/>
      <c r="L2579" s="1249"/>
      <c r="M2579" s="899"/>
      <c r="N2579" s="898">
        <v>267</v>
      </c>
      <c r="O2579" s="1249"/>
      <c r="P2579" s="1246">
        <v>1200</v>
      </c>
    </row>
    <row r="2580" spans="1:16" ht="48" x14ac:dyDescent="0.2">
      <c r="A2580" s="916"/>
      <c r="B2580" s="898"/>
      <c r="C2580" s="916"/>
      <c r="D2580" s="898"/>
      <c r="E2580" s="1144"/>
      <c r="F2580" s="943" t="s">
        <v>8173</v>
      </c>
      <c r="G2580" s="1245" t="s">
        <v>8174</v>
      </c>
      <c r="H2580" s="1245" t="s">
        <v>7796</v>
      </c>
      <c r="I2580" s="1147" t="s">
        <v>7742</v>
      </c>
      <c r="J2580" s="943" t="s">
        <v>3568</v>
      </c>
      <c r="K2580" s="944"/>
      <c r="L2580" s="1249"/>
      <c r="M2580" s="899"/>
      <c r="N2580" s="898">
        <v>272</v>
      </c>
      <c r="O2580" s="1249"/>
      <c r="P2580" s="1246">
        <v>1200</v>
      </c>
    </row>
    <row r="2581" spans="1:16" ht="24" x14ac:dyDescent="0.2">
      <c r="A2581" s="916"/>
      <c r="B2581" s="898"/>
      <c r="C2581" s="916"/>
      <c r="D2581" s="898"/>
      <c r="E2581" s="1144"/>
      <c r="F2581" s="943">
        <v>10824393</v>
      </c>
      <c r="G2581" s="1245" t="s">
        <v>8175</v>
      </c>
      <c r="H2581" s="1245" t="s">
        <v>7759</v>
      </c>
      <c r="I2581" s="1147" t="s">
        <v>7739</v>
      </c>
      <c r="J2581" s="943" t="s">
        <v>3568</v>
      </c>
      <c r="K2581" s="944"/>
      <c r="L2581" s="1249"/>
      <c r="M2581" s="899"/>
      <c r="N2581" s="898" t="s">
        <v>8176</v>
      </c>
      <c r="O2581" s="1249"/>
      <c r="P2581" s="1246">
        <v>4200</v>
      </c>
    </row>
    <row r="2582" spans="1:16" ht="24" x14ac:dyDescent="0.2">
      <c r="A2582" s="916"/>
      <c r="B2582" s="898"/>
      <c r="C2582" s="916"/>
      <c r="D2582" s="898"/>
      <c r="E2582" s="1144"/>
      <c r="F2582" s="943" t="s">
        <v>8177</v>
      </c>
      <c r="G2582" s="1245" t="s">
        <v>8178</v>
      </c>
      <c r="H2582" s="1245"/>
      <c r="I2582" s="1147" t="s">
        <v>7781</v>
      </c>
      <c r="J2582" s="943"/>
      <c r="K2582" s="944"/>
      <c r="L2582" s="1249"/>
      <c r="M2582" s="899"/>
      <c r="N2582" s="1319">
        <v>275</v>
      </c>
      <c r="O2582" s="1249"/>
      <c r="P2582" s="1246">
        <v>1000</v>
      </c>
    </row>
    <row r="2583" spans="1:16" ht="24" x14ac:dyDescent="0.2">
      <c r="A2583" s="916"/>
      <c r="B2583" s="898"/>
      <c r="C2583" s="916"/>
      <c r="D2583" s="898"/>
      <c r="E2583" s="1144"/>
      <c r="F2583" s="943" t="s">
        <v>8179</v>
      </c>
      <c r="G2583" s="1245" t="s">
        <v>8180</v>
      </c>
      <c r="H2583" s="1245" t="s">
        <v>5043</v>
      </c>
      <c r="I2583" s="1147" t="s">
        <v>7742</v>
      </c>
      <c r="J2583" s="943" t="s">
        <v>3568</v>
      </c>
      <c r="K2583" s="944"/>
      <c r="L2583" s="1249"/>
      <c r="M2583" s="899"/>
      <c r="N2583" s="1319">
        <v>276</v>
      </c>
      <c r="O2583" s="1249"/>
      <c r="P2583" s="1246">
        <v>1200</v>
      </c>
    </row>
    <row r="2584" spans="1:16" ht="24" x14ac:dyDescent="0.2">
      <c r="A2584" s="916"/>
      <c r="B2584" s="898"/>
      <c r="C2584" s="916"/>
      <c r="D2584" s="898"/>
      <c r="E2584" s="1144"/>
      <c r="F2584" s="943" t="s">
        <v>8181</v>
      </c>
      <c r="G2584" s="1245" t="s">
        <v>8182</v>
      </c>
      <c r="H2584" s="1245"/>
      <c r="I2584" s="1147" t="s">
        <v>7781</v>
      </c>
      <c r="J2584" s="943"/>
      <c r="K2584" s="944"/>
      <c r="L2584" s="1249"/>
      <c r="M2584" s="899"/>
      <c r="N2584" s="1319">
        <v>277</v>
      </c>
      <c r="O2584" s="1249"/>
      <c r="P2584" s="1246">
        <v>1000</v>
      </c>
    </row>
    <row r="2585" spans="1:16" ht="24" x14ac:dyDescent="0.2">
      <c r="A2585" s="916"/>
      <c r="B2585" s="898"/>
      <c r="C2585" s="916"/>
      <c r="D2585" s="898"/>
      <c r="E2585" s="1144"/>
      <c r="F2585" s="943" t="s">
        <v>8183</v>
      </c>
      <c r="G2585" s="1245" t="s">
        <v>8184</v>
      </c>
      <c r="H2585" s="1245" t="s">
        <v>8021</v>
      </c>
      <c r="I2585" s="1147" t="s">
        <v>7742</v>
      </c>
      <c r="J2585" s="943" t="s">
        <v>3568</v>
      </c>
      <c r="K2585" s="944"/>
      <c r="L2585" s="1249"/>
      <c r="M2585" s="899"/>
      <c r="N2585" s="1319">
        <v>278</v>
      </c>
      <c r="O2585" s="1249"/>
      <c r="P2585" s="1246">
        <v>1200</v>
      </c>
    </row>
    <row r="2586" spans="1:16" ht="24" x14ac:dyDescent="0.2">
      <c r="A2586" s="916"/>
      <c r="B2586" s="898"/>
      <c r="C2586" s="916"/>
      <c r="D2586" s="898"/>
      <c r="E2586" s="1144"/>
      <c r="F2586" s="943" t="s">
        <v>8185</v>
      </c>
      <c r="G2586" s="1245" t="s">
        <v>8186</v>
      </c>
      <c r="H2586" s="1245" t="s">
        <v>5043</v>
      </c>
      <c r="I2586" s="1147" t="s">
        <v>7742</v>
      </c>
      <c r="J2586" s="943" t="s">
        <v>3568</v>
      </c>
      <c r="K2586" s="944"/>
      <c r="L2586" s="1249"/>
      <c r="M2586" s="899"/>
      <c r="N2586" s="1331" t="s">
        <v>8187</v>
      </c>
      <c r="O2586" s="1249"/>
      <c r="P2586" s="1246">
        <v>1200</v>
      </c>
    </row>
    <row r="2587" spans="1:16" ht="24" x14ac:dyDescent="0.2">
      <c r="A2587" s="916"/>
      <c r="B2587" s="898"/>
      <c r="C2587" s="916"/>
      <c r="D2587" s="898"/>
      <c r="E2587" s="1144"/>
      <c r="F2587" s="943" t="s">
        <v>8188</v>
      </c>
      <c r="G2587" s="1245" t="s">
        <v>8189</v>
      </c>
      <c r="H2587" s="1245"/>
      <c r="I2587" s="1147" t="s">
        <v>7781</v>
      </c>
      <c r="J2587" s="943"/>
      <c r="K2587" s="944"/>
      <c r="L2587" s="1249"/>
      <c r="M2587" s="899"/>
      <c r="N2587" s="898">
        <v>280</v>
      </c>
      <c r="O2587" s="1249"/>
      <c r="P2587" s="1246">
        <v>1000</v>
      </c>
    </row>
    <row r="2588" spans="1:16" ht="24" x14ac:dyDescent="0.2">
      <c r="A2588" s="916"/>
      <c r="B2588" s="898"/>
      <c r="C2588" s="916"/>
      <c r="D2588" s="898"/>
      <c r="E2588" s="1144"/>
      <c r="F2588" s="943" t="s">
        <v>5540</v>
      </c>
      <c r="G2588" s="1245" t="s">
        <v>5541</v>
      </c>
      <c r="H2588" s="1245" t="s">
        <v>517</v>
      </c>
      <c r="I2588" s="1147" t="s">
        <v>7739</v>
      </c>
      <c r="J2588" s="943" t="s">
        <v>3568</v>
      </c>
      <c r="K2588" s="944"/>
      <c r="L2588" s="1249"/>
      <c r="M2588" s="899"/>
      <c r="N2588" s="1319">
        <v>281</v>
      </c>
      <c r="O2588" s="1249"/>
      <c r="P2588" s="1246">
        <v>3000</v>
      </c>
    </row>
    <row r="2589" spans="1:16" ht="24" x14ac:dyDescent="0.2">
      <c r="A2589" s="916"/>
      <c r="B2589" s="898"/>
      <c r="C2589" s="916"/>
      <c r="D2589" s="898"/>
      <c r="E2589" s="1144"/>
      <c r="F2589" s="943" t="s">
        <v>8190</v>
      </c>
      <c r="G2589" s="1245" t="s">
        <v>8191</v>
      </c>
      <c r="H2589" s="1245" t="s">
        <v>3134</v>
      </c>
      <c r="I2589" s="1147" t="s">
        <v>7742</v>
      </c>
      <c r="J2589" s="943" t="s">
        <v>3568</v>
      </c>
      <c r="K2589" s="944"/>
      <c r="L2589" s="1249"/>
      <c r="M2589" s="899"/>
      <c r="N2589" s="898">
        <v>282</v>
      </c>
      <c r="O2589" s="1249"/>
      <c r="P2589" s="1246">
        <v>1300</v>
      </c>
    </row>
    <row r="2590" spans="1:16" ht="24" x14ac:dyDescent="0.2">
      <c r="A2590" s="916"/>
      <c r="B2590" s="898"/>
      <c r="C2590" s="916"/>
      <c r="D2590" s="898"/>
      <c r="E2590" s="1144"/>
      <c r="F2590" s="943" t="s">
        <v>8192</v>
      </c>
      <c r="G2590" s="1245" t="s">
        <v>8193</v>
      </c>
      <c r="H2590" s="1245"/>
      <c r="I2590" s="1147" t="s">
        <v>7781</v>
      </c>
      <c r="J2590" s="943"/>
      <c r="K2590" s="944"/>
      <c r="L2590" s="1249"/>
      <c r="M2590" s="899"/>
      <c r="N2590" s="898">
        <v>284</v>
      </c>
      <c r="O2590" s="1249"/>
      <c r="P2590" s="1246">
        <v>1800</v>
      </c>
    </row>
    <row r="2591" spans="1:16" ht="24" x14ac:dyDescent="0.2">
      <c r="A2591" s="916"/>
      <c r="B2591" s="898"/>
      <c r="C2591" s="916"/>
      <c r="D2591" s="898"/>
      <c r="E2591" s="1144"/>
      <c r="F2591" s="943" t="s">
        <v>8194</v>
      </c>
      <c r="G2591" s="1245" t="s">
        <v>8195</v>
      </c>
      <c r="H2591" s="1245" t="s">
        <v>8021</v>
      </c>
      <c r="I2591" s="1147" t="s">
        <v>7742</v>
      </c>
      <c r="J2591" s="943" t="s">
        <v>3568</v>
      </c>
      <c r="K2591" s="944"/>
      <c r="L2591" s="1249"/>
      <c r="M2591" s="899"/>
      <c r="N2591" s="898">
        <v>513</v>
      </c>
      <c r="O2591" s="1249"/>
      <c r="P2591" s="1246">
        <v>1200</v>
      </c>
    </row>
    <row r="2592" spans="1:16" ht="24" x14ac:dyDescent="0.2">
      <c r="A2592" s="916"/>
      <c r="B2592" s="898"/>
      <c r="C2592" s="916"/>
      <c r="D2592" s="898"/>
      <c r="E2592" s="1144"/>
      <c r="F2592" s="943" t="s">
        <v>8196</v>
      </c>
      <c r="G2592" s="1245" t="s">
        <v>8197</v>
      </c>
      <c r="H2592" s="1245"/>
      <c r="I2592" s="1147" t="s">
        <v>7781</v>
      </c>
      <c r="J2592" s="943"/>
      <c r="K2592" s="944"/>
      <c r="L2592" s="1249"/>
      <c r="M2592" s="899"/>
      <c r="N2592" s="1319">
        <v>285</v>
      </c>
      <c r="O2592" s="1249"/>
      <c r="P2592" s="1246">
        <v>1000</v>
      </c>
    </row>
    <row r="2593" spans="1:16" ht="24" x14ac:dyDescent="0.2">
      <c r="A2593" s="916"/>
      <c r="B2593" s="898"/>
      <c r="C2593" s="916"/>
      <c r="D2593" s="898"/>
      <c r="E2593" s="1144"/>
      <c r="F2593" s="943" t="s">
        <v>8198</v>
      </c>
      <c r="G2593" s="1245" t="s">
        <v>8199</v>
      </c>
      <c r="H2593" s="1245" t="s">
        <v>5106</v>
      </c>
      <c r="I2593" s="1147" t="s">
        <v>7739</v>
      </c>
      <c r="J2593" s="943" t="s">
        <v>3568</v>
      </c>
      <c r="K2593" s="944"/>
      <c r="L2593" s="1249"/>
      <c r="M2593" s="899"/>
      <c r="N2593" s="898">
        <v>286</v>
      </c>
      <c r="O2593" s="1249"/>
      <c r="P2593" s="1246">
        <v>2200</v>
      </c>
    </row>
    <row r="2594" spans="1:16" ht="24" x14ac:dyDescent="0.2">
      <c r="A2594" s="916"/>
      <c r="B2594" s="898"/>
      <c r="C2594" s="916"/>
      <c r="D2594" s="898"/>
      <c r="E2594" s="1144"/>
      <c r="F2594" s="943" t="s">
        <v>8200</v>
      </c>
      <c r="G2594" s="1245" t="s">
        <v>8201</v>
      </c>
      <c r="H2594" s="1245" t="s">
        <v>471</v>
      </c>
      <c r="I2594" s="1147" t="s">
        <v>7739</v>
      </c>
      <c r="J2594" s="943" t="s">
        <v>3568</v>
      </c>
      <c r="K2594" s="944"/>
      <c r="L2594" s="1249"/>
      <c r="M2594" s="899"/>
      <c r="N2594" s="1329" t="s">
        <v>8202</v>
      </c>
      <c r="O2594" s="1249"/>
      <c r="P2594" s="1246">
        <v>2200</v>
      </c>
    </row>
    <row r="2595" spans="1:16" ht="24" x14ac:dyDescent="0.2">
      <c r="A2595" s="916"/>
      <c r="B2595" s="898"/>
      <c r="C2595" s="916"/>
      <c r="D2595" s="898"/>
      <c r="E2595" s="1144"/>
      <c r="F2595" s="943" t="s">
        <v>8203</v>
      </c>
      <c r="G2595" s="1245" t="s">
        <v>8204</v>
      </c>
      <c r="H2595" s="1245" t="s">
        <v>8021</v>
      </c>
      <c r="I2595" s="1147" t="s">
        <v>7742</v>
      </c>
      <c r="J2595" s="943" t="s">
        <v>3568</v>
      </c>
      <c r="K2595" s="944"/>
      <c r="L2595" s="1249"/>
      <c r="M2595" s="899"/>
      <c r="N2595" s="1319">
        <v>288</v>
      </c>
      <c r="O2595" s="1249"/>
      <c r="P2595" s="1246">
        <v>1200</v>
      </c>
    </row>
    <row r="2596" spans="1:16" ht="24" x14ac:dyDescent="0.2">
      <c r="A2596" s="916"/>
      <c r="B2596" s="898"/>
      <c r="C2596" s="916"/>
      <c r="D2596" s="898"/>
      <c r="E2596" s="1144"/>
      <c r="F2596" s="943" t="s">
        <v>8205</v>
      </c>
      <c r="G2596" s="1245" t="s">
        <v>8206</v>
      </c>
      <c r="H2596" s="1245" t="s">
        <v>8021</v>
      </c>
      <c r="I2596" s="1147" t="s">
        <v>7742</v>
      </c>
      <c r="J2596" s="943" t="s">
        <v>3568</v>
      </c>
      <c r="K2596" s="944"/>
      <c r="L2596" s="1249"/>
      <c r="M2596" s="899"/>
      <c r="N2596" s="898">
        <v>290</v>
      </c>
      <c r="O2596" s="1249"/>
      <c r="P2596" s="1246">
        <v>1500</v>
      </c>
    </row>
    <row r="2597" spans="1:16" ht="48" x14ac:dyDescent="0.2">
      <c r="A2597" s="916"/>
      <c r="B2597" s="898"/>
      <c r="C2597" s="916"/>
      <c r="D2597" s="898"/>
      <c r="E2597" s="1144"/>
      <c r="F2597" s="943" t="s">
        <v>8207</v>
      </c>
      <c r="G2597" s="1245" t="s">
        <v>8208</v>
      </c>
      <c r="H2597" s="1245" t="s">
        <v>7796</v>
      </c>
      <c r="I2597" s="1147" t="s">
        <v>7742</v>
      </c>
      <c r="J2597" s="943" t="s">
        <v>3568</v>
      </c>
      <c r="K2597" s="944"/>
      <c r="L2597" s="1249"/>
      <c r="M2597" s="899"/>
      <c r="N2597" s="1319">
        <v>291</v>
      </c>
      <c r="O2597" s="1249"/>
      <c r="P2597" s="1246">
        <v>1000</v>
      </c>
    </row>
    <row r="2598" spans="1:16" ht="24" x14ac:dyDescent="0.2">
      <c r="A2598" s="916"/>
      <c r="B2598" s="898"/>
      <c r="C2598" s="916"/>
      <c r="D2598" s="898"/>
      <c r="E2598" s="1144"/>
      <c r="F2598" s="943" t="s">
        <v>8209</v>
      </c>
      <c r="G2598" s="1245" t="s">
        <v>8210</v>
      </c>
      <c r="H2598" s="1245" t="s">
        <v>5043</v>
      </c>
      <c r="I2598" s="1147" t="s">
        <v>7742</v>
      </c>
      <c r="J2598" s="943" t="s">
        <v>3568</v>
      </c>
      <c r="K2598" s="944"/>
      <c r="L2598" s="1249"/>
      <c r="M2598" s="899"/>
      <c r="N2598" s="898">
        <v>292</v>
      </c>
      <c r="O2598" s="1249"/>
      <c r="P2598" s="1246">
        <v>1200</v>
      </c>
    </row>
    <row r="2599" spans="1:16" ht="24" x14ac:dyDescent="0.2">
      <c r="A2599" s="916"/>
      <c r="B2599" s="898"/>
      <c r="C2599" s="916"/>
      <c r="D2599" s="898"/>
      <c r="E2599" s="1144"/>
      <c r="F2599" s="943" t="s">
        <v>8211</v>
      </c>
      <c r="G2599" s="1245" t="s">
        <v>8212</v>
      </c>
      <c r="H2599" s="1245"/>
      <c r="I2599" s="1147" t="s">
        <v>7781</v>
      </c>
      <c r="J2599" s="943"/>
      <c r="K2599" s="944"/>
      <c r="L2599" s="1249"/>
      <c r="M2599" s="899"/>
      <c r="N2599" s="1319">
        <v>293</v>
      </c>
      <c r="O2599" s="1249"/>
      <c r="P2599" s="1246">
        <v>1500</v>
      </c>
    </row>
    <row r="2600" spans="1:16" ht="24" x14ac:dyDescent="0.2">
      <c r="A2600" s="916"/>
      <c r="B2600" s="898"/>
      <c r="C2600" s="916"/>
      <c r="D2600" s="898"/>
      <c r="E2600" s="1144"/>
      <c r="F2600" s="943" t="s">
        <v>8213</v>
      </c>
      <c r="G2600" s="1245" t="s">
        <v>8214</v>
      </c>
      <c r="H2600" s="1245" t="s">
        <v>5106</v>
      </c>
      <c r="I2600" s="1147" t="s">
        <v>7739</v>
      </c>
      <c r="J2600" s="943" t="s">
        <v>3568</v>
      </c>
      <c r="K2600" s="944"/>
      <c r="L2600" s="1249"/>
      <c r="M2600" s="899"/>
      <c r="N2600" s="898">
        <v>294</v>
      </c>
      <c r="O2600" s="1249"/>
      <c r="P2600" s="1246">
        <v>2200</v>
      </c>
    </row>
    <row r="2601" spans="1:16" ht="24" x14ac:dyDescent="0.2">
      <c r="A2601" s="916"/>
      <c r="B2601" s="898"/>
      <c r="C2601" s="916"/>
      <c r="D2601" s="898"/>
      <c r="E2601" s="1144"/>
      <c r="F2601" s="943" t="s">
        <v>8215</v>
      </c>
      <c r="G2601" s="1245" t="s">
        <v>8216</v>
      </c>
      <c r="H2601" s="1245" t="s">
        <v>517</v>
      </c>
      <c r="I2601" s="1147" t="s">
        <v>7739</v>
      </c>
      <c r="J2601" s="943" t="s">
        <v>3568</v>
      </c>
      <c r="K2601" s="944"/>
      <c r="L2601" s="1249"/>
      <c r="M2601" s="899"/>
      <c r="N2601" s="1329" t="s">
        <v>8217</v>
      </c>
      <c r="O2601" s="1249"/>
      <c r="P2601" s="1246">
        <v>2200</v>
      </c>
    </row>
    <row r="2602" spans="1:16" ht="48" x14ac:dyDescent="0.2">
      <c r="A2602" s="916"/>
      <c r="B2602" s="898"/>
      <c r="C2602" s="916"/>
      <c r="D2602" s="898"/>
      <c r="E2602" s="1144"/>
      <c r="F2602" s="943" t="s">
        <v>8218</v>
      </c>
      <c r="G2602" s="1245" t="s">
        <v>8219</v>
      </c>
      <c r="H2602" s="1245" t="s">
        <v>7796</v>
      </c>
      <c r="I2602" s="1147" t="s">
        <v>7742</v>
      </c>
      <c r="J2602" s="943" t="s">
        <v>3568</v>
      </c>
      <c r="K2602" s="944"/>
      <c r="L2602" s="1249"/>
      <c r="M2602" s="899"/>
      <c r="N2602" s="898">
        <v>296</v>
      </c>
      <c r="O2602" s="1249"/>
      <c r="P2602" s="1246">
        <v>1000</v>
      </c>
    </row>
    <row r="2603" spans="1:16" ht="48" x14ac:dyDescent="0.2">
      <c r="A2603" s="916"/>
      <c r="B2603" s="898"/>
      <c r="C2603" s="916"/>
      <c r="D2603" s="898"/>
      <c r="E2603" s="1144"/>
      <c r="F2603" s="943" t="s">
        <v>8220</v>
      </c>
      <c r="G2603" s="1245" t="s">
        <v>8221</v>
      </c>
      <c r="H2603" s="1245" t="s">
        <v>7796</v>
      </c>
      <c r="I2603" s="1147" t="s">
        <v>7742</v>
      </c>
      <c r="J2603" s="943" t="s">
        <v>3568</v>
      </c>
      <c r="K2603" s="944"/>
      <c r="L2603" s="1249"/>
      <c r="M2603" s="899"/>
      <c r="N2603" s="1319">
        <v>297</v>
      </c>
      <c r="O2603" s="1249"/>
      <c r="P2603" s="1246">
        <v>1000</v>
      </c>
    </row>
    <row r="2604" spans="1:16" ht="24" x14ac:dyDescent="0.2">
      <c r="A2604" s="916"/>
      <c r="B2604" s="898"/>
      <c r="C2604" s="916"/>
      <c r="D2604" s="898"/>
      <c r="E2604" s="1144"/>
      <c r="F2604" s="943" t="s">
        <v>8222</v>
      </c>
      <c r="G2604" s="1245" t="s">
        <v>8223</v>
      </c>
      <c r="H2604" s="1245" t="s">
        <v>517</v>
      </c>
      <c r="I2604" s="1147" t="s">
        <v>7739</v>
      </c>
      <c r="J2604" s="943" t="s">
        <v>3568</v>
      </c>
      <c r="K2604" s="944"/>
      <c r="L2604" s="1249"/>
      <c r="M2604" s="899"/>
      <c r="N2604" s="898">
        <v>298</v>
      </c>
      <c r="O2604" s="1249"/>
      <c r="P2604" s="1246">
        <v>4500</v>
      </c>
    </row>
    <row r="2605" spans="1:16" ht="24" x14ac:dyDescent="0.2">
      <c r="A2605" s="916"/>
      <c r="B2605" s="898"/>
      <c r="C2605" s="916"/>
      <c r="D2605" s="898"/>
      <c r="E2605" s="1144"/>
      <c r="F2605" s="943" t="s">
        <v>8224</v>
      </c>
      <c r="G2605" s="1245" t="s">
        <v>8225</v>
      </c>
      <c r="H2605" s="1245" t="s">
        <v>8021</v>
      </c>
      <c r="I2605" s="1147" t="s">
        <v>7742</v>
      </c>
      <c r="J2605" s="943" t="s">
        <v>3568</v>
      </c>
      <c r="K2605" s="944"/>
      <c r="L2605" s="1249"/>
      <c r="M2605" s="899"/>
      <c r="N2605" s="1329" t="s">
        <v>8226</v>
      </c>
      <c r="O2605" s="1249"/>
      <c r="P2605" s="1246">
        <v>1200</v>
      </c>
    </row>
    <row r="2606" spans="1:16" ht="24" x14ac:dyDescent="0.2">
      <c r="A2606" s="916"/>
      <c r="B2606" s="898"/>
      <c r="C2606" s="916"/>
      <c r="D2606" s="898"/>
      <c r="E2606" s="1144"/>
      <c r="F2606" s="943" t="s">
        <v>8227</v>
      </c>
      <c r="G2606" s="1245" t="s">
        <v>8228</v>
      </c>
      <c r="H2606" s="1245" t="s">
        <v>5043</v>
      </c>
      <c r="I2606" s="1147" t="s">
        <v>7742</v>
      </c>
      <c r="J2606" s="943" t="s">
        <v>3568</v>
      </c>
      <c r="K2606" s="944"/>
      <c r="L2606" s="1249"/>
      <c r="M2606" s="899"/>
      <c r="N2606" s="1329" t="s">
        <v>8229</v>
      </c>
      <c r="O2606" s="1249"/>
      <c r="P2606" s="1246">
        <v>1200</v>
      </c>
    </row>
    <row r="2607" spans="1:16" ht="24" x14ac:dyDescent="0.2">
      <c r="A2607" s="916"/>
      <c r="B2607" s="898"/>
      <c r="C2607" s="916"/>
      <c r="D2607" s="898"/>
      <c r="E2607" s="1144"/>
      <c r="F2607" s="943" t="s">
        <v>8230</v>
      </c>
      <c r="G2607" s="1245" t="s">
        <v>8231</v>
      </c>
      <c r="H2607" s="1245" t="s">
        <v>7759</v>
      </c>
      <c r="I2607" s="1147" t="s">
        <v>7739</v>
      </c>
      <c r="J2607" s="943" t="s">
        <v>3568</v>
      </c>
      <c r="K2607" s="944"/>
      <c r="L2607" s="1249"/>
      <c r="M2607" s="899"/>
      <c r="N2607" s="1319">
        <v>302</v>
      </c>
      <c r="O2607" s="1249"/>
      <c r="P2607" s="1246">
        <v>5500</v>
      </c>
    </row>
    <row r="2608" spans="1:16" ht="24" x14ac:dyDescent="0.2">
      <c r="A2608" s="916"/>
      <c r="B2608" s="898"/>
      <c r="C2608" s="916"/>
      <c r="D2608" s="898"/>
      <c r="E2608" s="1144"/>
      <c r="F2608" s="943" t="s">
        <v>8232</v>
      </c>
      <c r="G2608" s="1245" t="s">
        <v>8233</v>
      </c>
      <c r="H2608" s="1245" t="s">
        <v>7883</v>
      </c>
      <c r="I2608" s="1147" t="s">
        <v>8093</v>
      </c>
      <c r="J2608" s="943" t="s">
        <v>3632</v>
      </c>
      <c r="K2608" s="944"/>
      <c r="L2608" s="1249"/>
      <c r="M2608" s="899"/>
      <c r="N2608" s="898">
        <v>303</v>
      </c>
      <c r="O2608" s="1249"/>
      <c r="P2608" s="1246">
        <v>1500</v>
      </c>
    </row>
    <row r="2609" spans="1:16" ht="24" x14ac:dyDescent="0.2">
      <c r="A2609" s="916"/>
      <c r="B2609" s="898"/>
      <c r="C2609" s="916"/>
      <c r="D2609" s="898"/>
      <c r="E2609" s="1144"/>
      <c r="F2609" s="943" t="s">
        <v>8234</v>
      </c>
      <c r="G2609" s="1245" t="s">
        <v>8235</v>
      </c>
      <c r="H2609" s="1245" t="s">
        <v>471</v>
      </c>
      <c r="I2609" s="1147" t="s">
        <v>7739</v>
      </c>
      <c r="J2609" s="943" t="s">
        <v>3568</v>
      </c>
      <c r="K2609" s="944"/>
      <c r="L2609" s="1249"/>
      <c r="M2609" s="899"/>
      <c r="N2609" s="1329" t="s">
        <v>8236</v>
      </c>
      <c r="O2609" s="1249"/>
      <c r="P2609" s="1246">
        <v>2200</v>
      </c>
    </row>
    <row r="2610" spans="1:16" ht="24" x14ac:dyDescent="0.2">
      <c r="A2610" s="916"/>
      <c r="B2610" s="898"/>
      <c r="C2610" s="916"/>
      <c r="D2610" s="898"/>
      <c r="E2610" s="1144"/>
      <c r="F2610" s="943" t="s">
        <v>8237</v>
      </c>
      <c r="G2610" s="1245" t="s">
        <v>8238</v>
      </c>
      <c r="H2610" s="1245" t="s">
        <v>5106</v>
      </c>
      <c r="I2610" s="1147" t="s">
        <v>7739</v>
      </c>
      <c r="J2610" s="943" t="s">
        <v>3568</v>
      </c>
      <c r="K2610" s="944"/>
      <c r="L2610" s="1249"/>
      <c r="M2610" s="899"/>
      <c r="N2610" s="898">
        <v>306</v>
      </c>
      <c r="O2610" s="1249"/>
      <c r="P2610" s="1246">
        <v>2500</v>
      </c>
    </row>
    <row r="2611" spans="1:16" ht="24" x14ac:dyDescent="0.2">
      <c r="A2611" s="916"/>
      <c r="B2611" s="898"/>
      <c r="C2611" s="916"/>
      <c r="D2611" s="898"/>
      <c r="E2611" s="1144"/>
      <c r="F2611" s="943" t="s">
        <v>5263</v>
      </c>
      <c r="G2611" s="1245" t="s">
        <v>5264</v>
      </c>
      <c r="H2611" s="1245" t="s">
        <v>7759</v>
      </c>
      <c r="I2611" s="1147" t="s">
        <v>7739</v>
      </c>
      <c r="J2611" s="943" t="s">
        <v>3568</v>
      </c>
      <c r="K2611" s="944"/>
      <c r="L2611" s="1249"/>
      <c r="M2611" s="899"/>
      <c r="N2611" s="898">
        <v>305</v>
      </c>
      <c r="O2611" s="1249"/>
      <c r="P2611" s="1246">
        <v>4200</v>
      </c>
    </row>
    <row r="2612" spans="1:16" ht="24" x14ac:dyDescent="0.2">
      <c r="A2612" s="916"/>
      <c r="B2612" s="898"/>
      <c r="C2612" s="916"/>
      <c r="D2612" s="898"/>
      <c r="E2612" s="1144"/>
      <c r="F2612" s="943" t="s">
        <v>8239</v>
      </c>
      <c r="G2612" s="1245" t="s">
        <v>8240</v>
      </c>
      <c r="H2612" s="1245" t="s">
        <v>471</v>
      </c>
      <c r="I2612" s="1147" t="s">
        <v>7739</v>
      </c>
      <c r="J2612" s="943" t="s">
        <v>3568</v>
      </c>
      <c r="K2612" s="944"/>
      <c r="L2612" s="1249"/>
      <c r="M2612" s="899"/>
      <c r="N2612" s="898">
        <v>307</v>
      </c>
      <c r="O2612" s="1249"/>
      <c r="P2612" s="1246">
        <v>2200</v>
      </c>
    </row>
    <row r="2613" spans="1:16" ht="24" x14ac:dyDescent="0.2">
      <c r="A2613" s="916"/>
      <c r="B2613" s="898"/>
      <c r="C2613" s="916"/>
      <c r="D2613" s="898"/>
      <c r="E2613" s="1144"/>
      <c r="F2613" s="943" t="s">
        <v>8241</v>
      </c>
      <c r="G2613" s="1245" t="s">
        <v>8242</v>
      </c>
      <c r="H2613" s="1245" t="s">
        <v>5043</v>
      </c>
      <c r="I2613" s="1147" t="s">
        <v>7742</v>
      </c>
      <c r="J2613" s="943" t="s">
        <v>3568</v>
      </c>
      <c r="K2613" s="944"/>
      <c r="L2613" s="1249"/>
      <c r="M2613" s="899"/>
      <c r="N2613" s="1331" t="s">
        <v>8243</v>
      </c>
      <c r="O2613" s="1249"/>
      <c r="P2613" s="1246">
        <v>1200</v>
      </c>
    </row>
    <row r="2614" spans="1:16" ht="24" x14ac:dyDescent="0.2">
      <c r="A2614" s="916"/>
      <c r="B2614" s="898"/>
      <c r="C2614" s="916"/>
      <c r="D2614" s="898"/>
      <c r="E2614" s="1144"/>
      <c r="F2614" s="943" t="s">
        <v>8244</v>
      </c>
      <c r="G2614" s="1245" t="s">
        <v>8245</v>
      </c>
      <c r="H2614" s="1245"/>
      <c r="I2614" s="1147" t="s">
        <v>7781</v>
      </c>
      <c r="J2614" s="943"/>
      <c r="K2614" s="944"/>
      <c r="L2614" s="1249"/>
      <c r="M2614" s="899"/>
      <c r="N2614" s="1319">
        <v>309</v>
      </c>
      <c r="O2614" s="1249"/>
      <c r="P2614" s="1246">
        <v>1000</v>
      </c>
    </row>
    <row r="2615" spans="1:16" ht="24" x14ac:dyDescent="0.2">
      <c r="A2615" s="916"/>
      <c r="B2615" s="898"/>
      <c r="C2615" s="916"/>
      <c r="D2615" s="898"/>
      <c r="E2615" s="1144"/>
      <c r="F2615" s="943" t="s">
        <v>8246</v>
      </c>
      <c r="G2615" s="1245" t="s">
        <v>8247</v>
      </c>
      <c r="H2615" s="1245" t="s">
        <v>5106</v>
      </c>
      <c r="I2615" s="1147" t="s">
        <v>7739</v>
      </c>
      <c r="J2615" s="943" t="s">
        <v>3568</v>
      </c>
      <c r="K2615" s="944"/>
      <c r="L2615" s="1249"/>
      <c r="M2615" s="899"/>
      <c r="N2615" s="1319">
        <v>310</v>
      </c>
      <c r="O2615" s="1249"/>
      <c r="P2615" s="1246">
        <v>4500</v>
      </c>
    </row>
    <row r="2616" spans="1:16" ht="24" x14ac:dyDescent="0.2">
      <c r="A2616" s="916"/>
      <c r="B2616" s="898"/>
      <c r="C2616" s="916"/>
      <c r="D2616" s="898"/>
      <c r="E2616" s="1144"/>
      <c r="F2616" s="943" t="s">
        <v>8248</v>
      </c>
      <c r="G2616" s="1245" t="s">
        <v>8249</v>
      </c>
      <c r="H2616" s="1245" t="s">
        <v>8021</v>
      </c>
      <c r="I2616" s="1147" t="s">
        <v>7742</v>
      </c>
      <c r="J2616" s="943" t="s">
        <v>3568</v>
      </c>
      <c r="K2616" s="944"/>
      <c r="L2616" s="1249"/>
      <c r="M2616" s="899"/>
      <c r="N2616" s="898">
        <v>311</v>
      </c>
      <c r="O2616" s="1249"/>
      <c r="P2616" s="1246">
        <v>3000</v>
      </c>
    </row>
    <row r="2617" spans="1:16" ht="48" x14ac:dyDescent="0.2">
      <c r="A2617" s="916"/>
      <c r="B2617" s="898"/>
      <c r="C2617" s="916"/>
      <c r="D2617" s="898"/>
      <c r="E2617" s="1144"/>
      <c r="F2617" s="943" t="s">
        <v>8250</v>
      </c>
      <c r="G2617" s="1245" t="s">
        <v>8251</v>
      </c>
      <c r="H2617" s="1245" t="s">
        <v>7796</v>
      </c>
      <c r="I2617" s="1147" t="s">
        <v>7742</v>
      </c>
      <c r="J2617" s="943" t="s">
        <v>3568</v>
      </c>
      <c r="K2617" s="944"/>
      <c r="L2617" s="1249"/>
      <c r="M2617" s="899"/>
      <c r="N2617" s="898">
        <v>314</v>
      </c>
      <c r="O2617" s="1249"/>
      <c r="P2617" s="1246">
        <v>1000</v>
      </c>
    </row>
    <row r="2618" spans="1:16" ht="24" x14ac:dyDescent="0.2">
      <c r="A2618" s="916"/>
      <c r="B2618" s="898"/>
      <c r="C2618" s="916"/>
      <c r="D2618" s="898"/>
      <c r="E2618" s="1144"/>
      <c r="F2618" s="943" t="s">
        <v>8252</v>
      </c>
      <c r="G2618" s="1245" t="s">
        <v>8253</v>
      </c>
      <c r="H2618" s="1245" t="s">
        <v>5106</v>
      </c>
      <c r="I2618" s="1147" t="s">
        <v>7739</v>
      </c>
      <c r="J2618" s="943" t="s">
        <v>3568</v>
      </c>
      <c r="K2618" s="944"/>
      <c r="L2618" s="1249"/>
      <c r="M2618" s="899"/>
      <c r="N2618" s="1329" t="s">
        <v>8254</v>
      </c>
      <c r="O2618" s="1249"/>
      <c r="P2618" s="1246">
        <v>2200</v>
      </c>
    </row>
    <row r="2619" spans="1:16" ht="24" x14ac:dyDescent="0.2">
      <c r="A2619" s="916"/>
      <c r="B2619" s="898"/>
      <c r="C2619" s="916"/>
      <c r="D2619" s="898"/>
      <c r="E2619" s="1144"/>
      <c r="F2619" s="943" t="s">
        <v>8255</v>
      </c>
      <c r="G2619" s="1245" t="s">
        <v>8256</v>
      </c>
      <c r="H2619" s="1245"/>
      <c r="I2619" s="1147" t="s">
        <v>7781</v>
      </c>
      <c r="J2619" s="943"/>
      <c r="K2619" s="944"/>
      <c r="L2619" s="1249"/>
      <c r="M2619" s="899"/>
      <c r="N2619" s="898">
        <v>316</v>
      </c>
      <c r="O2619" s="1249"/>
      <c r="P2619" s="1246">
        <v>1000</v>
      </c>
    </row>
    <row r="2620" spans="1:16" ht="48" x14ac:dyDescent="0.2">
      <c r="A2620" s="916"/>
      <c r="B2620" s="898"/>
      <c r="C2620" s="916"/>
      <c r="D2620" s="898"/>
      <c r="E2620" s="1144"/>
      <c r="F2620" s="943" t="s">
        <v>8257</v>
      </c>
      <c r="G2620" s="1245" t="s">
        <v>8258</v>
      </c>
      <c r="H2620" s="1245" t="s">
        <v>7796</v>
      </c>
      <c r="I2620" s="1147" t="s">
        <v>7742</v>
      </c>
      <c r="J2620" s="943" t="s">
        <v>3568</v>
      </c>
      <c r="K2620" s="944"/>
      <c r="L2620" s="1249"/>
      <c r="M2620" s="899"/>
      <c r="N2620" s="1319">
        <v>351</v>
      </c>
      <c r="O2620" s="1249"/>
      <c r="P2620" s="1246">
        <v>1000</v>
      </c>
    </row>
    <row r="2621" spans="1:16" ht="24" x14ac:dyDescent="0.2">
      <c r="A2621" s="916"/>
      <c r="B2621" s="898"/>
      <c r="C2621" s="916"/>
      <c r="D2621" s="898"/>
      <c r="E2621" s="1144"/>
      <c r="F2621" s="943" t="s">
        <v>8259</v>
      </c>
      <c r="G2621" s="1245" t="s">
        <v>8260</v>
      </c>
      <c r="H2621" s="1245"/>
      <c r="I2621" s="1147" t="s">
        <v>7781</v>
      </c>
      <c r="J2621" s="943"/>
      <c r="K2621" s="944"/>
      <c r="L2621" s="1249"/>
      <c r="M2621" s="899"/>
      <c r="N2621" s="1319">
        <v>317</v>
      </c>
      <c r="O2621" s="1249"/>
      <c r="P2621" s="1246">
        <v>1000</v>
      </c>
    </row>
    <row r="2622" spans="1:16" ht="24" x14ac:dyDescent="0.2">
      <c r="A2622" s="916"/>
      <c r="B2622" s="898"/>
      <c r="C2622" s="916"/>
      <c r="D2622" s="898"/>
      <c r="E2622" s="1144"/>
      <c r="F2622" s="943" t="s">
        <v>8261</v>
      </c>
      <c r="G2622" s="1245" t="s">
        <v>8262</v>
      </c>
      <c r="H2622" s="1245" t="s">
        <v>5043</v>
      </c>
      <c r="I2622" s="1147" t="s">
        <v>7742</v>
      </c>
      <c r="J2622" s="943" t="s">
        <v>4952</v>
      </c>
      <c r="K2622" s="944"/>
      <c r="L2622" s="1249"/>
      <c r="M2622" s="899"/>
      <c r="N2622" s="1331" t="s">
        <v>8263</v>
      </c>
      <c r="O2622" s="1249"/>
      <c r="P2622" s="1246">
        <v>1200</v>
      </c>
    </row>
    <row r="2623" spans="1:16" ht="24" x14ac:dyDescent="0.2">
      <c r="A2623" s="916"/>
      <c r="B2623" s="898"/>
      <c r="C2623" s="916"/>
      <c r="D2623" s="898"/>
      <c r="E2623" s="1144"/>
      <c r="F2623" s="943" t="s">
        <v>8264</v>
      </c>
      <c r="G2623" s="1245" t="s">
        <v>8265</v>
      </c>
      <c r="H2623" s="1245" t="s">
        <v>3134</v>
      </c>
      <c r="I2623" s="1147" t="s">
        <v>7742</v>
      </c>
      <c r="J2623" s="943" t="s">
        <v>3568</v>
      </c>
      <c r="K2623" s="944"/>
      <c r="L2623" s="1249"/>
      <c r="M2623" s="899"/>
      <c r="N2623" s="898">
        <v>319</v>
      </c>
      <c r="O2623" s="1249"/>
      <c r="P2623" s="1246">
        <v>1500</v>
      </c>
    </row>
    <row r="2624" spans="1:16" ht="24" x14ac:dyDescent="0.2">
      <c r="A2624" s="916"/>
      <c r="B2624" s="898"/>
      <c r="C2624" s="916"/>
      <c r="D2624" s="898"/>
      <c r="E2624" s="1144"/>
      <c r="F2624" s="943" t="s">
        <v>8266</v>
      </c>
      <c r="G2624" s="1245" t="s">
        <v>8267</v>
      </c>
      <c r="H2624" s="1245" t="s">
        <v>5043</v>
      </c>
      <c r="I2624" s="1147" t="s">
        <v>7742</v>
      </c>
      <c r="J2624" s="943" t="s">
        <v>3568</v>
      </c>
      <c r="K2624" s="944"/>
      <c r="L2624" s="1249"/>
      <c r="M2624" s="899"/>
      <c r="N2624" s="898">
        <v>320</v>
      </c>
      <c r="O2624" s="1249"/>
      <c r="P2624" s="1246">
        <v>1200</v>
      </c>
    </row>
    <row r="2625" spans="1:16" ht="24" x14ac:dyDescent="0.2">
      <c r="A2625" s="916"/>
      <c r="B2625" s="898"/>
      <c r="C2625" s="916"/>
      <c r="D2625" s="898"/>
      <c r="E2625" s="1144"/>
      <c r="F2625" s="943" t="s">
        <v>8268</v>
      </c>
      <c r="G2625" s="1245" t="s">
        <v>8269</v>
      </c>
      <c r="H2625" s="1245" t="s">
        <v>5043</v>
      </c>
      <c r="I2625" s="1147" t="s">
        <v>7742</v>
      </c>
      <c r="J2625" s="943" t="s">
        <v>3568</v>
      </c>
      <c r="K2625" s="944"/>
      <c r="L2625" s="1249"/>
      <c r="M2625" s="899"/>
      <c r="N2625" s="1331" t="s">
        <v>8270</v>
      </c>
      <c r="O2625" s="1249"/>
      <c r="P2625" s="1246">
        <v>1200</v>
      </c>
    </row>
    <row r="2626" spans="1:16" ht="24" x14ac:dyDescent="0.2">
      <c r="A2626" s="916"/>
      <c r="B2626" s="898"/>
      <c r="C2626" s="916"/>
      <c r="D2626" s="898"/>
      <c r="E2626" s="1144"/>
      <c r="F2626" s="943" t="s">
        <v>8271</v>
      </c>
      <c r="G2626" s="1245" t="s">
        <v>8272</v>
      </c>
      <c r="H2626" s="1245" t="s">
        <v>7753</v>
      </c>
      <c r="I2626" s="1147" t="s">
        <v>7754</v>
      </c>
      <c r="J2626" s="943"/>
      <c r="K2626" s="944"/>
      <c r="L2626" s="1249"/>
      <c r="M2626" s="899"/>
      <c r="N2626" s="1319">
        <v>322</v>
      </c>
      <c r="O2626" s="1249"/>
      <c r="P2626" s="1246">
        <v>1200</v>
      </c>
    </row>
    <row r="2627" spans="1:16" ht="24" x14ac:dyDescent="0.2">
      <c r="A2627" s="916"/>
      <c r="B2627" s="898"/>
      <c r="C2627" s="916"/>
      <c r="D2627" s="898"/>
      <c r="E2627" s="1144"/>
      <c r="F2627" s="943" t="s">
        <v>8273</v>
      </c>
      <c r="G2627" s="1245" t="s">
        <v>8274</v>
      </c>
      <c r="H2627" s="1245"/>
      <c r="I2627" s="1147" t="s">
        <v>7781</v>
      </c>
      <c r="J2627" s="943"/>
      <c r="K2627" s="944"/>
      <c r="L2627" s="1249"/>
      <c r="M2627" s="899"/>
      <c r="N2627" s="1319">
        <v>324</v>
      </c>
      <c r="O2627" s="1249"/>
      <c r="P2627" s="1246">
        <v>1000</v>
      </c>
    </row>
    <row r="2628" spans="1:16" ht="24" x14ac:dyDescent="0.2">
      <c r="A2628" s="916"/>
      <c r="B2628" s="898"/>
      <c r="C2628" s="916"/>
      <c r="D2628" s="898"/>
      <c r="E2628" s="1144"/>
      <c r="F2628" s="943" t="s">
        <v>8275</v>
      </c>
      <c r="G2628" s="1245" t="s">
        <v>8276</v>
      </c>
      <c r="H2628" s="1245" t="s">
        <v>517</v>
      </c>
      <c r="I2628" s="1147" t="s">
        <v>7739</v>
      </c>
      <c r="J2628" s="943" t="s">
        <v>3568</v>
      </c>
      <c r="K2628" s="944"/>
      <c r="L2628" s="1249"/>
      <c r="M2628" s="899"/>
      <c r="N2628" s="898">
        <v>325</v>
      </c>
      <c r="O2628" s="1249"/>
      <c r="P2628" s="1246">
        <v>4000</v>
      </c>
    </row>
    <row r="2629" spans="1:16" ht="24" x14ac:dyDescent="0.2">
      <c r="A2629" s="916"/>
      <c r="B2629" s="898"/>
      <c r="C2629" s="916"/>
      <c r="D2629" s="898"/>
      <c r="E2629" s="1144"/>
      <c r="F2629" s="943" t="s">
        <v>8277</v>
      </c>
      <c r="G2629" s="1245" t="s">
        <v>8278</v>
      </c>
      <c r="H2629" s="1245"/>
      <c r="I2629" s="1147" t="s">
        <v>7781</v>
      </c>
      <c r="J2629" s="943"/>
      <c r="K2629" s="944"/>
      <c r="L2629" s="1249"/>
      <c r="M2629" s="899"/>
      <c r="N2629" s="1319">
        <v>326</v>
      </c>
      <c r="O2629" s="1249"/>
      <c r="P2629" s="1246">
        <v>1500</v>
      </c>
    </row>
    <row r="2630" spans="1:16" ht="24" x14ac:dyDescent="0.2">
      <c r="A2630" s="916"/>
      <c r="B2630" s="898"/>
      <c r="C2630" s="916"/>
      <c r="D2630" s="898"/>
      <c r="E2630" s="1144"/>
      <c r="F2630" s="943" t="s">
        <v>8279</v>
      </c>
      <c r="G2630" s="1245" t="s">
        <v>8280</v>
      </c>
      <c r="H2630" s="1245" t="s">
        <v>5106</v>
      </c>
      <c r="I2630" s="1147" t="s">
        <v>7739</v>
      </c>
      <c r="J2630" s="943" t="s">
        <v>3568</v>
      </c>
      <c r="K2630" s="944"/>
      <c r="L2630" s="1249"/>
      <c r="M2630" s="899"/>
      <c r="N2630" s="1319">
        <v>154</v>
      </c>
      <c r="O2630" s="1249"/>
      <c r="P2630" s="1246">
        <v>3500</v>
      </c>
    </row>
    <row r="2631" spans="1:16" ht="24" x14ac:dyDescent="0.2">
      <c r="A2631" s="916"/>
      <c r="B2631" s="898"/>
      <c r="C2631" s="916"/>
      <c r="D2631" s="898"/>
      <c r="E2631" s="1144"/>
      <c r="F2631" s="943" t="s">
        <v>8281</v>
      </c>
      <c r="G2631" s="1245" t="s">
        <v>8282</v>
      </c>
      <c r="H2631" s="1245"/>
      <c r="I2631" s="1147" t="s">
        <v>7781</v>
      </c>
      <c r="J2631" s="943"/>
      <c r="K2631" s="944"/>
      <c r="L2631" s="1249"/>
      <c r="M2631" s="899"/>
      <c r="N2631" s="898">
        <v>327</v>
      </c>
      <c r="O2631" s="1249"/>
      <c r="P2631" s="1246">
        <v>1800</v>
      </c>
    </row>
    <row r="2632" spans="1:16" ht="24" x14ac:dyDescent="0.2">
      <c r="A2632" s="916"/>
      <c r="B2632" s="898"/>
      <c r="C2632" s="916"/>
      <c r="D2632" s="898"/>
      <c r="E2632" s="1144"/>
      <c r="F2632" s="943" t="s">
        <v>8283</v>
      </c>
      <c r="G2632" s="1245" t="s">
        <v>8284</v>
      </c>
      <c r="H2632" s="1245"/>
      <c r="I2632" s="1147" t="s">
        <v>7781</v>
      </c>
      <c r="J2632" s="943"/>
      <c r="K2632" s="944"/>
      <c r="L2632" s="1249"/>
      <c r="M2632" s="899"/>
      <c r="N2632" s="1319">
        <v>328</v>
      </c>
      <c r="O2632" s="1249"/>
      <c r="P2632" s="1246">
        <v>1300</v>
      </c>
    </row>
    <row r="2633" spans="1:16" ht="24" x14ac:dyDescent="0.2">
      <c r="A2633" s="916"/>
      <c r="B2633" s="898"/>
      <c r="C2633" s="916"/>
      <c r="D2633" s="898"/>
      <c r="E2633" s="1144"/>
      <c r="F2633" s="943" t="s">
        <v>8285</v>
      </c>
      <c r="G2633" s="1245" t="s">
        <v>8286</v>
      </c>
      <c r="H2633" s="1245" t="s">
        <v>5043</v>
      </c>
      <c r="I2633" s="1147" t="s">
        <v>7742</v>
      </c>
      <c r="J2633" s="943" t="s">
        <v>3568</v>
      </c>
      <c r="K2633" s="944"/>
      <c r="L2633" s="1249"/>
      <c r="M2633" s="899"/>
      <c r="N2633" s="1331" t="s">
        <v>8287</v>
      </c>
      <c r="O2633" s="1249"/>
      <c r="P2633" s="1246">
        <v>1200</v>
      </c>
    </row>
    <row r="2634" spans="1:16" ht="24" x14ac:dyDescent="0.2">
      <c r="A2634" s="916"/>
      <c r="B2634" s="898"/>
      <c r="C2634" s="916"/>
      <c r="D2634" s="898"/>
      <c r="E2634" s="1144"/>
      <c r="F2634" s="943" t="s">
        <v>8288</v>
      </c>
      <c r="G2634" s="1245" t="s">
        <v>8289</v>
      </c>
      <c r="H2634" s="1245"/>
      <c r="I2634" s="1147" t="s">
        <v>7781</v>
      </c>
      <c r="J2634" s="943"/>
      <c r="K2634" s="944"/>
      <c r="L2634" s="1249"/>
      <c r="M2634" s="899"/>
      <c r="N2634" s="1319">
        <v>330</v>
      </c>
      <c r="O2634" s="1249"/>
      <c r="P2634" s="1246">
        <v>1000</v>
      </c>
    </row>
    <row r="2635" spans="1:16" ht="24" x14ac:dyDescent="0.2">
      <c r="A2635" s="916"/>
      <c r="B2635" s="898"/>
      <c r="C2635" s="916"/>
      <c r="D2635" s="898"/>
      <c r="E2635" s="1144"/>
      <c r="F2635" s="943" t="s">
        <v>8290</v>
      </c>
      <c r="G2635" s="1245" t="s">
        <v>8291</v>
      </c>
      <c r="H2635" s="1245" t="s">
        <v>566</v>
      </c>
      <c r="I2635" s="1147" t="s">
        <v>7739</v>
      </c>
      <c r="J2635" s="943" t="s">
        <v>3568</v>
      </c>
      <c r="K2635" s="944"/>
      <c r="L2635" s="1249"/>
      <c r="M2635" s="899"/>
      <c r="N2635" s="898">
        <v>331</v>
      </c>
      <c r="O2635" s="1249"/>
      <c r="P2635" s="1246">
        <v>2200</v>
      </c>
    </row>
    <row r="2636" spans="1:16" ht="24" x14ac:dyDescent="0.2">
      <c r="A2636" s="916"/>
      <c r="B2636" s="898"/>
      <c r="C2636" s="916"/>
      <c r="D2636" s="898"/>
      <c r="E2636" s="1144"/>
      <c r="F2636" s="943" t="s">
        <v>8292</v>
      </c>
      <c r="G2636" s="1245" t="s">
        <v>8293</v>
      </c>
      <c r="H2636" s="1245"/>
      <c r="I2636" s="1147" t="s">
        <v>7781</v>
      </c>
      <c r="J2636" s="943"/>
      <c r="K2636" s="944"/>
      <c r="L2636" s="1249"/>
      <c r="M2636" s="899"/>
      <c r="N2636" s="1319">
        <v>332</v>
      </c>
      <c r="O2636" s="1249"/>
      <c r="P2636" s="1246">
        <v>1000</v>
      </c>
    </row>
    <row r="2637" spans="1:16" ht="24" x14ac:dyDescent="0.2">
      <c r="A2637" s="916"/>
      <c r="B2637" s="898"/>
      <c r="C2637" s="916"/>
      <c r="D2637" s="898"/>
      <c r="E2637" s="1144"/>
      <c r="F2637" s="943" t="s">
        <v>8294</v>
      </c>
      <c r="G2637" s="1245" t="s">
        <v>8295</v>
      </c>
      <c r="H2637" s="1245" t="s">
        <v>471</v>
      </c>
      <c r="I2637" s="1147" t="s">
        <v>7739</v>
      </c>
      <c r="J2637" s="943" t="s">
        <v>3568</v>
      </c>
      <c r="K2637" s="944"/>
      <c r="L2637" s="1249"/>
      <c r="M2637" s="899"/>
      <c r="N2637" s="1331" t="s">
        <v>8296</v>
      </c>
      <c r="O2637" s="1249"/>
      <c r="P2637" s="1246">
        <v>2200</v>
      </c>
    </row>
    <row r="2638" spans="1:16" ht="24" x14ac:dyDescent="0.2">
      <c r="A2638" s="916"/>
      <c r="B2638" s="898"/>
      <c r="C2638" s="916"/>
      <c r="D2638" s="898"/>
      <c r="E2638" s="1144"/>
      <c r="F2638" s="943" t="s">
        <v>8297</v>
      </c>
      <c r="G2638" s="1245" t="s">
        <v>8298</v>
      </c>
      <c r="H2638" s="1245"/>
      <c r="I2638" s="1147" t="s">
        <v>7781</v>
      </c>
      <c r="J2638" s="943"/>
      <c r="K2638" s="944"/>
      <c r="L2638" s="1249"/>
      <c r="M2638" s="899"/>
      <c r="N2638" s="1319">
        <v>334</v>
      </c>
      <c r="O2638" s="1249"/>
      <c r="P2638" s="1246">
        <v>1000</v>
      </c>
    </row>
    <row r="2639" spans="1:16" ht="48" x14ac:dyDescent="0.2">
      <c r="A2639" s="916"/>
      <c r="B2639" s="898"/>
      <c r="C2639" s="916"/>
      <c r="D2639" s="898"/>
      <c r="E2639" s="1144"/>
      <c r="F2639" s="943" t="s">
        <v>8299</v>
      </c>
      <c r="G2639" s="1245" t="s">
        <v>8300</v>
      </c>
      <c r="H2639" s="1245" t="s">
        <v>7796</v>
      </c>
      <c r="I2639" s="1147" t="s">
        <v>7742</v>
      </c>
      <c r="J2639" s="943" t="s">
        <v>3568</v>
      </c>
      <c r="K2639" s="944"/>
      <c r="L2639" s="1249"/>
      <c r="M2639" s="899"/>
      <c r="N2639" s="898">
        <v>336</v>
      </c>
      <c r="O2639" s="1249"/>
      <c r="P2639" s="1246">
        <v>1000</v>
      </c>
    </row>
    <row r="2640" spans="1:16" ht="24" x14ac:dyDescent="0.2">
      <c r="A2640" s="916"/>
      <c r="B2640" s="898"/>
      <c r="C2640" s="916"/>
      <c r="D2640" s="898"/>
      <c r="E2640" s="1144"/>
      <c r="F2640" s="943" t="s">
        <v>8301</v>
      </c>
      <c r="G2640" s="1245" t="s">
        <v>8302</v>
      </c>
      <c r="H2640" s="1245"/>
      <c r="I2640" s="1147" t="s">
        <v>7781</v>
      </c>
      <c r="J2640" s="943"/>
      <c r="K2640" s="944"/>
      <c r="L2640" s="1249"/>
      <c r="M2640" s="899"/>
      <c r="N2640" s="898">
        <v>335</v>
      </c>
      <c r="O2640" s="1249"/>
      <c r="P2640" s="1246">
        <v>1000</v>
      </c>
    </row>
    <row r="2641" spans="1:16" ht="24" x14ac:dyDescent="0.2">
      <c r="A2641" s="916"/>
      <c r="B2641" s="898"/>
      <c r="C2641" s="916"/>
      <c r="D2641" s="898"/>
      <c r="E2641" s="1144"/>
      <c r="F2641" s="943" t="s">
        <v>8303</v>
      </c>
      <c r="G2641" s="1245" t="s">
        <v>8304</v>
      </c>
      <c r="H2641" s="1245" t="s">
        <v>5043</v>
      </c>
      <c r="I2641" s="1147" t="s">
        <v>7742</v>
      </c>
      <c r="J2641" s="943" t="s">
        <v>3568</v>
      </c>
      <c r="K2641" s="944"/>
      <c r="L2641" s="1249"/>
      <c r="M2641" s="899"/>
      <c r="N2641" s="1331" t="s">
        <v>8305</v>
      </c>
      <c r="O2641" s="1249"/>
      <c r="P2641" s="1246">
        <v>1200</v>
      </c>
    </row>
    <row r="2642" spans="1:16" ht="24" x14ac:dyDescent="0.2">
      <c r="A2642" s="916"/>
      <c r="B2642" s="898"/>
      <c r="C2642" s="916"/>
      <c r="D2642" s="898"/>
      <c r="E2642" s="1144"/>
      <c r="F2642" s="943" t="s">
        <v>8306</v>
      </c>
      <c r="G2642" s="1245" t="s">
        <v>8307</v>
      </c>
      <c r="H2642" s="1245"/>
      <c r="I2642" s="1147" t="s">
        <v>7781</v>
      </c>
      <c r="J2642" s="943"/>
      <c r="K2642" s="944"/>
      <c r="L2642" s="1249"/>
      <c r="M2642" s="899"/>
      <c r="N2642" s="1319">
        <v>338</v>
      </c>
      <c r="O2642" s="1249"/>
      <c r="P2642" s="1246">
        <v>1000</v>
      </c>
    </row>
    <row r="2643" spans="1:16" ht="24" x14ac:dyDescent="0.2">
      <c r="A2643" s="916"/>
      <c r="B2643" s="898"/>
      <c r="C2643" s="916"/>
      <c r="D2643" s="898"/>
      <c r="E2643" s="1144"/>
      <c r="F2643" s="943" t="s">
        <v>8308</v>
      </c>
      <c r="G2643" s="1245" t="s">
        <v>8309</v>
      </c>
      <c r="H2643" s="1245"/>
      <c r="I2643" s="1147" t="s">
        <v>7781</v>
      </c>
      <c r="J2643" s="943"/>
      <c r="K2643" s="944"/>
      <c r="L2643" s="1249"/>
      <c r="M2643" s="899"/>
      <c r="N2643" s="898">
        <v>339</v>
      </c>
      <c r="O2643" s="1249"/>
      <c r="P2643" s="1246">
        <v>1000</v>
      </c>
    </row>
    <row r="2644" spans="1:16" ht="24" x14ac:dyDescent="0.2">
      <c r="A2644" s="916"/>
      <c r="B2644" s="898"/>
      <c r="C2644" s="916"/>
      <c r="D2644" s="898"/>
      <c r="E2644" s="1144"/>
      <c r="F2644" s="943" t="s">
        <v>8310</v>
      </c>
      <c r="G2644" s="1245" t="s">
        <v>8311</v>
      </c>
      <c r="H2644" s="1245" t="s">
        <v>7759</v>
      </c>
      <c r="I2644" s="1147" t="s">
        <v>7739</v>
      </c>
      <c r="J2644" s="943" t="s">
        <v>3568</v>
      </c>
      <c r="K2644" s="944"/>
      <c r="L2644" s="1249"/>
      <c r="M2644" s="899"/>
      <c r="N2644" s="1319">
        <v>491</v>
      </c>
      <c r="O2644" s="1249"/>
      <c r="P2644" s="1246">
        <v>7000</v>
      </c>
    </row>
    <row r="2645" spans="1:16" ht="24" x14ac:dyDescent="0.2">
      <c r="A2645" s="916"/>
      <c r="B2645" s="898"/>
      <c r="C2645" s="916"/>
      <c r="D2645" s="898"/>
      <c r="E2645" s="1144"/>
      <c r="F2645" s="943" t="s">
        <v>8312</v>
      </c>
      <c r="G2645" s="1245" t="s">
        <v>8313</v>
      </c>
      <c r="H2645" s="1245" t="s">
        <v>5043</v>
      </c>
      <c r="I2645" s="1147" t="s">
        <v>7742</v>
      </c>
      <c r="J2645" s="943" t="s">
        <v>3568</v>
      </c>
      <c r="K2645" s="944"/>
      <c r="L2645" s="1249"/>
      <c r="M2645" s="899"/>
      <c r="N2645" s="1319">
        <v>490</v>
      </c>
      <c r="O2645" s="1249"/>
      <c r="P2645" s="1246">
        <v>2000</v>
      </c>
    </row>
    <row r="2646" spans="1:16" ht="24" x14ac:dyDescent="0.2">
      <c r="A2646" s="916"/>
      <c r="B2646" s="898"/>
      <c r="C2646" s="916"/>
      <c r="D2646" s="898"/>
      <c r="E2646" s="1144"/>
      <c r="F2646" s="943" t="s">
        <v>8314</v>
      </c>
      <c r="G2646" s="1245" t="s">
        <v>8315</v>
      </c>
      <c r="H2646" s="1245" t="s">
        <v>8021</v>
      </c>
      <c r="I2646" s="1147" t="s">
        <v>7742</v>
      </c>
      <c r="J2646" s="943" t="s">
        <v>3568</v>
      </c>
      <c r="K2646" s="944"/>
      <c r="L2646" s="1249"/>
      <c r="M2646" s="899"/>
      <c r="N2646" s="898">
        <v>341</v>
      </c>
      <c r="O2646" s="1249"/>
      <c r="P2646" s="1246">
        <v>1200</v>
      </c>
    </row>
    <row r="2647" spans="1:16" ht="36" x14ac:dyDescent="0.2">
      <c r="A2647" s="916"/>
      <c r="B2647" s="898"/>
      <c r="C2647" s="916"/>
      <c r="D2647" s="898"/>
      <c r="E2647" s="1144"/>
      <c r="F2647" s="943" t="s">
        <v>8316</v>
      </c>
      <c r="G2647" s="1245" t="s">
        <v>8317</v>
      </c>
      <c r="H2647" s="1245" t="s">
        <v>8318</v>
      </c>
      <c r="I2647" s="1147" t="s">
        <v>7739</v>
      </c>
      <c r="J2647" s="943" t="s">
        <v>4952</v>
      </c>
      <c r="K2647" s="944"/>
      <c r="L2647" s="1249"/>
      <c r="M2647" s="899"/>
      <c r="N2647" s="898">
        <v>342</v>
      </c>
      <c r="O2647" s="1249"/>
      <c r="P2647" s="1246">
        <v>1500</v>
      </c>
    </row>
    <row r="2648" spans="1:16" ht="24" x14ac:dyDescent="0.2">
      <c r="A2648" s="916"/>
      <c r="B2648" s="898"/>
      <c r="C2648" s="916"/>
      <c r="D2648" s="898"/>
      <c r="E2648" s="1144"/>
      <c r="F2648" s="943" t="s">
        <v>8319</v>
      </c>
      <c r="G2648" s="1245" t="s">
        <v>8320</v>
      </c>
      <c r="H2648" s="1245" t="s">
        <v>5043</v>
      </c>
      <c r="I2648" s="1147" t="s">
        <v>7742</v>
      </c>
      <c r="J2648" s="943" t="s">
        <v>3568</v>
      </c>
      <c r="K2648" s="944"/>
      <c r="L2648" s="1249"/>
      <c r="M2648" s="899"/>
      <c r="N2648" s="1319">
        <v>343</v>
      </c>
      <c r="O2648" s="1249"/>
      <c r="P2648" s="1246">
        <v>1800</v>
      </c>
    </row>
    <row r="2649" spans="1:16" ht="48" x14ac:dyDescent="0.2">
      <c r="A2649" s="916"/>
      <c r="B2649" s="898"/>
      <c r="C2649" s="916"/>
      <c r="D2649" s="898"/>
      <c r="E2649" s="1144"/>
      <c r="F2649" s="943" t="s">
        <v>8321</v>
      </c>
      <c r="G2649" s="1245" t="s">
        <v>8322</v>
      </c>
      <c r="H2649" s="1245" t="s">
        <v>7796</v>
      </c>
      <c r="I2649" s="1147" t="s">
        <v>7742</v>
      </c>
      <c r="J2649" s="943" t="s">
        <v>3568</v>
      </c>
      <c r="K2649" s="944"/>
      <c r="L2649" s="1249"/>
      <c r="M2649" s="899"/>
      <c r="N2649" s="1319">
        <v>344</v>
      </c>
      <c r="O2649" s="1249"/>
      <c r="P2649" s="1246">
        <v>1000</v>
      </c>
    </row>
    <row r="2650" spans="1:16" ht="24" x14ac:dyDescent="0.2">
      <c r="A2650" s="916"/>
      <c r="B2650" s="898"/>
      <c r="C2650" s="916"/>
      <c r="D2650" s="898"/>
      <c r="E2650" s="1144"/>
      <c r="F2650" s="943" t="s">
        <v>8323</v>
      </c>
      <c r="G2650" s="1245" t="s">
        <v>8324</v>
      </c>
      <c r="H2650" s="1245"/>
      <c r="I2650" s="1147" t="s">
        <v>7781</v>
      </c>
      <c r="J2650" s="943"/>
      <c r="K2650" s="944"/>
      <c r="L2650" s="1249"/>
      <c r="M2650" s="899"/>
      <c r="N2650" s="1319">
        <v>345</v>
      </c>
      <c r="O2650" s="1249"/>
      <c r="P2650" s="1246">
        <v>1000</v>
      </c>
    </row>
    <row r="2651" spans="1:16" ht="24" x14ac:dyDescent="0.2">
      <c r="A2651" s="916"/>
      <c r="B2651" s="898"/>
      <c r="C2651" s="916"/>
      <c r="D2651" s="898"/>
      <c r="E2651" s="1144"/>
      <c r="F2651" s="943" t="s">
        <v>8325</v>
      </c>
      <c r="G2651" s="1245" t="s">
        <v>8326</v>
      </c>
      <c r="H2651" s="1245" t="s">
        <v>517</v>
      </c>
      <c r="I2651" s="1147" t="s">
        <v>7739</v>
      </c>
      <c r="J2651" s="943" t="s">
        <v>3568</v>
      </c>
      <c r="K2651" s="944"/>
      <c r="L2651" s="1249"/>
      <c r="M2651" s="899"/>
      <c r="N2651" s="898">
        <v>346</v>
      </c>
      <c r="O2651" s="1249"/>
      <c r="P2651" s="1246">
        <v>4000</v>
      </c>
    </row>
    <row r="2652" spans="1:16" ht="48" x14ac:dyDescent="0.2">
      <c r="A2652" s="916"/>
      <c r="B2652" s="898"/>
      <c r="C2652" s="916"/>
      <c r="D2652" s="898"/>
      <c r="E2652" s="1144"/>
      <c r="F2652" s="943" t="s">
        <v>8327</v>
      </c>
      <c r="G2652" s="1245" t="s">
        <v>8328</v>
      </c>
      <c r="H2652" s="1245" t="s">
        <v>7796</v>
      </c>
      <c r="I2652" s="1147" t="s">
        <v>7742</v>
      </c>
      <c r="J2652" s="943" t="s">
        <v>3568</v>
      </c>
      <c r="K2652" s="944"/>
      <c r="L2652" s="1249"/>
      <c r="M2652" s="899"/>
      <c r="N2652" s="898">
        <v>347</v>
      </c>
      <c r="O2652" s="1249"/>
      <c r="P2652" s="1246">
        <v>1200</v>
      </c>
    </row>
    <row r="2653" spans="1:16" ht="24" x14ac:dyDescent="0.2">
      <c r="A2653" s="916"/>
      <c r="B2653" s="898"/>
      <c r="C2653" s="916"/>
      <c r="D2653" s="898"/>
      <c r="E2653" s="1144"/>
      <c r="F2653" s="943" t="s">
        <v>8329</v>
      </c>
      <c r="G2653" s="1245" t="s">
        <v>8330</v>
      </c>
      <c r="H2653" s="1245" t="s">
        <v>7919</v>
      </c>
      <c r="I2653" s="1147" t="s">
        <v>7742</v>
      </c>
      <c r="J2653" s="943" t="s">
        <v>4952</v>
      </c>
      <c r="K2653" s="944"/>
      <c r="L2653" s="1249"/>
      <c r="M2653" s="899"/>
      <c r="N2653" s="898">
        <v>348</v>
      </c>
      <c r="O2653" s="1249"/>
      <c r="P2653" s="1246">
        <v>2200</v>
      </c>
    </row>
    <row r="2654" spans="1:16" ht="24" x14ac:dyDescent="0.2">
      <c r="A2654" s="916"/>
      <c r="B2654" s="898"/>
      <c r="C2654" s="916"/>
      <c r="D2654" s="898"/>
      <c r="E2654" s="1144"/>
      <c r="F2654" s="943" t="s">
        <v>8331</v>
      </c>
      <c r="G2654" s="1245" t="s">
        <v>8332</v>
      </c>
      <c r="H2654" s="1245"/>
      <c r="I2654" s="1147" t="s">
        <v>7781</v>
      </c>
      <c r="J2654" s="943"/>
      <c r="K2654" s="944"/>
      <c r="L2654" s="1249"/>
      <c r="M2654" s="899"/>
      <c r="N2654" s="1331" t="s">
        <v>8333</v>
      </c>
      <c r="O2654" s="1249"/>
      <c r="P2654" s="1246">
        <v>1000</v>
      </c>
    </row>
    <row r="2655" spans="1:16" ht="48" x14ac:dyDescent="0.2">
      <c r="A2655" s="916"/>
      <c r="B2655" s="898"/>
      <c r="C2655" s="916"/>
      <c r="D2655" s="898"/>
      <c r="E2655" s="1144"/>
      <c r="F2655" s="943" t="s">
        <v>8334</v>
      </c>
      <c r="G2655" s="1245" t="s">
        <v>8335</v>
      </c>
      <c r="H2655" s="1245" t="s">
        <v>7796</v>
      </c>
      <c r="I2655" s="1147" t="s">
        <v>7742</v>
      </c>
      <c r="J2655" s="943" t="s">
        <v>3568</v>
      </c>
      <c r="K2655" s="944"/>
      <c r="L2655" s="1249"/>
      <c r="M2655" s="899"/>
      <c r="N2655" s="898">
        <v>352</v>
      </c>
      <c r="O2655" s="1249"/>
      <c r="P2655" s="1246">
        <v>1000</v>
      </c>
    </row>
    <row r="2656" spans="1:16" ht="24" x14ac:dyDescent="0.2">
      <c r="A2656" s="916"/>
      <c r="B2656" s="898"/>
      <c r="C2656" s="916"/>
      <c r="D2656" s="898"/>
      <c r="E2656" s="1144"/>
      <c r="F2656" s="943" t="s">
        <v>8336</v>
      </c>
      <c r="G2656" s="1245" t="s">
        <v>8337</v>
      </c>
      <c r="H2656" s="1245"/>
      <c r="I2656" s="1147" t="s">
        <v>7781</v>
      </c>
      <c r="J2656" s="943"/>
      <c r="K2656" s="944"/>
      <c r="L2656" s="1249"/>
      <c r="M2656" s="899"/>
      <c r="N2656" s="898">
        <v>354</v>
      </c>
      <c r="O2656" s="1249"/>
      <c r="P2656" s="1246">
        <v>1000</v>
      </c>
    </row>
    <row r="2657" spans="1:16" ht="24" x14ac:dyDescent="0.2">
      <c r="A2657" s="916"/>
      <c r="B2657" s="898"/>
      <c r="C2657" s="916"/>
      <c r="D2657" s="898"/>
      <c r="E2657" s="1144"/>
      <c r="F2657" s="943" t="s">
        <v>8338</v>
      </c>
      <c r="G2657" s="1245" t="s">
        <v>8339</v>
      </c>
      <c r="H2657" s="1245"/>
      <c r="I2657" s="1147" t="s">
        <v>7781</v>
      </c>
      <c r="J2657" s="943"/>
      <c r="K2657" s="944"/>
      <c r="L2657" s="1249"/>
      <c r="M2657" s="899"/>
      <c r="N2657" s="898">
        <v>353</v>
      </c>
      <c r="O2657" s="1249"/>
      <c r="P2657" s="1246">
        <v>1000</v>
      </c>
    </row>
    <row r="2658" spans="1:16" ht="24" x14ac:dyDescent="0.2">
      <c r="A2658" s="916"/>
      <c r="B2658" s="898"/>
      <c r="C2658" s="916"/>
      <c r="D2658" s="898"/>
      <c r="E2658" s="1144"/>
      <c r="F2658" s="943" t="s">
        <v>8340</v>
      </c>
      <c r="G2658" s="1245" t="s">
        <v>8341</v>
      </c>
      <c r="H2658" s="1245"/>
      <c r="I2658" s="1147" t="s">
        <v>7781</v>
      </c>
      <c r="J2658" s="943"/>
      <c r="K2658" s="944"/>
      <c r="L2658" s="1249"/>
      <c r="M2658" s="899"/>
      <c r="N2658" s="1319">
        <v>380</v>
      </c>
      <c r="O2658" s="1249"/>
      <c r="P2658" s="1246">
        <v>2000</v>
      </c>
    </row>
    <row r="2659" spans="1:16" ht="24" x14ac:dyDescent="0.2">
      <c r="A2659" s="916"/>
      <c r="B2659" s="898"/>
      <c r="C2659" s="916"/>
      <c r="D2659" s="898"/>
      <c r="E2659" s="1144"/>
      <c r="F2659" s="943" t="s">
        <v>8342</v>
      </c>
      <c r="G2659" s="1245" t="s">
        <v>8343</v>
      </c>
      <c r="H2659" s="1245" t="s">
        <v>5106</v>
      </c>
      <c r="I2659" s="1147" t="s">
        <v>7739</v>
      </c>
      <c r="J2659" s="943" t="s">
        <v>3568</v>
      </c>
      <c r="K2659" s="944"/>
      <c r="L2659" s="1249"/>
      <c r="M2659" s="899"/>
      <c r="N2659" s="1319">
        <v>355</v>
      </c>
      <c r="O2659" s="1249"/>
      <c r="P2659" s="1246">
        <v>4500</v>
      </c>
    </row>
    <row r="2660" spans="1:16" ht="24" x14ac:dyDescent="0.2">
      <c r="A2660" s="916"/>
      <c r="B2660" s="898"/>
      <c r="C2660" s="916"/>
      <c r="D2660" s="898"/>
      <c r="E2660" s="1144"/>
      <c r="F2660" s="943" t="s">
        <v>8344</v>
      </c>
      <c r="G2660" s="1245" t="s">
        <v>8345</v>
      </c>
      <c r="H2660" s="1245" t="s">
        <v>517</v>
      </c>
      <c r="I2660" s="1147" t="s">
        <v>7739</v>
      </c>
      <c r="J2660" s="943" t="s">
        <v>3568</v>
      </c>
      <c r="K2660" s="944"/>
      <c r="L2660" s="1249"/>
      <c r="M2660" s="899"/>
      <c r="N2660" s="898">
        <v>356</v>
      </c>
      <c r="O2660" s="1249"/>
      <c r="P2660" s="1246">
        <v>2200</v>
      </c>
    </row>
    <row r="2661" spans="1:16" ht="24" x14ac:dyDescent="0.2">
      <c r="A2661" s="916"/>
      <c r="B2661" s="898"/>
      <c r="C2661" s="916"/>
      <c r="D2661" s="898"/>
      <c r="E2661" s="1144"/>
      <c r="F2661" s="943" t="s">
        <v>8346</v>
      </c>
      <c r="G2661" s="1245" t="s">
        <v>8347</v>
      </c>
      <c r="H2661" s="1245"/>
      <c r="I2661" s="1147" t="s">
        <v>7781</v>
      </c>
      <c r="J2661" s="943"/>
      <c r="K2661" s="944"/>
      <c r="L2661" s="1249"/>
      <c r="M2661" s="899"/>
      <c r="N2661" s="1319">
        <v>357</v>
      </c>
      <c r="O2661" s="1249"/>
      <c r="P2661" s="1246">
        <v>1000</v>
      </c>
    </row>
    <row r="2662" spans="1:16" ht="24" x14ac:dyDescent="0.2">
      <c r="A2662" s="916"/>
      <c r="B2662" s="898"/>
      <c r="C2662" s="916"/>
      <c r="D2662" s="898"/>
      <c r="E2662" s="1144"/>
      <c r="F2662" s="943" t="s">
        <v>8348</v>
      </c>
      <c r="G2662" s="1245" t="s">
        <v>8349</v>
      </c>
      <c r="H2662" s="1245" t="s">
        <v>5043</v>
      </c>
      <c r="I2662" s="1147" t="s">
        <v>7742</v>
      </c>
      <c r="J2662" s="943" t="s">
        <v>3568</v>
      </c>
      <c r="K2662" s="944"/>
      <c r="L2662" s="1249"/>
      <c r="M2662" s="899"/>
      <c r="N2662" s="1331" t="s">
        <v>8350</v>
      </c>
      <c r="O2662" s="1249"/>
      <c r="P2662" s="1246">
        <v>1200</v>
      </c>
    </row>
    <row r="2663" spans="1:16" ht="24" x14ac:dyDescent="0.2">
      <c r="A2663" s="916"/>
      <c r="B2663" s="898"/>
      <c r="C2663" s="916"/>
      <c r="D2663" s="898"/>
      <c r="E2663" s="1144"/>
      <c r="F2663" s="943" t="s">
        <v>8351</v>
      </c>
      <c r="G2663" s="1245" t="s">
        <v>8352</v>
      </c>
      <c r="H2663" s="1245"/>
      <c r="I2663" s="1147" t="s">
        <v>7781</v>
      </c>
      <c r="J2663" s="943"/>
      <c r="K2663" s="944"/>
      <c r="L2663" s="1249"/>
      <c r="M2663" s="899"/>
      <c r="N2663" s="1319">
        <v>360</v>
      </c>
      <c r="O2663" s="1249"/>
      <c r="P2663" s="1246">
        <v>1000</v>
      </c>
    </row>
    <row r="2664" spans="1:16" ht="24" x14ac:dyDescent="0.2">
      <c r="A2664" s="916"/>
      <c r="B2664" s="898"/>
      <c r="C2664" s="916"/>
      <c r="D2664" s="898"/>
      <c r="E2664" s="1144"/>
      <c r="F2664" s="943" t="s">
        <v>8353</v>
      </c>
      <c r="G2664" s="1245" t="s">
        <v>8354</v>
      </c>
      <c r="H2664" s="1245"/>
      <c r="I2664" s="1147" t="s">
        <v>7781</v>
      </c>
      <c r="J2664" s="943"/>
      <c r="K2664" s="944"/>
      <c r="L2664" s="1249"/>
      <c r="M2664" s="899"/>
      <c r="N2664" s="898">
        <v>362</v>
      </c>
      <c r="O2664" s="1249"/>
      <c r="P2664" s="1246">
        <v>1000</v>
      </c>
    </row>
    <row r="2665" spans="1:16" ht="24" x14ac:dyDescent="0.2">
      <c r="A2665" s="916"/>
      <c r="B2665" s="898"/>
      <c r="C2665" s="916"/>
      <c r="D2665" s="898"/>
      <c r="E2665" s="1144"/>
      <c r="F2665" s="943" t="s">
        <v>8355</v>
      </c>
      <c r="G2665" s="1245" t="s">
        <v>8356</v>
      </c>
      <c r="H2665" s="1245"/>
      <c r="I2665" s="1147" t="s">
        <v>7781</v>
      </c>
      <c r="J2665" s="943"/>
      <c r="K2665" s="944"/>
      <c r="L2665" s="1249"/>
      <c r="M2665" s="899"/>
      <c r="N2665" s="898">
        <v>363</v>
      </c>
      <c r="O2665" s="1249"/>
      <c r="P2665" s="1246">
        <v>1000</v>
      </c>
    </row>
    <row r="2666" spans="1:16" ht="24" x14ac:dyDescent="0.2">
      <c r="A2666" s="916"/>
      <c r="B2666" s="898"/>
      <c r="C2666" s="916"/>
      <c r="D2666" s="898"/>
      <c r="E2666" s="1144"/>
      <c r="F2666" s="943" t="s">
        <v>8357</v>
      </c>
      <c r="G2666" s="1245" t="s">
        <v>8358</v>
      </c>
      <c r="H2666" s="1245" t="s">
        <v>5043</v>
      </c>
      <c r="I2666" s="1147" t="s">
        <v>7742</v>
      </c>
      <c r="J2666" s="943" t="s">
        <v>3568</v>
      </c>
      <c r="K2666" s="944"/>
      <c r="L2666" s="1249"/>
      <c r="M2666" s="899"/>
      <c r="N2666" s="1331" t="s">
        <v>8359</v>
      </c>
      <c r="O2666" s="1249"/>
      <c r="P2666" s="1246">
        <v>1200</v>
      </c>
    </row>
    <row r="2667" spans="1:16" ht="24" x14ac:dyDescent="0.2">
      <c r="A2667" s="916"/>
      <c r="B2667" s="898"/>
      <c r="C2667" s="916"/>
      <c r="D2667" s="898"/>
      <c r="E2667" s="1144"/>
      <c r="F2667" s="943" t="s">
        <v>8360</v>
      </c>
      <c r="G2667" s="1245" t="s">
        <v>8361</v>
      </c>
      <c r="H2667" s="1245" t="s">
        <v>5043</v>
      </c>
      <c r="I2667" s="1147" t="s">
        <v>7742</v>
      </c>
      <c r="J2667" s="943" t="s">
        <v>3568</v>
      </c>
      <c r="K2667" s="944"/>
      <c r="L2667" s="1249"/>
      <c r="M2667" s="899"/>
      <c r="N2667" s="1319">
        <v>462</v>
      </c>
      <c r="O2667" s="1249"/>
      <c r="P2667" s="1246">
        <v>1200</v>
      </c>
    </row>
    <row r="2668" spans="1:16" ht="24" x14ac:dyDescent="0.2">
      <c r="A2668" s="916"/>
      <c r="B2668" s="898"/>
      <c r="C2668" s="916"/>
      <c r="D2668" s="898"/>
      <c r="E2668" s="1144"/>
      <c r="F2668" s="943" t="s">
        <v>8362</v>
      </c>
      <c r="G2668" s="1245" t="s">
        <v>8363</v>
      </c>
      <c r="H2668" s="1245"/>
      <c r="I2668" s="1147" t="s">
        <v>7781</v>
      </c>
      <c r="J2668" s="943"/>
      <c r="K2668" s="944"/>
      <c r="L2668" s="1249"/>
      <c r="M2668" s="899"/>
      <c r="N2668" s="1319">
        <v>364</v>
      </c>
      <c r="O2668" s="1249"/>
      <c r="P2668" s="1246">
        <v>1000</v>
      </c>
    </row>
    <row r="2669" spans="1:16" ht="24" x14ac:dyDescent="0.2">
      <c r="A2669" s="916"/>
      <c r="B2669" s="898"/>
      <c r="C2669" s="916"/>
      <c r="D2669" s="898"/>
      <c r="E2669" s="1144"/>
      <c r="F2669" s="943" t="s">
        <v>8364</v>
      </c>
      <c r="G2669" s="1245" t="s">
        <v>8365</v>
      </c>
      <c r="H2669" s="1245" t="s">
        <v>8366</v>
      </c>
      <c r="I2669" s="1147" t="s">
        <v>7742</v>
      </c>
      <c r="J2669" s="943" t="s">
        <v>3568</v>
      </c>
      <c r="K2669" s="944"/>
      <c r="L2669" s="1249"/>
      <c r="M2669" s="899"/>
      <c r="N2669" s="898">
        <v>365</v>
      </c>
      <c r="O2669" s="1249"/>
      <c r="P2669" s="1246">
        <v>1500</v>
      </c>
    </row>
    <row r="2670" spans="1:16" ht="24" x14ac:dyDescent="0.2">
      <c r="A2670" s="916"/>
      <c r="B2670" s="898"/>
      <c r="C2670" s="916"/>
      <c r="D2670" s="898"/>
      <c r="E2670" s="1144"/>
      <c r="F2670" s="943" t="s">
        <v>8367</v>
      </c>
      <c r="G2670" s="1245" t="s">
        <v>8368</v>
      </c>
      <c r="H2670" s="1245" t="s">
        <v>7753</v>
      </c>
      <c r="I2670" s="1147" t="s">
        <v>7754</v>
      </c>
      <c r="J2670" s="943"/>
      <c r="K2670" s="944"/>
      <c r="L2670" s="1249"/>
      <c r="M2670" s="899"/>
      <c r="N2670" s="1319">
        <v>366</v>
      </c>
      <c r="O2670" s="1249"/>
      <c r="P2670" s="1246">
        <v>1000</v>
      </c>
    </row>
    <row r="2671" spans="1:16" ht="24" x14ac:dyDescent="0.2">
      <c r="A2671" s="916"/>
      <c r="B2671" s="898"/>
      <c r="C2671" s="916"/>
      <c r="D2671" s="898"/>
      <c r="E2671" s="1144"/>
      <c r="F2671" s="943" t="s">
        <v>8369</v>
      </c>
      <c r="G2671" s="1245" t="s">
        <v>8370</v>
      </c>
      <c r="H2671" s="1245" t="s">
        <v>3129</v>
      </c>
      <c r="I2671" s="1147" t="s">
        <v>7739</v>
      </c>
      <c r="J2671" s="943" t="s">
        <v>3568</v>
      </c>
      <c r="K2671" s="944"/>
      <c r="L2671" s="1249"/>
      <c r="M2671" s="899"/>
      <c r="N2671" s="898">
        <v>367</v>
      </c>
      <c r="O2671" s="1249"/>
      <c r="P2671" s="1246">
        <v>2500</v>
      </c>
    </row>
    <row r="2672" spans="1:16" ht="24" x14ac:dyDescent="0.2">
      <c r="A2672" s="916"/>
      <c r="B2672" s="898"/>
      <c r="C2672" s="916"/>
      <c r="D2672" s="898"/>
      <c r="E2672" s="1144"/>
      <c r="F2672" s="943" t="s">
        <v>8371</v>
      </c>
      <c r="G2672" s="1245" t="s">
        <v>8372</v>
      </c>
      <c r="H2672" s="1245" t="s">
        <v>7759</v>
      </c>
      <c r="I2672" s="1147" t="s">
        <v>7739</v>
      </c>
      <c r="J2672" s="943" t="s">
        <v>3568</v>
      </c>
      <c r="K2672" s="944"/>
      <c r="L2672" s="1249"/>
      <c r="M2672" s="899"/>
      <c r="N2672" s="1319">
        <v>369</v>
      </c>
      <c r="O2672" s="1249"/>
      <c r="P2672" s="1246">
        <v>7000</v>
      </c>
    </row>
    <row r="2673" spans="1:16" ht="24" x14ac:dyDescent="0.2">
      <c r="A2673" s="916"/>
      <c r="B2673" s="898"/>
      <c r="C2673" s="916"/>
      <c r="D2673" s="898"/>
      <c r="E2673" s="1144"/>
      <c r="F2673" s="943" t="s">
        <v>8373</v>
      </c>
      <c r="G2673" s="1245" t="s">
        <v>8374</v>
      </c>
      <c r="H2673" s="1245"/>
      <c r="I2673" s="1147" t="s">
        <v>7742</v>
      </c>
      <c r="J2673" s="943" t="s">
        <v>4952</v>
      </c>
      <c r="K2673" s="944"/>
      <c r="L2673" s="1249"/>
      <c r="M2673" s="899"/>
      <c r="N2673" s="898">
        <v>372</v>
      </c>
      <c r="O2673" s="1249"/>
      <c r="P2673" s="1246">
        <v>1600</v>
      </c>
    </row>
    <row r="2674" spans="1:16" ht="24" x14ac:dyDescent="0.2">
      <c r="A2674" s="916"/>
      <c r="B2674" s="898"/>
      <c r="C2674" s="916"/>
      <c r="D2674" s="898"/>
      <c r="E2674" s="1144"/>
      <c r="F2674" s="943" t="s">
        <v>8375</v>
      </c>
      <c r="G2674" s="1245" t="s">
        <v>8376</v>
      </c>
      <c r="H2674" s="1245"/>
      <c r="I2674" s="1147" t="s">
        <v>7781</v>
      </c>
      <c r="J2674" s="943"/>
      <c r="K2674" s="944"/>
      <c r="L2674" s="1249"/>
      <c r="M2674" s="899"/>
      <c r="N2674" s="1319">
        <v>373</v>
      </c>
      <c r="O2674" s="1249"/>
      <c r="P2674" s="1246">
        <v>1000</v>
      </c>
    </row>
    <row r="2675" spans="1:16" ht="24" x14ac:dyDescent="0.2">
      <c r="A2675" s="916"/>
      <c r="B2675" s="898"/>
      <c r="C2675" s="916"/>
      <c r="D2675" s="898"/>
      <c r="E2675" s="1144"/>
      <c r="F2675" s="943" t="s">
        <v>8377</v>
      </c>
      <c r="G2675" s="1245" t="s">
        <v>8378</v>
      </c>
      <c r="H2675" s="1245" t="s">
        <v>517</v>
      </c>
      <c r="I2675" s="1147" t="s">
        <v>7739</v>
      </c>
      <c r="J2675" s="943" t="s">
        <v>3568</v>
      </c>
      <c r="K2675" s="944"/>
      <c r="L2675" s="1249"/>
      <c r="M2675" s="899"/>
      <c r="N2675" s="898">
        <v>374</v>
      </c>
      <c r="O2675" s="1249"/>
      <c r="P2675" s="1246">
        <v>2200</v>
      </c>
    </row>
    <row r="2676" spans="1:16" ht="24" x14ac:dyDescent="0.2">
      <c r="A2676" s="916"/>
      <c r="B2676" s="898"/>
      <c r="C2676" s="916"/>
      <c r="D2676" s="898"/>
      <c r="E2676" s="1144"/>
      <c r="F2676" s="943" t="s">
        <v>8379</v>
      </c>
      <c r="G2676" s="1245" t="s">
        <v>8380</v>
      </c>
      <c r="H2676" s="1245"/>
      <c r="I2676" s="1147" t="s">
        <v>7781</v>
      </c>
      <c r="J2676" s="943"/>
      <c r="K2676" s="944"/>
      <c r="L2676" s="1249"/>
      <c r="M2676" s="899"/>
      <c r="N2676" s="1319">
        <v>375</v>
      </c>
      <c r="O2676" s="1249"/>
      <c r="P2676" s="1246">
        <v>1000</v>
      </c>
    </row>
    <row r="2677" spans="1:16" ht="24" x14ac:dyDescent="0.2">
      <c r="A2677" s="916"/>
      <c r="B2677" s="898"/>
      <c r="C2677" s="916"/>
      <c r="D2677" s="898"/>
      <c r="E2677" s="1144"/>
      <c r="F2677" s="943" t="s">
        <v>8381</v>
      </c>
      <c r="G2677" s="1245" t="s">
        <v>8382</v>
      </c>
      <c r="H2677" s="1245" t="s">
        <v>5043</v>
      </c>
      <c r="I2677" s="1147" t="s">
        <v>7742</v>
      </c>
      <c r="J2677" s="943" t="s">
        <v>3568</v>
      </c>
      <c r="K2677" s="944"/>
      <c r="L2677" s="1249"/>
      <c r="M2677" s="899"/>
      <c r="N2677" s="1329" t="s">
        <v>8383</v>
      </c>
      <c r="O2677" s="1249"/>
      <c r="P2677" s="1246">
        <v>3000</v>
      </c>
    </row>
    <row r="2678" spans="1:16" ht="24" x14ac:dyDescent="0.2">
      <c r="A2678" s="916"/>
      <c r="B2678" s="898"/>
      <c r="C2678" s="916"/>
      <c r="D2678" s="898"/>
      <c r="E2678" s="1144"/>
      <c r="F2678" s="943" t="s">
        <v>8384</v>
      </c>
      <c r="G2678" s="1245" t="s">
        <v>8385</v>
      </c>
      <c r="H2678" s="1245"/>
      <c r="I2678" s="1147" t="s">
        <v>7781</v>
      </c>
      <c r="J2678" s="943"/>
      <c r="K2678" s="944"/>
      <c r="L2678" s="1249"/>
      <c r="M2678" s="899"/>
      <c r="N2678" s="898">
        <v>377</v>
      </c>
      <c r="O2678" s="1249"/>
      <c r="P2678" s="1246">
        <v>1800</v>
      </c>
    </row>
    <row r="2679" spans="1:16" ht="24" x14ac:dyDescent="0.2">
      <c r="A2679" s="916"/>
      <c r="B2679" s="898"/>
      <c r="C2679" s="916"/>
      <c r="D2679" s="898"/>
      <c r="E2679" s="1144"/>
      <c r="F2679" s="943" t="s">
        <v>8386</v>
      </c>
      <c r="G2679" s="1245" t="s">
        <v>8387</v>
      </c>
      <c r="H2679" s="1245" t="s">
        <v>517</v>
      </c>
      <c r="I2679" s="1147" t="s">
        <v>7739</v>
      </c>
      <c r="J2679" s="943" t="s">
        <v>3568</v>
      </c>
      <c r="K2679" s="944"/>
      <c r="L2679" s="1249"/>
      <c r="M2679" s="899"/>
      <c r="N2679" s="1319">
        <v>378</v>
      </c>
      <c r="O2679" s="1249"/>
      <c r="P2679" s="1246">
        <v>2200</v>
      </c>
    </row>
    <row r="2680" spans="1:16" ht="24" x14ac:dyDescent="0.2">
      <c r="A2680" s="916"/>
      <c r="B2680" s="898"/>
      <c r="C2680" s="916"/>
      <c r="D2680" s="898"/>
      <c r="E2680" s="1144"/>
      <c r="F2680" s="943" t="s">
        <v>8388</v>
      </c>
      <c r="G2680" s="1245" t="s">
        <v>8389</v>
      </c>
      <c r="H2680" s="1245" t="s">
        <v>5043</v>
      </c>
      <c r="I2680" s="1147" t="s">
        <v>7742</v>
      </c>
      <c r="J2680" s="943" t="s">
        <v>3568</v>
      </c>
      <c r="K2680" s="944"/>
      <c r="L2680" s="1249"/>
      <c r="M2680" s="899"/>
      <c r="N2680" s="898">
        <v>379</v>
      </c>
      <c r="O2680" s="1249"/>
      <c r="P2680" s="1246">
        <v>1500</v>
      </c>
    </row>
    <row r="2681" spans="1:16" ht="24" x14ac:dyDescent="0.2">
      <c r="A2681" s="916"/>
      <c r="B2681" s="898"/>
      <c r="C2681" s="916"/>
      <c r="D2681" s="898"/>
      <c r="E2681" s="1144"/>
      <c r="F2681" s="943" t="s">
        <v>8390</v>
      </c>
      <c r="G2681" s="1245" t="s">
        <v>8391</v>
      </c>
      <c r="H2681" s="1245" t="s">
        <v>3224</v>
      </c>
      <c r="I2681" s="1147" t="s">
        <v>7739</v>
      </c>
      <c r="J2681" s="943" t="s">
        <v>3568</v>
      </c>
      <c r="K2681" s="944"/>
      <c r="L2681" s="1249"/>
      <c r="M2681" s="899"/>
      <c r="N2681" s="1319">
        <v>381</v>
      </c>
      <c r="O2681" s="1249"/>
      <c r="P2681" s="1246">
        <v>2000</v>
      </c>
    </row>
    <row r="2682" spans="1:16" ht="24" x14ac:dyDescent="0.2">
      <c r="A2682" s="916"/>
      <c r="B2682" s="898"/>
      <c r="C2682" s="916"/>
      <c r="D2682" s="898"/>
      <c r="E2682" s="1144"/>
      <c r="F2682" s="943" t="s">
        <v>8392</v>
      </c>
      <c r="G2682" s="1245" t="s">
        <v>8393</v>
      </c>
      <c r="H2682" s="1245"/>
      <c r="I2682" s="1147" t="s">
        <v>7781</v>
      </c>
      <c r="J2682" s="943"/>
      <c r="K2682" s="944"/>
      <c r="L2682" s="1249"/>
      <c r="M2682" s="899"/>
      <c r="N2682" s="898">
        <v>382</v>
      </c>
      <c r="O2682" s="1249"/>
      <c r="P2682" s="1246">
        <v>1000</v>
      </c>
    </row>
    <row r="2683" spans="1:16" ht="24" x14ac:dyDescent="0.2">
      <c r="A2683" s="916"/>
      <c r="B2683" s="898"/>
      <c r="C2683" s="916"/>
      <c r="D2683" s="898"/>
      <c r="E2683" s="1144"/>
      <c r="F2683" s="943" t="s">
        <v>8394</v>
      </c>
      <c r="G2683" s="1245" t="s">
        <v>8395</v>
      </c>
      <c r="H2683" s="1245" t="s">
        <v>8021</v>
      </c>
      <c r="I2683" s="1147" t="s">
        <v>7742</v>
      </c>
      <c r="J2683" s="943" t="s">
        <v>3568</v>
      </c>
      <c r="K2683" s="944"/>
      <c r="L2683" s="1249"/>
      <c r="M2683" s="899"/>
      <c r="N2683" s="1329" t="s">
        <v>8396</v>
      </c>
      <c r="O2683" s="1249"/>
      <c r="P2683" s="1246">
        <v>1200</v>
      </c>
    </row>
    <row r="2684" spans="1:16" ht="24" x14ac:dyDescent="0.2">
      <c r="A2684" s="916"/>
      <c r="B2684" s="898"/>
      <c r="C2684" s="916"/>
      <c r="D2684" s="898"/>
      <c r="E2684" s="1144"/>
      <c r="F2684" s="943" t="s">
        <v>8397</v>
      </c>
      <c r="G2684" s="1245" t="s">
        <v>8398</v>
      </c>
      <c r="H2684" s="1245" t="s">
        <v>8021</v>
      </c>
      <c r="I2684" s="1147" t="s">
        <v>7742</v>
      </c>
      <c r="J2684" s="943" t="s">
        <v>3568</v>
      </c>
      <c r="K2684" s="944"/>
      <c r="L2684" s="1249"/>
      <c r="M2684" s="899"/>
      <c r="N2684" s="898">
        <v>384</v>
      </c>
      <c r="O2684" s="1249"/>
      <c r="P2684" s="1246">
        <v>1200</v>
      </c>
    </row>
    <row r="2685" spans="1:16" ht="24" x14ac:dyDescent="0.2">
      <c r="A2685" s="916"/>
      <c r="B2685" s="898"/>
      <c r="C2685" s="916"/>
      <c r="D2685" s="898"/>
      <c r="E2685" s="1144"/>
      <c r="F2685" s="943" t="s">
        <v>8399</v>
      </c>
      <c r="G2685" s="1245" t="s">
        <v>8400</v>
      </c>
      <c r="H2685" s="1245"/>
      <c r="I2685" s="1147" t="s">
        <v>7781</v>
      </c>
      <c r="J2685" s="943"/>
      <c r="K2685" s="944"/>
      <c r="L2685" s="1249"/>
      <c r="M2685" s="899"/>
      <c r="N2685" s="898">
        <v>385</v>
      </c>
      <c r="O2685" s="1249"/>
      <c r="P2685" s="1246">
        <v>1000</v>
      </c>
    </row>
    <row r="2686" spans="1:16" ht="24" x14ac:dyDescent="0.2">
      <c r="A2686" s="916"/>
      <c r="B2686" s="898"/>
      <c r="C2686" s="916"/>
      <c r="D2686" s="898"/>
      <c r="E2686" s="1144"/>
      <c r="F2686" s="943" t="s">
        <v>8401</v>
      </c>
      <c r="G2686" s="1245" t="s">
        <v>8402</v>
      </c>
      <c r="H2686" s="1245" t="s">
        <v>5043</v>
      </c>
      <c r="I2686" s="1147" t="s">
        <v>7742</v>
      </c>
      <c r="J2686" s="943" t="s">
        <v>3568</v>
      </c>
      <c r="K2686" s="944"/>
      <c r="L2686" s="1249"/>
      <c r="M2686" s="899"/>
      <c r="N2686" s="1331" t="s">
        <v>8403</v>
      </c>
      <c r="O2686" s="1249"/>
      <c r="P2686" s="1246">
        <v>1200</v>
      </c>
    </row>
    <row r="2687" spans="1:16" ht="24" x14ac:dyDescent="0.2">
      <c r="A2687" s="916"/>
      <c r="B2687" s="898"/>
      <c r="C2687" s="916"/>
      <c r="D2687" s="898"/>
      <c r="E2687" s="1144"/>
      <c r="F2687" s="943" t="s">
        <v>8404</v>
      </c>
      <c r="G2687" s="1245" t="s">
        <v>8405</v>
      </c>
      <c r="H2687" s="1245" t="s">
        <v>5043</v>
      </c>
      <c r="I2687" s="1147" t="s">
        <v>7742</v>
      </c>
      <c r="J2687" s="943" t="s">
        <v>3568</v>
      </c>
      <c r="K2687" s="944"/>
      <c r="L2687" s="1249"/>
      <c r="M2687" s="899"/>
      <c r="N2687" s="898">
        <v>387</v>
      </c>
      <c r="O2687" s="1249"/>
      <c r="P2687" s="1246">
        <v>3000</v>
      </c>
    </row>
    <row r="2688" spans="1:16" ht="24" x14ac:dyDescent="0.2">
      <c r="A2688" s="916"/>
      <c r="B2688" s="898"/>
      <c r="C2688" s="916"/>
      <c r="D2688" s="898"/>
      <c r="E2688" s="1144"/>
      <c r="F2688" s="943" t="s">
        <v>8406</v>
      </c>
      <c r="G2688" s="1245" t="s">
        <v>8407</v>
      </c>
      <c r="H2688" s="1245"/>
      <c r="I2688" s="1147" t="s">
        <v>7781</v>
      </c>
      <c r="J2688" s="943"/>
      <c r="K2688" s="944"/>
      <c r="L2688" s="1249"/>
      <c r="M2688" s="899"/>
      <c r="N2688" s="898">
        <v>388</v>
      </c>
      <c r="O2688" s="1249"/>
      <c r="P2688" s="1246">
        <v>1000</v>
      </c>
    </row>
    <row r="2689" spans="1:16" ht="24" x14ac:dyDescent="0.2">
      <c r="A2689" s="916"/>
      <c r="B2689" s="898"/>
      <c r="C2689" s="916"/>
      <c r="D2689" s="898"/>
      <c r="E2689" s="1144"/>
      <c r="F2689" s="943" t="s">
        <v>8408</v>
      </c>
      <c r="G2689" s="1245" t="s">
        <v>8409</v>
      </c>
      <c r="H2689" s="1245" t="s">
        <v>5106</v>
      </c>
      <c r="I2689" s="1147" t="s">
        <v>7739</v>
      </c>
      <c r="J2689" s="943" t="s">
        <v>3568</v>
      </c>
      <c r="K2689" s="944"/>
      <c r="L2689" s="1249"/>
      <c r="M2689" s="899"/>
      <c r="N2689" s="1319">
        <v>447</v>
      </c>
      <c r="O2689" s="1249"/>
      <c r="P2689" s="1246">
        <v>2500</v>
      </c>
    </row>
    <row r="2690" spans="1:16" ht="24" x14ac:dyDescent="0.2">
      <c r="A2690" s="916"/>
      <c r="B2690" s="898"/>
      <c r="C2690" s="916"/>
      <c r="D2690" s="898"/>
      <c r="E2690" s="1144"/>
      <c r="F2690" s="943" t="s">
        <v>8410</v>
      </c>
      <c r="G2690" s="1245" t="s">
        <v>8411</v>
      </c>
      <c r="H2690" s="1245" t="s">
        <v>7759</v>
      </c>
      <c r="I2690" s="1147" t="s">
        <v>7739</v>
      </c>
      <c r="J2690" s="943" t="s">
        <v>3568</v>
      </c>
      <c r="K2690" s="944"/>
      <c r="L2690" s="1249"/>
      <c r="M2690" s="899"/>
      <c r="N2690" s="1319">
        <v>389</v>
      </c>
      <c r="O2690" s="1249"/>
      <c r="P2690" s="1246">
        <v>4200</v>
      </c>
    </row>
    <row r="2691" spans="1:16" ht="24" x14ac:dyDescent="0.2">
      <c r="A2691" s="916"/>
      <c r="B2691" s="898"/>
      <c r="C2691" s="916"/>
      <c r="D2691" s="898"/>
      <c r="E2691" s="1144"/>
      <c r="F2691" s="943" t="s">
        <v>8412</v>
      </c>
      <c r="G2691" s="1245" t="s">
        <v>8413</v>
      </c>
      <c r="H2691" s="1245"/>
      <c r="I2691" s="1147" t="s">
        <v>7781</v>
      </c>
      <c r="J2691" s="943"/>
      <c r="K2691" s="944"/>
      <c r="L2691" s="1249"/>
      <c r="M2691" s="899"/>
      <c r="N2691" s="898">
        <v>390</v>
      </c>
      <c r="O2691" s="1249"/>
      <c r="P2691" s="1246">
        <v>1200</v>
      </c>
    </row>
    <row r="2692" spans="1:16" ht="24" x14ac:dyDescent="0.2">
      <c r="A2692" s="916"/>
      <c r="B2692" s="898"/>
      <c r="C2692" s="916"/>
      <c r="D2692" s="898"/>
      <c r="E2692" s="1144"/>
      <c r="F2692" s="943" t="s">
        <v>8414</v>
      </c>
      <c r="G2692" s="1245" t="s">
        <v>8415</v>
      </c>
      <c r="H2692" s="1245" t="s">
        <v>7759</v>
      </c>
      <c r="I2692" s="1147" t="s">
        <v>7739</v>
      </c>
      <c r="J2692" s="943" t="s">
        <v>3568</v>
      </c>
      <c r="K2692" s="944"/>
      <c r="L2692" s="1249"/>
      <c r="M2692" s="899"/>
      <c r="N2692" s="1319">
        <v>443</v>
      </c>
      <c r="O2692" s="1249"/>
      <c r="P2692" s="1246">
        <v>7000</v>
      </c>
    </row>
    <row r="2693" spans="1:16" ht="24" x14ac:dyDescent="0.2">
      <c r="A2693" s="916"/>
      <c r="B2693" s="898"/>
      <c r="C2693" s="916"/>
      <c r="D2693" s="898"/>
      <c r="E2693" s="1144"/>
      <c r="F2693" s="943" t="s">
        <v>8416</v>
      </c>
      <c r="G2693" s="1245" t="s">
        <v>8417</v>
      </c>
      <c r="H2693" s="1245" t="s">
        <v>8021</v>
      </c>
      <c r="I2693" s="1147" t="s">
        <v>7742</v>
      </c>
      <c r="J2693" s="943" t="s">
        <v>3568</v>
      </c>
      <c r="K2693" s="944"/>
      <c r="L2693" s="1249"/>
      <c r="M2693" s="899"/>
      <c r="N2693" s="898">
        <v>392</v>
      </c>
      <c r="O2693" s="1249"/>
      <c r="P2693" s="1246">
        <v>2500</v>
      </c>
    </row>
    <row r="2694" spans="1:16" ht="24" x14ac:dyDescent="0.2">
      <c r="A2694" s="916"/>
      <c r="B2694" s="898"/>
      <c r="C2694" s="916"/>
      <c r="D2694" s="898"/>
      <c r="E2694" s="1144"/>
      <c r="F2694" s="943" t="s">
        <v>8418</v>
      </c>
      <c r="G2694" s="1245" t="s">
        <v>8419</v>
      </c>
      <c r="H2694" s="1245" t="s">
        <v>8021</v>
      </c>
      <c r="I2694" s="1147" t="s">
        <v>7742</v>
      </c>
      <c r="J2694" s="943" t="s">
        <v>3568</v>
      </c>
      <c r="K2694" s="944"/>
      <c r="L2694" s="1249"/>
      <c r="M2694" s="899"/>
      <c r="N2694" s="1319">
        <v>393</v>
      </c>
      <c r="O2694" s="1249"/>
      <c r="P2694" s="1246">
        <v>1200</v>
      </c>
    </row>
    <row r="2695" spans="1:16" ht="24" x14ac:dyDescent="0.2">
      <c r="A2695" s="916"/>
      <c r="B2695" s="898"/>
      <c r="C2695" s="916"/>
      <c r="D2695" s="898"/>
      <c r="E2695" s="1144"/>
      <c r="F2695" s="943" t="s">
        <v>8420</v>
      </c>
      <c r="G2695" s="1245" t="s">
        <v>8421</v>
      </c>
      <c r="H2695" s="1245" t="s">
        <v>5043</v>
      </c>
      <c r="I2695" s="1147" t="s">
        <v>7742</v>
      </c>
      <c r="J2695" s="943" t="s">
        <v>3568</v>
      </c>
      <c r="K2695" s="944"/>
      <c r="L2695" s="1249"/>
      <c r="M2695" s="899"/>
      <c r="N2695" s="1331" t="s">
        <v>8422</v>
      </c>
      <c r="O2695" s="1249"/>
      <c r="P2695" s="1246">
        <v>1200</v>
      </c>
    </row>
    <row r="2696" spans="1:16" ht="24" x14ac:dyDescent="0.2">
      <c r="A2696" s="916"/>
      <c r="B2696" s="898"/>
      <c r="C2696" s="916"/>
      <c r="D2696" s="898"/>
      <c r="E2696" s="1144"/>
      <c r="F2696" s="943" t="s">
        <v>8423</v>
      </c>
      <c r="G2696" s="1245" t="s">
        <v>8424</v>
      </c>
      <c r="H2696" s="1245"/>
      <c r="I2696" s="1147" t="s">
        <v>7781</v>
      </c>
      <c r="J2696" s="943"/>
      <c r="K2696" s="944"/>
      <c r="L2696" s="1249"/>
      <c r="M2696" s="899"/>
      <c r="N2696" s="898">
        <v>541</v>
      </c>
      <c r="O2696" s="1249"/>
      <c r="P2696" s="1246">
        <v>1500</v>
      </c>
    </row>
    <row r="2697" spans="1:16" ht="24" x14ac:dyDescent="0.2">
      <c r="A2697" s="916"/>
      <c r="B2697" s="898"/>
      <c r="C2697" s="916"/>
      <c r="D2697" s="898"/>
      <c r="E2697" s="1144"/>
      <c r="F2697" s="943" t="s">
        <v>8425</v>
      </c>
      <c r="G2697" s="1245" t="s">
        <v>8426</v>
      </c>
      <c r="H2697" s="1245" t="s">
        <v>5043</v>
      </c>
      <c r="I2697" s="1147" t="s">
        <v>7742</v>
      </c>
      <c r="J2697" s="943" t="s">
        <v>4952</v>
      </c>
      <c r="K2697" s="944"/>
      <c r="L2697" s="1249"/>
      <c r="M2697" s="899"/>
      <c r="N2697" s="1319">
        <v>397</v>
      </c>
      <c r="O2697" s="1249"/>
      <c r="P2697" s="1246">
        <v>1500</v>
      </c>
    </row>
    <row r="2698" spans="1:16" ht="24" x14ac:dyDescent="0.2">
      <c r="A2698" s="916"/>
      <c r="B2698" s="898"/>
      <c r="C2698" s="916"/>
      <c r="D2698" s="898"/>
      <c r="E2698" s="1144"/>
      <c r="F2698" s="943" t="s">
        <v>8427</v>
      </c>
      <c r="G2698" s="1245" t="s">
        <v>8428</v>
      </c>
      <c r="H2698" s="1245" t="s">
        <v>5043</v>
      </c>
      <c r="I2698" s="1147" t="s">
        <v>7742</v>
      </c>
      <c r="J2698" s="943" t="s">
        <v>3568</v>
      </c>
      <c r="K2698" s="944"/>
      <c r="L2698" s="1249"/>
      <c r="M2698" s="899"/>
      <c r="N2698" s="1319">
        <v>398</v>
      </c>
      <c r="O2698" s="1249"/>
      <c r="P2698" s="1246">
        <v>1200</v>
      </c>
    </row>
    <row r="2699" spans="1:16" ht="24" x14ac:dyDescent="0.2">
      <c r="A2699" s="916"/>
      <c r="B2699" s="898"/>
      <c r="C2699" s="916"/>
      <c r="D2699" s="898"/>
      <c r="E2699" s="1144"/>
      <c r="F2699" s="943" t="s">
        <v>8429</v>
      </c>
      <c r="G2699" s="1245" t="s">
        <v>8430</v>
      </c>
      <c r="H2699" s="1245" t="s">
        <v>7759</v>
      </c>
      <c r="I2699" s="1147" t="s">
        <v>7739</v>
      </c>
      <c r="J2699" s="943" t="s">
        <v>3568</v>
      </c>
      <c r="K2699" s="944"/>
      <c r="L2699" s="1249"/>
      <c r="M2699" s="899"/>
      <c r="N2699" s="1319">
        <v>399</v>
      </c>
      <c r="O2699" s="1249"/>
      <c r="P2699" s="1246">
        <v>6500</v>
      </c>
    </row>
    <row r="2700" spans="1:16" ht="24" x14ac:dyDescent="0.2">
      <c r="A2700" s="916"/>
      <c r="B2700" s="898"/>
      <c r="C2700" s="916"/>
      <c r="D2700" s="898"/>
      <c r="E2700" s="1144"/>
      <c r="F2700" s="943" t="s">
        <v>8431</v>
      </c>
      <c r="G2700" s="1245" t="s">
        <v>8432</v>
      </c>
      <c r="H2700" s="1245" t="s">
        <v>8021</v>
      </c>
      <c r="I2700" s="1147" t="s">
        <v>7742</v>
      </c>
      <c r="J2700" s="943" t="s">
        <v>3568</v>
      </c>
      <c r="K2700" s="944"/>
      <c r="L2700" s="1249"/>
      <c r="M2700" s="899"/>
      <c r="N2700" s="898">
        <v>401</v>
      </c>
      <c r="O2700" s="1249"/>
      <c r="P2700" s="1246">
        <v>1200</v>
      </c>
    </row>
    <row r="2701" spans="1:16" ht="24" x14ac:dyDescent="0.2">
      <c r="A2701" s="916"/>
      <c r="B2701" s="898"/>
      <c r="C2701" s="916"/>
      <c r="D2701" s="898"/>
      <c r="E2701" s="1144"/>
      <c r="F2701" s="943" t="s">
        <v>8433</v>
      </c>
      <c r="G2701" s="1245" t="s">
        <v>8434</v>
      </c>
      <c r="H2701" s="1245"/>
      <c r="I2701" s="1147" t="s">
        <v>7781</v>
      </c>
      <c r="J2701" s="943"/>
      <c r="K2701" s="944"/>
      <c r="L2701" s="1249"/>
      <c r="M2701" s="899"/>
      <c r="N2701" s="898">
        <v>400</v>
      </c>
      <c r="O2701" s="1249"/>
      <c r="P2701" s="1246">
        <v>1000</v>
      </c>
    </row>
    <row r="2702" spans="1:16" ht="24" x14ac:dyDescent="0.2">
      <c r="A2702" s="916"/>
      <c r="B2702" s="898"/>
      <c r="C2702" s="916"/>
      <c r="D2702" s="898"/>
      <c r="E2702" s="1144"/>
      <c r="F2702" s="943" t="s">
        <v>8435</v>
      </c>
      <c r="G2702" s="1245" t="s">
        <v>8436</v>
      </c>
      <c r="H2702" s="1245"/>
      <c r="I2702" s="1147" t="s">
        <v>7781</v>
      </c>
      <c r="J2702" s="943"/>
      <c r="K2702" s="944"/>
      <c r="L2702" s="1249"/>
      <c r="M2702" s="899"/>
      <c r="N2702" s="898">
        <v>403</v>
      </c>
      <c r="O2702" s="1249"/>
      <c r="P2702" s="1246">
        <v>1800</v>
      </c>
    </row>
    <row r="2703" spans="1:16" ht="24" x14ac:dyDescent="0.2">
      <c r="A2703" s="916"/>
      <c r="B2703" s="898"/>
      <c r="C2703" s="916"/>
      <c r="D2703" s="898"/>
      <c r="E2703" s="1144"/>
      <c r="F2703" s="943" t="s">
        <v>8437</v>
      </c>
      <c r="G2703" s="1245" t="s">
        <v>8438</v>
      </c>
      <c r="H2703" s="1245"/>
      <c r="I2703" s="1147" t="s">
        <v>7781</v>
      </c>
      <c r="J2703" s="943"/>
      <c r="K2703" s="944"/>
      <c r="L2703" s="1249"/>
      <c r="M2703" s="899"/>
      <c r="N2703" s="1319">
        <v>404</v>
      </c>
      <c r="O2703" s="1249"/>
      <c r="P2703" s="1246">
        <v>1000</v>
      </c>
    </row>
    <row r="2704" spans="1:16" ht="48" x14ac:dyDescent="0.2">
      <c r="A2704" s="916"/>
      <c r="B2704" s="898"/>
      <c r="C2704" s="916"/>
      <c r="D2704" s="898"/>
      <c r="E2704" s="1144"/>
      <c r="F2704" s="943" t="s">
        <v>8439</v>
      </c>
      <c r="G2704" s="1245" t="s">
        <v>8440</v>
      </c>
      <c r="H2704" s="1245" t="s">
        <v>7796</v>
      </c>
      <c r="I2704" s="1147" t="s">
        <v>8093</v>
      </c>
      <c r="J2704" s="943" t="s">
        <v>3595</v>
      </c>
      <c r="K2704" s="944"/>
      <c r="L2704" s="1249"/>
      <c r="M2704" s="899"/>
      <c r="N2704" s="1319">
        <v>406</v>
      </c>
      <c r="O2704" s="1249"/>
      <c r="P2704" s="1246">
        <v>1200</v>
      </c>
    </row>
    <row r="2705" spans="1:16" ht="24" x14ac:dyDescent="0.2">
      <c r="A2705" s="916"/>
      <c r="B2705" s="898"/>
      <c r="C2705" s="916"/>
      <c r="D2705" s="898"/>
      <c r="E2705" s="1144"/>
      <c r="F2705" s="943" t="s">
        <v>8441</v>
      </c>
      <c r="G2705" s="1245" t="s">
        <v>8442</v>
      </c>
      <c r="H2705" s="1245" t="s">
        <v>7769</v>
      </c>
      <c r="I2705" s="1147" t="s">
        <v>7770</v>
      </c>
      <c r="J2705" s="943" t="s">
        <v>3632</v>
      </c>
      <c r="K2705" s="944"/>
      <c r="L2705" s="1249"/>
      <c r="M2705" s="899"/>
      <c r="N2705" s="1329" t="s">
        <v>8443</v>
      </c>
      <c r="O2705" s="1249"/>
      <c r="P2705" s="1246">
        <v>1200</v>
      </c>
    </row>
    <row r="2706" spans="1:16" ht="24" x14ac:dyDescent="0.2">
      <c r="A2706" s="916"/>
      <c r="B2706" s="898"/>
      <c r="C2706" s="916"/>
      <c r="D2706" s="898"/>
      <c r="E2706" s="1144"/>
      <c r="F2706" s="943" t="s">
        <v>8444</v>
      </c>
      <c r="G2706" s="1245" t="s">
        <v>8445</v>
      </c>
      <c r="H2706" s="1245" t="s">
        <v>8021</v>
      </c>
      <c r="I2706" s="1147" t="s">
        <v>7742</v>
      </c>
      <c r="J2706" s="943" t="s">
        <v>4952</v>
      </c>
      <c r="K2706" s="944"/>
      <c r="L2706" s="1249"/>
      <c r="M2706" s="899"/>
      <c r="N2706" s="1331" t="s">
        <v>8446</v>
      </c>
      <c r="O2706" s="1249"/>
      <c r="P2706" s="1246">
        <v>1200</v>
      </c>
    </row>
    <row r="2707" spans="1:16" ht="24" x14ac:dyDescent="0.2">
      <c r="A2707" s="916"/>
      <c r="B2707" s="898"/>
      <c r="C2707" s="916"/>
      <c r="D2707" s="898"/>
      <c r="E2707" s="1144"/>
      <c r="F2707" s="943" t="s">
        <v>8447</v>
      </c>
      <c r="G2707" s="1245" t="s">
        <v>8448</v>
      </c>
      <c r="H2707" s="1245" t="s">
        <v>7769</v>
      </c>
      <c r="I2707" s="1147" t="s">
        <v>7739</v>
      </c>
      <c r="J2707" s="943" t="s">
        <v>3595</v>
      </c>
      <c r="K2707" s="944"/>
      <c r="L2707" s="1249"/>
      <c r="M2707" s="899"/>
      <c r="N2707" s="1319">
        <v>409</v>
      </c>
      <c r="O2707" s="1249"/>
      <c r="P2707" s="1246">
        <v>1500</v>
      </c>
    </row>
    <row r="2708" spans="1:16" ht="48" x14ac:dyDescent="0.2">
      <c r="A2708" s="916"/>
      <c r="B2708" s="898"/>
      <c r="C2708" s="916"/>
      <c r="D2708" s="898"/>
      <c r="E2708" s="1144"/>
      <c r="F2708" s="943" t="s">
        <v>8449</v>
      </c>
      <c r="G2708" s="1245" t="s">
        <v>8450</v>
      </c>
      <c r="H2708" s="1245" t="s">
        <v>7796</v>
      </c>
      <c r="I2708" s="1147" t="s">
        <v>7742</v>
      </c>
      <c r="J2708" s="943" t="s">
        <v>3568</v>
      </c>
      <c r="K2708" s="944"/>
      <c r="L2708" s="1249"/>
      <c r="M2708" s="899"/>
      <c r="N2708" s="1319">
        <v>410</v>
      </c>
      <c r="O2708" s="1249"/>
      <c r="P2708" s="1246">
        <v>1000</v>
      </c>
    </row>
    <row r="2709" spans="1:16" ht="24" x14ac:dyDescent="0.2">
      <c r="A2709" s="916"/>
      <c r="B2709" s="898"/>
      <c r="C2709" s="916"/>
      <c r="D2709" s="898"/>
      <c r="E2709" s="1144"/>
      <c r="F2709" s="943" t="s">
        <v>8451</v>
      </c>
      <c r="G2709" s="1245" t="s">
        <v>8452</v>
      </c>
      <c r="H2709" s="1245"/>
      <c r="I2709" s="1147" t="s">
        <v>7781</v>
      </c>
      <c r="J2709" s="943"/>
      <c r="K2709" s="944"/>
      <c r="L2709" s="1249"/>
      <c r="M2709" s="899"/>
      <c r="N2709" s="898">
        <v>413</v>
      </c>
      <c r="O2709" s="1249"/>
      <c r="P2709" s="1246">
        <v>1000</v>
      </c>
    </row>
    <row r="2710" spans="1:16" ht="24" x14ac:dyDescent="0.2">
      <c r="A2710" s="916"/>
      <c r="B2710" s="898"/>
      <c r="C2710" s="916"/>
      <c r="D2710" s="898"/>
      <c r="E2710" s="1144"/>
      <c r="F2710" s="943" t="s">
        <v>8453</v>
      </c>
      <c r="G2710" s="1245" t="s">
        <v>8454</v>
      </c>
      <c r="H2710" s="1245"/>
      <c r="I2710" s="1147" t="s">
        <v>7781</v>
      </c>
      <c r="J2710" s="943"/>
      <c r="K2710" s="944"/>
      <c r="L2710" s="1249"/>
      <c r="M2710" s="899"/>
      <c r="N2710" s="1319">
        <v>415</v>
      </c>
      <c r="O2710" s="1249"/>
      <c r="P2710" s="1246">
        <v>1000</v>
      </c>
    </row>
    <row r="2711" spans="1:16" ht="24" x14ac:dyDescent="0.2">
      <c r="A2711" s="916"/>
      <c r="B2711" s="898"/>
      <c r="C2711" s="916"/>
      <c r="D2711" s="898"/>
      <c r="E2711" s="1144"/>
      <c r="F2711" s="943" t="s">
        <v>8455</v>
      </c>
      <c r="G2711" s="1245" t="s">
        <v>8456</v>
      </c>
      <c r="H2711" s="1245" t="s">
        <v>8021</v>
      </c>
      <c r="I2711" s="1147" t="s">
        <v>7742</v>
      </c>
      <c r="J2711" s="943" t="s">
        <v>3568</v>
      </c>
      <c r="K2711" s="944"/>
      <c r="L2711" s="1249"/>
      <c r="M2711" s="899"/>
      <c r="N2711" s="898">
        <v>416</v>
      </c>
      <c r="O2711" s="1249"/>
      <c r="P2711" s="1246">
        <v>2500</v>
      </c>
    </row>
    <row r="2712" spans="1:16" ht="24" x14ac:dyDescent="0.2">
      <c r="A2712" s="916"/>
      <c r="B2712" s="898"/>
      <c r="C2712" s="916"/>
      <c r="D2712" s="898"/>
      <c r="E2712" s="1144"/>
      <c r="F2712" s="943" t="s">
        <v>8457</v>
      </c>
      <c r="G2712" s="1245" t="s">
        <v>8458</v>
      </c>
      <c r="H2712" s="1245" t="s">
        <v>5043</v>
      </c>
      <c r="I2712" s="1147" t="s">
        <v>7742</v>
      </c>
      <c r="J2712" s="943" t="s">
        <v>3568</v>
      </c>
      <c r="K2712" s="944"/>
      <c r="L2712" s="1249"/>
      <c r="M2712" s="899"/>
      <c r="N2712" s="1319">
        <v>417</v>
      </c>
      <c r="O2712" s="1249"/>
      <c r="P2712" s="1246">
        <v>1200</v>
      </c>
    </row>
    <row r="2713" spans="1:16" ht="24" x14ac:dyDescent="0.2">
      <c r="A2713" s="916"/>
      <c r="B2713" s="898"/>
      <c r="C2713" s="916"/>
      <c r="D2713" s="898"/>
      <c r="E2713" s="1144"/>
      <c r="F2713" s="943" t="s">
        <v>8459</v>
      </c>
      <c r="G2713" s="1245" t="s">
        <v>8460</v>
      </c>
      <c r="H2713" s="1245" t="s">
        <v>3129</v>
      </c>
      <c r="I2713" s="1147" t="s">
        <v>7739</v>
      </c>
      <c r="J2713" s="943" t="s">
        <v>3595</v>
      </c>
      <c r="K2713" s="944"/>
      <c r="L2713" s="1249"/>
      <c r="M2713" s="899"/>
      <c r="N2713" s="898">
        <v>418</v>
      </c>
      <c r="O2713" s="1249"/>
      <c r="P2713" s="1246">
        <v>2500</v>
      </c>
    </row>
    <row r="2714" spans="1:16" ht="24" x14ac:dyDescent="0.2">
      <c r="A2714" s="916"/>
      <c r="B2714" s="898"/>
      <c r="C2714" s="916"/>
      <c r="D2714" s="898"/>
      <c r="E2714" s="1144"/>
      <c r="F2714" s="943" t="s">
        <v>8461</v>
      </c>
      <c r="G2714" s="1245" t="s">
        <v>8462</v>
      </c>
      <c r="H2714" s="1245" t="s">
        <v>7809</v>
      </c>
      <c r="I2714" s="1147" t="s">
        <v>7739</v>
      </c>
      <c r="J2714" s="943" t="s">
        <v>3595</v>
      </c>
      <c r="K2714" s="944"/>
      <c r="L2714" s="1249"/>
      <c r="M2714" s="899"/>
      <c r="N2714" s="1319">
        <v>419</v>
      </c>
      <c r="O2714" s="1249"/>
      <c r="P2714" s="1246">
        <v>1800</v>
      </c>
    </row>
    <row r="2715" spans="1:16" ht="24" x14ac:dyDescent="0.2">
      <c r="A2715" s="916"/>
      <c r="B2715" s="898"/>
      <c r="C2715" s="916"/>
      <c r="D2715" s="898"/>
      <c r="E2715" s="1144"/>
      <c r="F2715" s="943" t="s">
        <v>8463</v>
      </c>
      <c r="G2715" s="1245" t="s">
        <v>8464</v>
      </c>
      <c r="H2715" s="1245"/>
      <c r="I2715" s="1147" t="s">
        <v>7781</v>
      </c>
      <c r="J2715" s="943"/>
      <c r="K2715" s="944"/>
      <c r="L2715" s="1249"/>
      <c r="M2715" s="899"/>
      <c r="N2715" s="898">
        <v>420</v>
      </c>
      <c r="O2715" s="1249"/>
      <c r="P2715" s="1246">
        <v>1200</v>
      </c>
    </row>
    <row r="2716" spans="1:16" ht="24" x14ac:dyDescent="0.2">
      <c r="A2716" s="916"/>
      <c r="B2716" s="898"/>
      <c r="C2716" s="916"/>
      <c r="D2716" s="898"/>
      <c r="E2716" s="1144"/>
      <c r="F2716" s="943" t="s">
        <v>8465</v>
      </c>
      <c r="G2716" s="1245" t="s">
        <v>8466</v>
      </c>
      <c r="H2716" s="1245" t="s">
        <v>3284</v>
      </c>
      <c r="I2716" s="1147" t="s">
        <v>7742</v>
      </c>
      <c r="J2716" s="943" t="s">
        <v>3568</v>
      </c>
      <c r="K2716" s="944"/>
      <c r="L2716" s="1249"/>
      <c r="M2716" s="899"/>
      <c r="N2716" s="1319">
        <v>422</v>
      </c>
      <c r="O2716" s="1249"/>
      <c r="P2716" s="1246">
        <v>1200</v>
      </c>
    </row>
    <row r="2717" spans="1:16" ht="24" x14ac:dyDescent="0.2">
      <c r="A2717" s="916"/>
      <c r="B2717" s="898"/>
      <c r="C2717" s="916"/>
      <c r="D2717" s="898"/>
      <c r="E2717" s="1144"/>
      <c r="F2717" s="943" t="s">
        <v>8467</v>
      </c>
      <c r="G2717" s="1245" t="s">
        <v>8468</v>
      </c>
      <c r="H2717" s="1245" t="s">
        <v>8021</v>
      </c>
      <c r="I2717" s="1147" t="s">
        <v>7742</v>
      </c>
      <c r="J2717" s="943" t="s">
        <v>3568</v>
      </c>
      <c r="K2717" s="944"/>
      <c r="L2717" s="1249"/>
      <c r="M2717" s="899"/>
      <c r="N2717" s="1319">
        <v>423</v>
      </c>
      <c r="O2717" s="1249"/>
      <c r="P2717" s="1246">
        <v>1200</v>
      </c>
    </row>
    <row r="2718" spans="1:16" ht="24" x14ac:dyDescent="0.2">
      <c r="A2718" s="916"/>
      <c r="B2718" s="898"/>
      <c r="C2718" s="916"/>
      <c r="D2718" s="898"/>
      <c r="E2718" s="1144"/>
      <c r="F2718" s="943" t="s">
        <v>8469</v>
      </c>
      <c r="G2718" s="1245" t="s">
        <v>8470</v>
      </c>
      <c r="H2718" s="1245" t="s">
        <v>7759</v>
      </c>
      <c r="I2718" s="1147" t="s">
        <v>7739</v>
      </c>
      <c r="J2718" s="943" t="s">
        <v>3568</v>
      </c>
      <c r="K2718" s="944"/>
      <c r="L2718" s="1249"/>
      <c r="M2718" s="899"/>
      <c r="N2718" s="898">
        <v>425</v>
      </c>
      <c r="O2718" s="1249"/>
      <c r="P2718" s="1246">
        <v>4200</v>
      </c>
    </row>
    <row r="2719" spans="1:16" ht="24" x14ac:dyDescent="0.2">
      <c r="A2719" s="916"/>
      <c r="B2719" s="898"/>
      <c r="C2719" s="916"/>
      <c r="D2719" s="898"/>
      <c r="E2719" s="1144"/>
      <c r="F2719" s="943" t="s">
        <v>8471</v>
      </c>
      <c r="G2719" s="1245" t="s">
        <v>8472</v>
      </c>
      <c r="H2719" s="1245" t="s">
        <v>7919</v>
      </c>
      <c r="I2719" s="1147" t="s">
        <v>7742</v>
      </c>
      <c r="J2719" s="943" t="s">
        <v>4952</v>
      </c>
      <c r="K2719" s="944"/>
      <c r="L2719" s="1249"/>
      <c r="M2719" s="899"/>
      <c r="N2719" s="898">
        <v>426</v>
      </c>
      <c r="O2719" s="1249"/>
      <c r="P2719" s="1246">
        <v>1500</v>
      </c>
    </row>
    <row r="2720" spans="1:16" x14ac:dyDescent="0.2">
      <c r="A2720" s="916"/>
      <c r="B2720" s="898"/>
      <c r="C2720" s="916"/>
      <c r="D2720" s="898"/>
      <c r="E2720" s="1144"/>
      <c r="F2720" s="943"/>
      <c r="G2720" s="1245"/>
      <c r="H2720" s="1245"/>
      <c r="I2720" s="1147"/>
      <c r="J2720" s="943"/>
      <c r="K2720" s="944"/>
      <c r="L2720" s="1249"/>
      <c r="M2720" s="899"/>
      <c r="N2720" s="898"/>
      <c r="O2720" s="1249"/>
      <c r="P2720" s="1246"/>
    </row>
    <row r="2721" spans="1:16" x14ac:dyDescent="0.2">
      <c r="A2721" s="916"/>
      <c r="B2721" s="898"/>
      <c r="C2721" s="1311" t="s">
        <v>8473</v>
      </c>
      <c r="D2721" s="1320"/>
      <c r="E2721" s="1321"/>
      <c r="F2721" s="1332"/>
      <c r="G2721" s="1320"/>
      <c r="H2721" s="1333"/>
      <c r="I2721" s="1334"/>
      <c r="J2721" s="1334"/>
      <c r="K2721" s="1386"/>
      <c r="L2721" s="1325"/>
      <c r="M2721" s="1326"/>
      <c r="N2721" s="1320"/>
      <c r="O2721" s="1325"/>
      <c r="P2721" s="1326"/>
    </row>
    <row r="2722" spans="1:16" ht="24" x14ac:dyDescent="0.2">
      <c r="A2722" s="916"/>
      <c r="B2722" s="898"/>
      <c r="C2722" s="916"/>
      <c r="D2722" s="898"/>
      <c r="E2722" s="1144"/>
      <c r="F2722" s="943" t="s">
        <v>8474</v>
      </c>
      <c r="G2722" s="1245" t="s">
        <v>8475</v>
      </c>
      <c r="H2722" s="1245" t="s">
        <v>3552</v>
      </c>
      <c r="I2722" s="1114" t="s">
        <v>7739</v>
      </c>
      <c r="J2722" s="1114" t="s">
        <v>3568</v>
      </c>
      <c r="K2722" s="944"/>
      <c r="L2722" s="1249"/>
      <c r="M2722" s="899"/>
      <c r="N2722" s="898" t="s">
        <v>8476</v>
      </c>
      <c r="O2722" s="1249"/>
      <c r="P2722" s="899">
        <v>2200</v>
      </c>
    </row>
    <row r="2723" spans="1:16" ht="48" x14ac:dyDescent="0.2">
      <c r="A2723" s="916"/>
      <c r="B2723" s="898"/>
      <c r="C2723" s="916"/>
      <c r="D2723" s="898"/>
      <c r="E2723" s="1144"/>
      <c r="F2723" s="943" t="s">
        <v>8477</v>
      </c>
      <c r="G2723" s="1245" t="s">
        <v>8478</v>
      </c>
      <c r="H2723" s="1245" t="s">
        <v>7796</v>
      </c>
      <c r="I2723" s="1114" t="s">
        <v>7742</v>
      </c>
      <c r="J2723" s="1114" t="s">
        <v>3568</v>
      </c>
      <c r="K2723" s="944"/>
      <c r="L2723" s="1249"/>
      <c r="M2723" s="899"/>
      <c r="N2723" s="898">
        <v>118</v>
      </c>
      <c r="O2723" s="1249"/>
      <c r="P2723" s="899">
        <v>1200</v>
      </c>
    </row>
    <row r="2724" spans="1:16" ht="24" x14ac:dyDescent="0.2">
      <c r="A2724" s="916"/>
      <c r="B2724" s="898"/>
      <c r="C2724" s="916"/>
      <c r="D2724" s="898"/>
      <c r="E2724" s="1144"/>
      <c r="F2724" s="943" t="s">
        <v>8479</v>
      </c>
      <c r="G2724" s="1245" t="s">
        <v>8480</v>
      </c>
      <c r="H2724" s="1245"/>
      <c r="I2724" s="1114" t="s">
        <v>7781</v>
      </c>
      <c r="J2724" s="1114"/>
      <c r="K2724" s="944"/>
      <c r="L2724" s="1249"/>
      <c r="M2724" s="899"/>
      <c r="N2724" s="898">
        <v>119</v>
      </c>
      <c r="O2724" s="1249"/>
      <c r="P2724" s="899">
        <v>1000</v>
      </c>
    </row>
    <row r="2725" spans="1:16" ht="24" x14ac:dyDescent="0.2">
      <c r="A2725" s="916"/>
      <c r="B2725" s="898"/>
      <c r="C2725" s="916"/>
      <c r="D2725" s="898"/>
      <c r="E2725" s="1144"/>
      <c r="F2725" s="943" t="s">
        <v>6975</v>
      </c>
      <c r="G2725" s="1245" t="s">
        <v>6976</v>
      </c>
      <c r="H2725" s="1245" t="s">
        <v>5077</v>
      </c>
      <c r="I2725" s="1114" t="s">
        <v>7739</v>
      </c>
      <c r="J2725" s="1114" t="s">
        <v>3568</v>
      </c>
      <c r="K2725" s="944"/>
      <c r="L2725" s="1249"/>
      <c r="M2725" s="899"/>
      <c r="N2725" s="898">
        <v>122</v>
      </c>
      <c r="O2725" s="1249"/>
      <c r="P2725" s="899">
        <v>4200</v>
      </c>
    </row>
    <row r="2726" spans="1:16" ht="48" x14ac:dyDescent="0.2">
      <c r="A2726" s="916"/>
      <c r="B2726" s="898"/>
      <c r="C2726" s="916"/>
      <c r="D2726" s="898"/>
      <c r="E2726" s="1144"/>
      <c r="F2726" s="943" t="s">
        <v>8481</v>
      </c>
      <c r="G2726" s="1245" t="s">
        <v>8482</v>
      </c>
      <c r="H2726" s="1245" t="s">
        <v>7796</v>
      </c>
      <c r="I2726" s="1114" t="s">
        <v>7742</v>
      </c>
      <c r="J2726" s="1114" t="s">
        <v>3568</v>
      </c>
      <c r="K2726" s="944"/>
      <c r="L2726" s="1249"/>
      <c r="M2726" s="899"/>
      <c r="N2726" s="898">
        <v>123</v>
      </c>
      <c r="O2726" s="1249"/>
      <c r="P2726" s="899">
        <v>1200</v>
      </c>
    </row>
    <row r="2727" spans="1:16" ht="24" x14ac:dyDescent="0.2">
      <c r="A2727" s="916"/>
      <c r="B2727" s="898"/>
      <c r="C2727" s="916"/>
      <c r="D2727" s="898"/>
      <c r="E2727" s="1144"/>
      <c r="F2727" s="943" t="s">
        <v>8483</v>
      </c>
      <c r="G2727" s="1245" t="s">
        <v>8484</v>
      </c>
      <c r="H2727" s="1245"/>
      <c r="I2727" s="1114" t="s">
        <v>7781</v>
      </c>
      <c r="J2727" s="1114"/>
      <c r="K2727" s="944"/>
      <c r="L2727" s="1249"/>
      <c r="M2727" s="899"/>
      <c r="N2727" s="898">
        <v>124</v>
      </c>
      <c r="O2727" s="1249"/>
      <c r="P2727" s="899">
        <v>1000</v>
      </c>
    </row>
    <row r="2728" spans="1:16" ht="48" x14ac:dyDescent="0.2">
      <c r="A2728" s="916"/>
      <c r="B2728" s="898"/>
      <c r="C2728" s="916"/>
      <c r="D2728" s="898"/>
      <c r="E2728" s="1144"/>
      <c r="F2728" s="943" t="s">
        <v>8485</v>
      </c>
      <c r="G2728" s="1245" t="s">
        <v>8486</v>
      </c>
      <c r="H2728" s="1245" t="s">
        <v>7796</v>
      </c>
      <c r="I2728" s="1114" t="s">
        <v>7742</v>
      </c>
      <c r="J2728" s="1114" t="s">
        <v>3568</v>
      </c>
      <c r="K2728" s="944"/>
      <c r="L2728" s="1249"/>
      <c r="M2728" s="899"/>
      <c r="N2728" s="898">
        <v>131</v>
      </c>
      <c r="O2728" s="1249"/>
      <c r="P2728" s="899">
        <v>1200</v>
      </c>
    </row>
    <row r="2729" spans="1:16" ht="24" x14ac:dyDescent="0.2">
      <c r="A2729" s="916"/>
      <c r="B2729" s="898"/>
      <c r="C2729" s="916"/>
      <c r="D2729" s="898"/>
      <c r="E2729" s="1144"/>
      <c r="F2729" s="943" t="s">
        <v>8487</v>
      </c>
      <c r="G2729" s="1245" t="s">
        <v>8488</v>
      </c>
      <c r="H2729" s="1245"/>
      <c r="I2729" s="1114" t="s">
        <v>7781</v>
      </c>
      <c r="J2729" s="1114"/>
      <c r="K2729" s="944"/>
      <c r="L2729" s="1249"/>
      <c r="M2729" s="899"/>
      <c r="N2729" s="898" t="s">
        <v>8489</v>
      </c>
      <c r="O2729" s="1249"/>
      <c r="P2729" s="899">
        <v>1000</v>
      </c>
    </row>
    <row r="2730" spans="1:16" ht="24" x14ac:dyDescent="0.2">
      <c r="A2730" s="916"/>
      <c r="B2730" s="898"/>
      <c r="C2730" s="916"/>
      <c r="D2730" s="898"/>
      <c r="E2730" s="1144"/>
      <c r="F2730" s="943" t="s">
        <v>8490</v>
      </c>
      <c r="G2730" s="1245" t="s">
        <v>8491</v>
      </c>
      <c r="H2730" s="1245" t="s">
        <v>3131</v>
      </c>
      <c r="I2730" s="1114" t="s">
        <v>7739</v>
      </c>
      <c r="J2730" s="1114" t="s">
        <v>3568</v>
      </c>
      <c r="K2730" s="944"/>
      <c r="L2730" s="1249"/>
      <c r="M2730" s="899"/>
      <c r="N2730" s="898">
        <v>138</v>
      </c>
      <c r="O2730" s="1249"/>
      <c r="P2730" s="899">
        <v>2200</v>
      </c>
    </row>
    <row r="2731" spans="1:16" ht="24" x14ac:dyDescent="0.2">
      <c r="A2731" s="916"/>
      <c r="B2731" s="898"/>
      <c r="C2731" s="916"/>
      <c r="D2731" s="898"/>
      <c r="E2731" s="1144"/>
      <c r="F2731" s="943" t="s">
        <v>8492</v>
      </c>
      <c r="G2731" s="1245" t="s">
        <v>8493</v>
      </c>
      <c r="H2731" s="1245" t="s">
        <v>5043</v>
      </c>
      <c r="I2731" s="1114" t="s">
        <v>7742</v>
      </c>
      <c r="J2731" s="1114" t="s">
        <v>3568</v>
      </c>
      <c r="K2731" s="944"/>
      <c r="L2731" s="1249"/>
      <c r="M2731" s="899"/>
      <c r="N2731" s="898" t="s">
        <v>8494</v>
      </c>
      <c r="O2731" s="1249"/>
      <c r="P2731" s="899">
        <v>1200</v>
      </c>
    </row>
    <row r="2732" spans="1:16" ht="24" x14ac:dyDescent="0.2">
      <c r="A2732" s="916"/>
      <c r="B2732" s="898"/>
      <c r="C2732" s="916"/>
      <c r="D2732" s="898"/>
      <c r="E2732" s="1144"/>
      <c r="F2732" s="943" t="s">
        <v>8495</v>
      </c>
      <c r="G2732" s="1245" t="s">
        <v>8496</v>
      </c>
      <c r="H2732" s="1245"/>
      <c r="I2732" s="1114" t="s">
        <v>7781</v>
      </c>
      <c r="J2732" s="1114"/>
      <c r="K2732" s="944"/>
      <c r="L2732" s="1249"/>
      <c r="M2732" s="899"/>
      <c r="N2732" s="898">
        <v>142</v>
      </c>
      <c r="O2732" s="1249"/>
      <c r="P2732" s="899">
        <v>1200</v>
      </c>
    </row>
    <row r="2733" spans="1:16" ht="24" x14ac:dyDescent="0.2">
      <c r="A2733" s="916"/>
      <c r="B2733" s="898"/>
      <c r="C2733" s="916"/>
      <c r="D2733" s="898"/>
      <c r="E2733" s="1144"/>
      <c r="F2733" s="943">
        <v>48448210</v>
      </c>
      <c r="G2733" s="1245" t="s">
        <v>8497</v>
      </c>
      <c r="H2733" s="1245" t="s">
        <v>5106</v>
      </c>
      <c r="I2733" s="1114" t="s">
        <v>7739</v>
      </c>
      <c r="J2733" s="1114" t="s">
        <v>3568</v>
      </c>
      <c r="K2733" s="944"/>
      <c r="L2733" s="1249"/>
      <c r="M2733" s="899"/>
      <c r="N2733" s="898" t="s">
        <v>8498</v>
      </c>
      <c r="O2733" s="1249"/>
      <c r="P2733" s="899">
        <v>2500</v>
      </c>
    </row>
    <row r="2734" spans="1:16" ht="24" x14ac:dyDescent="0.2">
      <c r="A2734" s="916"/>
      <c r="B2734" s="898"/>
      <c r="C2734" s="916"/>
      <c r="D2734" s="898"/>
      <c r="E2734" s="1144"/>
      <c r="F2734" s="943" t="s">
        <v>8499</v>
      </c>
      <c r="G2734" s="1245" t="s">
        <v>8500</v>
      </c>
      <c r="H2734" s="1245"/>
      <c r="I2734" s="1114" t="s">
        <v>7781</v>
      </c>
      <c r="J2734" s="1114"/>
      <c r="K2734" s="944"/>
      <c r="L2734" s="1249"/>
      <c r="M2734" s="899"/>
      <c r="N2734" s="898">
        <v>146</v>
      </c>
      <c r="O2734" s="1249"/>
      <c r="P2734" s="899">
        <v>1000</v>
      </c>
    </row>
    <row r="2735" spans="1:16" ht="24" x14ac:dyDescent="0.2">
      <c r="A2735" s="916"/>
      <c r="B2735" s="898"/>
      <c r="C2735" s="916"/>
      <c r="D2735" s="898"/>
      <c r="E2735" s="1144"/>
      <c r="F2735" s="943" t="s">
        <v>8501</v>
      </c>
      <c r="G2735" s="1245" t="s">
        <v>8502</v>
      </c>
      <c r="H2735" s="1245"/>
      <c r="I2735" s="1114" t="s">
        <v>7781</v>
      </c>
      <c r="J2735" s="1114"/>
      <c r="K2735" s="944"/>
      <c r="L2735" s="1249"/>
      <c r="M2735" s="899"/>
      <c r="N2735" s="898">
        <v>147</v>
      </c>
      <c r="O2735" s="1249"/>
      <c r="P2735" s="899">
        <v>1000</v>
      </c>
    </row>
    <row r="2736" spans="1:16" ht="24" x14ac:dyDescent="0.2">
      <c r="A2736" s="916"/>
      <c r="B2736" s="898"/>
      <c r="C2736" s="916"/>
      <c r="D2736" s="898"/>
      <c r="E2736" s="1144"/>
      <c r="F2736" s="943" t="s">
        <v>8503</v>
      </c>
      <c r="G2736" s="1245" t="s">
        <v>8504</v>
      </c>
      <c r="H2736" s="1245"/>
      <c r="I2736" s="1114" t="s">
        <v>7781</v>
      </c>
      <c r="J2736" s="1114"/>
      <c r="K2736" s="944"/>
      <c r="L2736" s="1249"/>
      <c r="M2736" s="899"/>
      <c r="N2736" s="898" t="s">
        <v>8505</v>
      </c>
      <c r="O2736" s="1249"/>
      <c r="P2736" s="899">
        <v>1000</v>
      </c>
    </row>
    <row r="2737" spans="1:16" ht="24" x14ac:dyDescent="0.2">
      <c r="A2737" s="916"/>
      <c r="B2737" s="898"/>
      <c r="C2737" s="916"/>
      <c r="D2737" s="898"/>
      <c r="E2737" s="1144"/>
      <c r="F2737" s="943" t="s">
        <v>8506</v>
      </c>
      <c r="G2737" s="1245" t="s">
        <v>8507</v>
      </c>
      <c r="H2737" s="1245" t="s">
        <v>3129</v>
      </c>
      <c r="I2737" s="1114" t="s">
        <v>7739</v>
      </c>
      <c r="J2737" s="1114" t="s">
        <v>3568</v>
      </c>
      <c r="K2737" s="944"/>
      <c r="L2737" s="1249"/>
      <c r="M2737" s="899"/>
      <c r="N2737" s="898">
        <v>150</v>
      </c>
      <c r="O2737" s="1249"/>
      <c r="P2737" s="899">
        <v>1200</v>
      </c>
    </row>
    <row r="2738" spans="1:16" ht="24" x14ac:dyDescent="0.2">
      <c r="A2738" s="916"/>
      <c r="B2738" s="898"/>
      <c r="C2738" s="916"/>
      <c r="D2738" s="898"/>
      <c r="E2738" s="1144"/>
      <c r="F2738" s="943" t="s">
        <v>8508</v>
      </c>
      <c r="G2738" s="1245" t="s">
        <v>8509</v>
      </c>
      <c r="H2738" s="1245" t="s">
        <v>5043</v>
      </c>
      <c r="I2738" s="1114" t="s">
        <v>7742</v>
      </c>
      <c r="J2738" s="1114" t="s">
        <v>3568</v>
      </c>
      <c r="K2738" s="944"/>
      <c r="L2738" s="1249"/>
      <c r="M2738" s="899"/>
      <c r="N2738" s="898">
        <v>152</v>
      </c>
      <c r="O2738" s="1249"/>
      <c r="P2738" s="899">
        <v>1800</v>
      </c>
    </row>
    <row r="2739" spans="1:16" ht="24" x14ac:dyDescent="0.2">
      <c r="A2739" s="916"/>
      <c r="B2739" s="898"/>
      <c r="C2739" s="916"/>
      <c r="D2739" s="898"/>
      <c r="E2739" s="1144"/>
      <c r="F2739" s="943" t="s">
        <v>8510</v>
      </c>
      <c r="G2739" s="1245" t="s">
        <v>8511</v>
      </c>
      <c r="H2739" s="1245" t="s">
        <v>3187</v>
      </c>
      <c r="I2739" s="1114" t="s">
        <v>7781</v>
      </c>
      <c r="J2739" s="1114"/>
      <c r="K2739" s="944"/>
      <c r="L2739" s="1249"/>
      <c r="M2739" s="899"/>
      <c r="N2739" s="898" t="s">
        <v>8512</v>
      </c>
      <c r="O2739" s="1249"/>
      <c r="P2739" s="899">
        <v>1000</v>
      </c>
    </row>
    <row r="2740" spans="1:16" ht="24" x14ac:dyDescent="0.2">
      <c r="A2740" s="916"/>
      <c r="B2740" s="898"/>
      <c r="C2740" s="916"/>
      <c r="D2740" s="898"/>
      <c r="E2740" s="1144"/>
      <c r="F2740" s="943" t="s">
        <v>8513</v>
      </c>
      <c r="G2740" s="1245" t="s">
        <v>8514</v>
      </c>
      <c r="H2740" s="1245" t="s">
        <v>5043</v>
      </c>
      <c r="I2740" s="1114" t="s">
        <v>7742</v>
      </c>
      <c r="J2740" s="1114" t="s">
        <v>3568</v>
      </c>
      <c r="K2740" s="944"/>
      <c r="L2740" s="1249"/>
      <c r="M2740" s="899"/>
      <c r="N2740" s="898">
        <v>158</v>
      </c>
      <c r="O2740" s="1249"/>
      <c r="P2740" s="899">
        <v>1200</v>
      </c>
    </row>
    <row r="2741" spans="1:16" ht="24" x14ac:dyDescent="0.2">
      <c r="A2741" s="916"/>
      <c r="B2741" s="898"/>
      <c r="C2741" s="916"/>
      <c r="D2741" s="898"/>
      <c r="E2741" s="1144"/>
      <c r="F2741" s="943" t="s">
        <v>8515</v>
      </c>
      <c r="G2741" s="1245" t="s">
        <v>8516</v>
      </c>
      <c r="H2741" s="1245" t="s">
        <v>5043</v>
      </c>
      <c r="I2741" s="1114" t="s">
        <v>7742</v>
      </c>
      <c r="J2741" s="1114" t="s">
        <v>3568</v>
      </c>
      <c r="K2741" s="944"/>
      <c r="L2741" s="1249"/>
      <c r="M2741" s="899"/>
      <c r="N2741" s="898">
        <v>159</v>
      </c>
      <c r="O2741" s="1249"/>
      <c r="P2741" s="899">
        <v>1500</v>
      </c>
    </row>
    <row r="2742" spans="1:16" ht="24" x14ac:dyDescent="0.2">
      <c r="A2742" s="916"/>
      <c r="B2742" s="898"/>
      <c r="C2742" s="916"/>
      <c r="D2742" s="898"/>
      <c r="E2742" s="1144"/>
      <c r="F2742" s="943" t="s">
        <v>8517</v>
      </c>
      <c r="G2742" s="1245" t="s">
        <v>8518</v>
      </c>
      <c r="H2742" s="1245" t="s">
        <v>5043</v>
      </c>
      <c r="I2742" s="1114" t="s">
        <v>7742</v>
      </c>
      <c r="J2742" s="1114" t="s">
        <v>3568</v>
      </c>
      <c r="K2742" s="944"/>
      <c r="L2742" s="1249"/>
      <c r="M2742" s="899"/>
      <c r="N2742" s="898">
        <v>163</v>
      </c>
      <c r="O2742" s="1249"/>
      <c r="P2742" s="899">
        <v>1200</v>
      </c>
    </row>
    <row r="2743" spans="1:16" ht="24" x14ac:dyDescent="0.2">
      <c r="A2743" s="916"/>
      <c r="B2743" s="898"/>
      <c r="C2743" s="916"/>
      <c r="D2743" s="898"/>
      <c r="E2743" s="1144"/>
      <c r="F2743" s="943" t="s">
        <v>8519</v>
      </c>
      <c r="G2743" s="1245" t="s">
        <v>8520</v>
      </c>
      <c r="H2743" s="1245" t="s">
        <v>5058</v>
      </c>
      <c r="I2743" s="1114" t="s">
        <v>7781</v>
      </c>
      <c r="J2743" s="1114"/>
      <c r="K2743" s="944"/>
      <c r="L2743" s="1249"/>
      <c r="M2743" s="899"/>
      <c r="N2743" s="898">
        <v>164</v>
      </c>
      <c r="O2743" s="1249"/>
      <c r="P2743" s="899">
        <v>1000</v>
      </c>
    </row>
    <row r="2744" spans="1:16" x14ac:dyDescent="0.2">
      <c r="A2744" s="916"/>
      <c r="B2744" s="898"/>
      <c r="C2744" s="916"/>
      <c r="D2744" s="898"/>
      <c r="E2744" s="1144"/>
      <c r="F2744" s="943" t="s">
        <v>8521</v>
      </c>
      <c r="G2744" s="1245" t="s">
        <v>8522</v>
      </c>
      <c r="H2744" s="1245" t="s">
        <v>5084</v>
      </c>
      <c r="I2744" s="1114"/>
      <c r="J2744" s="1114"/>
      <c r="K2744" s="944"/>
      <c r="L2744" s="1249"/>
      <c r="M2744" s="899"/>
      <c r="N2744" s="898" t="s">
        <v>8523</v>
      </c>
      <c r="O2744" s="1249"/>
      <c r="P2744" s="899">
        <v>1200</v>
      </c>
    </row>
    <row r="2745" spans="1:16" ht="24" x14ac:dyDescent="0.2">
      <c r="A2745" s="916"/>
      <c r="B2745" s="898"/>
      <c r="C2745" s="916"/>
      <c r="D2745" s="898"/>
      <c r="E2745" s="1144"/>
      <c r="F2745" s="943" t="s">
        <v>8524</v>
      </c>
      <c r="G2745" s="1245" t="s">
        <v>8525</v>
      </c>
      <c r="H2745" s="1245" t="s">
        <v>5077</v>
      </c>
      <c r="I2745" s="1114" t="s">
        <v>7739</v>
      </c>
      <c r="J2745" s="1114" t="s">
        <v>3568</v>
      </c>
      <c r="K2745" s="944"/>
      <c r="L2745" s="1249"/>
      <c r="M2745" s="899"/>
      <c r="N2745" s="898" t="s">
        <v>8526</v>
      </c>
      <c r="O2745" s="1249"/>
      <c r="P2745" s="899">
        <v>4200</v>
      </c>
    </row>
    <row r="2746" spans="1:16" x14ac:dyDescent="0.2">
      <c r="A2746" s="916"/>
      <c r="B2746" s="898"/>
      <c r="C2746" s="916"/>
      <c r="D2746" s="898"/>
      <c r="E2746" s="1144"/>
      <c r="F2746" s="943" t="s">
        <v>8527</v>
      </c>
      <c r="G2746" s="1245" t="s">
        <v>8528</v>
      </c>
      <c r="H2746" s="1245" t="s">
        <v>5084</v>
      </c>
      <c r="I2746" s="1114"/>
      <c r="J2746" s="1114"/>
      <c r="K2746" s="944"/>
      <c r="L2746" s="1249"/>
      <c r="M2746" s="899"/>
      <c r="N2746" s="898">
        <v>167</v>
      </c>
      <c r="O2746" s="1249"/>
      <c r="P2746" s="899">
        <v>1200</v>
      </c>
    </row>
    <row r="2747" spans="1:16" ht="24" x14ac:dyDescent="0.2">
      <c r="A2747" s="916"/>
      <c r="B2747" s="898"/>
      <c r="C2747" s="916"/>
      <c r="D2747" s="898"/>
      <c r="E2747" s="1144"/>
      <c r="F2747" s="943">
        <v>45242161</v>
      </c>
      <c r="G2747" s="1245" t="s">
        <v>8529</v>
      </c>
      <c r="H2747" s="1245" t="s">
        <v>5043</v>
      </c>
      <c r="I2747" s="1114" t="s">
        <v>7742</v>
      </c>
      <c r="J2747" s="1114" t="s">
        <v>3568</v>
      </c>
      <c r="K2747" s="944"/>
      <c r="L2747" s="1249"/>
      <c r="M2747" s="899"/>
      <c r="N2747" s="898" t="s">
        <v>8530</v>
      </c>
      <c r="O2747" s="1249"/>
      <c r="P2747" s="899">
        <v>1500</v>
      </c>
    </row>
    <row r="2748" spans="1:16" ht="24" x14ac:dyDescent="0.2">
      <c r="A2748" s="916"/>
      <c r="B2748" s="898"/>
      <c r="C2748" s="916"/>
      <c r="D2748" s="898"/>
      <c r="E2748" s="1144"/>
      <c r="F2748" s="943" t="s">
        <v>8531</v>
      </c>
      <c r="G2748" s="1245" t="s">
        <v>8532</v>
      </c>
      <c r="H2748" s="1245" t="s">
        <v>3187</v>
      </c>
      <c r="I2748" s="1114" t="s">
        <v>7781</v>
      </c>
      <c r="J2748" s="1114"/>
      <c r="K2748" s="944"/>
      <c r="L2748" s="1249"/>
      <c r="M2748" s="899"/>
      <c r="N2748" s="898">
        <v>173</v>
      </c>
      <c r="O2748" s="1249"/>
      <c r="P2748" s="899">
        <v>1000</v>
      </c>
    </row>
    <row r="2749" spans="1:16" ht="24" x14ac:dyDescent="0.2">
      <c r="A2749" s="916"/>
      <c r="B2749" s="898"/>
      <c r="C2749" s="916"/>
      <c r="D2749" s="898"/>
      <c r="E2749" s="1144"/>
      <c r="F2749" s="943" t="s">
        <v>8533</v>
      </c>
      <c r="G2749" s="1245" t="s">
        <v>8534</v>
      </c>
      <c r="H2749" s="1245" t="s">
        <v>5043</v>
      </c>
      <c r="I2749" s="1114" t="s">
        <v>7742</v>
      </c>
      <c r="J2749" s="1114" t="s">
        <v>3568</v>
      </c>
      <c r="K2749" s="944"/>
      <c r="L2749" s="1249"/>
      <c r="M2749" s="899"/>
      <c r="N2749" s="898">
        <v>174</v>
      </c>
      <c r="O2749" s="1249"/>
      <c r="P2749" s="899">
        <v>1500</v>
      </c>
    </row>
    <row r="2750" spans="1:16" ht="24" x14ac:dyDescent="0.2">
      <c r="A2750" s="916"/>
      <c r="B2750" s="898"/>
      <c r="C2750" s="916"/>
      <c r="D2750" s="898"/>
      <c r="E2750" s="1144"/>
      <c r="F2750" s="943" t="s">
        <v>8535</v>
      </c>
      <c r="G2750" s="1245" t="s">
        <v>8536</v>
      </c>
      <c r="H2750" s="1245" t="s">
        <v>5043</v>
      </c>
      <c r="I2750" s="1114" t="s">
        <v>7742</v>
      </c>
      <c r="J2750" s="1114" t="s">
        <v>3568</v>
      </c>
      <c r="K2750" s="944"/>
      <c r="L2750" s="1249"/>
      <c r="M2750" s="899"/>
      <c r="N2750" s="898">
        <v>175</v>
      </c>
      <c r="O2750" s="1249"/>
      <c r="P2750" s="899">
        <v>1800</v>
      </c>
    </row>
    <row r="2751" spans="1:16" ht="48" x14ac:dyDescent="0.2">
      <c r="A2751" s="916"/>
      <c r="B2751" s="898"/>
      <c r="C2751" s="916"/>
      <c r="D2751" s="898"/>
      <c r="E2751" s="1144"/>
      <c r="F2751" s="943" t="s">
        <v>8537</v>
      </c>
      <c r="G2751" s="1245" t="s">
        <v>8538</v>
      </c>
      <c r="H2751" s="1245" t="s">
        <v>7796</v>
      </c>
      <c r="I2751" s="1114" t="s">
        <v>7742</v>
      </c>
      <c r="J2751" s="1114" t="s">
        <v>3568</v>
      </c>
      <c r="K2751" s="944"/>
      <c r="L2751" s="1249"/>
      <c r="M2751" s="899"/>
      <c r="N2751" s="898">
        <v>176</v>
      </c>
      <c r="O2751" s="1249"/>
      <c r="P2751" s="899">
        <v>1000</v>
      </c>
    </row>
    <row r="2752" spans="1:16" ht="48" x14ac:dyDescent="0.2">
      <c r="A2752" s="916"/>
      <c r="B2752" s="898"/>
      <c r="C2752" s="916"/>
      <c r="D2752" s="898"/>
      <c r="E2752" s="1144"/>
      <c r="F2752" s="943" t="s">
        <v>8539</v>
      </c>
      <c r="G2752" s="1245" t="s">
        <v>8540</v>
      </c>
      <c r="H2752" s="1245" t="s">
        <v>7796</v>
      </c>
      <c r="I2752" s="1114" t="s">
        <v>7742</v>
      </c>
      <c r="J2752" s="1114" t="s">
        <v>3568</v>
      </c>
      <c r="K2752" s="944"/>
      <c r="L2752" s="1249"/>
      <c r="M2752" s="899"/>
      <c r="N2752" s="898">
        <v>178</v>
      </c>
      <c r="O2752" s="1249"/>
      <c r="P2752" s="899">
        <v>1000</v>
      </c>
    </row>
    <row r="2753" spans="1:16" ht="48" x14ac:dyDescent="0.2">
      <c r="A2753" s="916"/>
      <c r="B2753" s="898"/>
      <c r="C2753" s="916"/>
      <c r="D2753" s="898"/>
      <c r="E2753" s="1144"/>
      <c r="F2753" s="943" t="s">
        <v>8541</v>
      </c>
      <c r="G2753" s="1245" t="s">
        <v>8542</v>
      </c>
      <c r="H2753" s="1245" t="s">
        <v>7796</v>
      </c>
      <c r="I2753" s="1114" t="s">
        <v>7742</v>
      </c>
      <c r="J2753" s="1114" t="s">
        <v>3568</v>
      </c>
      <c r="K2753" s="944"/>
      <c r="L2753" s="1249"/>
      <c r="M2753" s="899"/>
      <c r="N2753" s="898">
        <v>180</v>
      </c>
      <c r="O2753" s="1249"/>
      <c r="P2753" s="899">
        <v>1000</v>
      </c>
    </row>
    <row r="2754" spans="1:16" ht="24" x14ac:dyDescent="0.2">
      <c r="A2754" s="916"/>
      <c r="B2754" s="898"/>
      <c r="C2754" s="916"/>
      <c r="D2754" s="898"/>
      <c r="E2754" s="1144"/>
      <c r="F2754" s="943" t="s">
        <v>8543</v>
      </c>
      <c r="G2754" s="1245" t="s">
        <v>8544</v>
      </c>
      <c r="H2754" s="1245" t="s">
        <v>3168</v>
      </c>
      <c r="I2754" s="1114" t="s">
        <v>7739</v>
      </c>
      <c r="J2754" s="1114" t="s">
        <v>3568</v>
      </c>
      <c r="K2754" s="944"/>
      <c r="L2754" s="1249"/>
      <c r="M2754" s="899"/>
      <c r="N2754" s="898" t="s">
        <v>8545</v>
      </c>
      <c r="O2754" s="1249"/>
      <c r="P2754" s="899">
        <v>2000</v>
      </c>
    </row>
    <row r="2755" spans="1:16" ht="24" x14ac:dyDescent="0.2">
      <c r="A2755" s="916"/>
      <c r="B2755" s="898"/>
      <c r="C2755" s="916"/>
      <c r="D2755" s="898"/>
      <c r="E2755" s="1144"/>
      <c r="F2755" s="943" t="s">
        <v>8546</v>
      </c>
      <c r="G2755" s="1245" t="s">
        <v>8547</v>
      </c>
      <c r="H2755" s="1245" t="s">
        <v>4881</v>
      </c>
      <c r="I2755" s="1114" t="s">
        <v>7739</v>
      </c>
      <c r="J2755" s="1114" t="s">
        <v>3568</v>
      </c>
      <c r="K2755" s="944"/>
      <c r="L2755" s="1249"/>
      <c r="M2755" s="899"/>
      <c r="N2755" s="898">
        <v>183</v>
      </c>
      <c r="O2755" s="1249"/>
      <c r="P2755" s="899">
        <v>1800</v>
      </c>
    </row>
    <row r="2756" spans="1:16" ht="24" x14ac:dyDescent="0.2">
      <c r="A2756" s="916"/>
      <c r="B2756" s="898"/>
      <c r="C2756" s="916"/>
      <c r="D2756" s="898"/>
      <c r="E2756" s="1144"/>
      <c r="F2756" s="943" t="s">
        <v>8548</v>
      </c>
      <c r="G2756" s="1245" t="s">
        <v>8549</v>
      </c>
      <c r="H2756" s="1245" t="s">
        <v>580</v>
      </c>
      <c r="I2756" s="1114" t="s">
        <v>7742</v>
      </c>
      <c r="J2756" s="1114" t="s">
        <v>3568</v>
      </c>
      <c r="K2756" s="944"/>
      <c r="L2756" s="1249"/>
      <c r="M2756" s="899"/>
      <c r="N2756" s="898">
        <v>185</v>
      </c>
      <c r="O2756" s="1249"/>
      <c r="P2756" s="899">
        <v>1200</v>
      </c>
    </row>
    <row r="2757" spans="1:16" ht="24" x14ac:dyDescent="0.2">
      <c r="A2757" s="916"/>
      <c r="B2757" s="898"/>
      <c r="C2757" s="916"/>
      <c r="D2757" s="898"/>
      <c r="E2757" s="1144"/>
      <c r="F2757" s="943" t="s">
        <v>8550</v>
      </c>
      <c r="G2757" s="1245" t="s">
        <v>8551</v>
      </c>
      <c r="H2757" s="1245" t="s">
        <v>5043</v>
      </c>
      <c r="I2757" s="1114" t="s">
        <v>7742</v>
      </c>
      <c r="J2757" s="1114" t="s">
        <v>3568</v>
      </c>
      <c r="K2757" s="944"/>
      <c r="L2757" s="1249"/>
      <c r="M2757" s="899"/>
      <c r="N2757" s="898">
        <v>186</v>
      </c>
      <c r="O2757" s="1249"/>
      <c r="P2757" s="899">
        <v>1500</v>
      </c>
    </row>
    <row r="2758" spans="1:16" ht="24" x14ac:dyDescent="0.2">
      <c r="A2758" s="916"/>
      <c r="B2758" s="898"/>
      <c r="C2758" s="916"/>
      <c r="D2758" s="898"/>
      <c r="E2758" s="1144"/>
      <c r="F2758" s="943" t="s">
        <v>8552</v>
      </c>
      <c r="G2758" s="1245" t="s">
        <v>8553</v>
      </c>
      <c r="H2758" s="1245" t="s">
        <v>5043</v>
      </c>
      <c r="I2758" s="1114" t="s">
        <v>7742</v>
      </c>
      <c r="J2758" s="1114" t="s">
        <v>3568</v>
      </c>
      <c r="K2758" s="944"/>
      <c r="L2758" s="1249"/>
      <c r="M2758" s="899"/>
      <c r="N2758" s="898">
        <v>187</v>
      </c>
      <c r="O2758" s="1249"/>
      <c r="P2758" s="899">
        <v>1500</v>
      </c>
    </row>
    <row r="2759" spans="1:16" ht="24" x14ac:dyDescent="0.2">
      <c r="A2759" s="916"/>
      <c r="B2759" s="898"/>
      <c r="C2759" s="916"/>
      <c r="D2759" s="898"/>
      <c r="E2759" s="1144"/>
      <c r="F2759" s="943" t="s">
        <v>8554</v>
      </c>
      <c r="G2759" s="1245" t="s">
        <v>8555</v>
      </c>
      <c r="H2759" s="1245" t="s">
        <v>3187</v>
      </c>
      <c r="I2759" s="1114" t="s">
        <v>7781</v>
      </c>
      <c r="J2759" s="1114"/>
      <c r="K2759" s="944"/>
      <c r="L2759" s="1249"/>
      <c r="M2759" s="899"/>
      <c r="N2759" s="898">
        <v>188</v>
      </c>
      <c r="O2759" s="1249"/>
      <c r="P2759" s="899">
        <v>1000</v>
      </c>
    </row>
    <row r="2760" spans="1:16" ht="24" x14ac:dyDescent="0.2">
      <c r="A2760" s="916"/>
      <c r="B2760" s="898"/>
      <c r="C2760" s="916"/>
      <c r="D2760" s="898"/>
      <c r="E2760" s="1144"/>
      <c r="F2760" s="943" t="s">
        <v>8556</v>
      </c>
      <c r="G2760" s="1245" t="s">
        <v>8557</v>
      </c>
      <c r="H2760" s="1245" t="s">
        <v>5043</v>
      </c>
      <c r="I2760" s="1114" t="s">
        <v>7742</v>
      </c>
      <c r="J2760" s="1114" t="s">
        <v>3568</v>
      </c>
      <c r="K2760" s="944"/>
      <c r="L2760" s="1249"/>
      <c r="M2760" s="899"/>
      <c r="N2760" s="898">
        <v>125</v>
      </c>
      <c r="O2760" s="1249"/>
      <c r="P2760" s="899">
        <v>1800</v>
      </c>
    </row>
    <row r="2761" spans="1:16" ht="24" x14ac:dyDescent="0.2">
      <c r="A2761" s="916"/>
      <c r="B2761" s="898"/>
      <c r="C2761" s="916"/>
      <c r="D2761" s="898"/>
      <c r="E2761" s="1144"/>
      <c r="F2761" s="943" t="s">
        <v>8558</v>
      </c>
      <c r="G2761" s="1245" t="s">
        <v>8559</v>
      </c>
      <c r="H2761" s="1245" t="s">
        <v>5043</v>
      </c>
      <c r="I2761" s="1114" t="s">
        <v>7742</v>
      </c>
      <c r="J2761" s="1114" t="s">
        <v>3568</v>
      </c>
      <c r="K2761" s="944"/>
      <c r="L2761" s="1249"/>
      <c r="M2761" s="899"/>
      <c r="N2761" s="898" t="s">
        <v>8560</v>
      </c>
      <c r="O2761" s="1249"/>
      <c r="P2761" s="899">
        <v>1500</v>
      </c>
    </row>
    <row r="2762" spans="1:16" ht="24" x14ac:dyDescent="0.2">
      <c r="A2762" s="916"/>
      <c r="B2762" s="898"/>
      <c r="C2762" s="916"/>
      <c r="D2762" s="898"/>
      <c r="E2762" s="1144"/>
      <c r="F2762" s="943" t="s">
        <v>8561</v>
      </c>
      <c r="G2762" s="1245" t="s">
        <v>8562</v>
      </c>
      <c r="H2762" s="1245" t="s">
        <v>5106</v>
      </c>
      <c r="I2762" s="1114" t="s">
        <v>7739</v>
      </c>
      <c r="J2762" s="1114" t="s">
        <v>3568</v>
      </c>
      <c r="K2762" s="944"/>
      <c r="L2762" s="1249"/>
      <c r="M2762" s="899"/>
      <c r="N2762" s="898">
        <v>135</v>
      </c>
      <c r="O2762" s="1249"/>
      <c r="P2762" s="899">
        <v>2500</v>
      </c>
    </row>
    <row r="2763" spans="1:16" ht="24" x14ac:dyDescent="0.2">
      <c r="A2763" s="916"/>
      <c r="B2763" s="898"/>
      <c r="C2763" s="916"/>
      <c r="D2763" s="898"/>
      <c r="E2763" s="1144"/>
      <c r="F2763" s="943" t="s">
        <v>8563</v>
      </c>
      <c r="G2763" s="1245" t="s">
        <v>8564</v>
      </c>
      <c r="H2763" s="1245" t="s">
        <v>5077</v>
      </c>
      <c r="I2763" s="1114" t="s">
        <v>7739</v>
      </c>
      <c r="J2763" s="1114" t="s">
        <v>3568</v>
      </c>
      <c r="K2763" s="944"/>
      <c r="L2763" s="1249"/>
      <c r="M2763" s="899"/>
      <c r="N2763" s="898" t="s">
        <v>8565</v>
      </c>
      <c r="O2763" s="1249"/>
      <c r="P2763" s="899">
        <v>4200</v>
      </c>
    </row>
    <row r="2764" spans="1:16" ht="24" x14ac:dyDescent="0.2">
      <c r="A2764" s="916"/>
      <c r="B2764" s="898"/>
      <c r="C2764" s="916"/>
      <c r="D2764" s="898"/>
      <c r="E2764" s="1144"/>
      <c r="F2764" s="943">
        <v>42917290</v>
      </c>
      <c r="G2764" s="1245" t="s">
        <v>8566</v>
      </c>
      <c r="H2764" s="1245" t="s">
        <v>5077</v>
      </c>
      <c r="I2764" s="1114" t="s">
        <v>7739</v>
      </c>
      <c r="J2764" s="1114" t="s">
        <v>3568</v>
      </c>
      <c r="K2764" s="944"/>
      <c r="L2764" s="1249"/>
      <c r="M2764" s="899"/>
      <c r="N2764" s="898" t="s">
        <v>8567</v>
      </c>
      <c r="O2764" s="1249"/>
      <c r="P2764" s="899">
        <v>4200</v>
      </c>
    </row>
    <row r="2765" spans="1:16" ht="24" x14ac:dyDescent="0.2">
      <c r="A2765" s="916"/>
      <c r="B2765" s="898"/>
      <c r="C2765" s="916"/>
      <c r="D2765" s="898"/>
      <c r="E2765" s="1144"/>
      <c r="F2765" s="943" t="s">
        <v>8568</v>
      </c>
      <c r="G2765" s="1245" t="s">
        <v>8569</v>
      </c>
      <c r="H2765" s="1245" t="s">
        <v>5077</v>
      </c>
      <c r="I2765" s="1114" t="s">
        <v>7739</v>
      </c>
      <c r="J2765" s="1114" t="s">
        <v>3568</v>
      </c>
      <c r="K2765" s="944"/>
      <c r="L2765" s="1249"/>
      <c r="M2765" s="899"/>
      <c r="N2765" s="898" t="s">
        <v>8570</v>
      </c>
      <c r="O2765" s="1249"/>
      <c r="P2765" s="899">
        <v>4200</v>
      </c>
    </row>
    <row r="2766" spans="1:16" ht="24" x14ac:dyDescent="0.2">
      <c r="A2766" s="916"/>
      <c r="B2766" s="898"/>
      <c r="C2766" s="916"/>
      <c r="D2766" s="898"/>
      <c r="E2766" s="1144"/>
      <c r="F2766" s="943" t="s">
        <v>8571</v>
      </c>
      <c r="G2766" s="1245" t="s">
        <v>8572</v>
      </c>
      <c r="H2766" s="1245" t="s">
        <v>5043</v>
      </c>
      <c r="I2766" s="1114" t="s">
        <v>7742</v>
      </c>
      <c r="J2766" s="1114" t="s">
        <v>3568</v>
      </c>
      <c r="K2766" s="944"/>
      <c r="L2766" s="1249"/>
      <c r="M2766" s="899"/>
      <c r="N2766" s="898">
        <v>143</v>
      </c>
      <c r="O2766" s="1249"/>
      <c r="P2766" s="899">
        <v>1500</v>
      </c>
    </row>
    <row r="2767" spans="1:16" ht="24" x14ac:dyDescent="0.2">
      <c r="A2767" s="916"/>
      <c r="B2767" s="898"/>
      <c r="C2767" s="916"/>
      <c r="D2767" s="898"/>
      <c r="E2767" s="1144"/>
      <c r="F2767" s="943" t="s">
        <v>8573</v>
      </c>
      <c r="G2767" s="1245" t="s">
        <v>8574</v>
      </c>
      <c r="H2767" s="1245" t="s">
        <v>5043</v>
      </c>
      <c r="I2767" s="1114" t="s">
        <v>7742</v>
      </c>
      <c r="J2767" s="1114" t="s">
        <v>3568</v>
      </c>
      <c r="K2767" s="944"/>
      <c r="L2767" s="1249"/>
      <c r="M2767" s="899"/>
      <c r="N2767" s="898" t="s">
        <v>8575</v>
      </c>
      <c r="O2767" s="1249"/>
      <c r="P2767" s="899">
        <v>2290</v>
      </c>
    </row>
    <row r="2768" spans="1:16" ht="24" x14ac:dyDescent="0.2">
      <c r="A2768" s="916"/>
      <c r="B2768" s="898"/>
      <c r="C2768" s="916"/>
      <c r="D2768" s="898"/>
      <c r="E2768" s="1144"/>
      <c r="F2768" s="943" t="s">
        <v>8576</v>
      </c>
      <c r="G2768" s="1245" t="s">
        <v>8577</v>
      </c>
      <c r="H2768" s="1245" t="s">
        <v>5077</v>
      </c>
      <c r="I2768" s="1114" t="s">
        <v>7739</v>
      </c>
      <c r="J2768" s="1114" t="s">
        <v>3568</v>
      </c>
      <c r="K2768" s="944"/>
      <c r="L2768" s="1249"/>
      <c r="M2768" s="899"/>
      <c r="N2768" s="898" t="s">
        <v>8578</v>
      </c>
      <c r="O2768" s="1249"/>
      <c r="P2768" s="899">
        <v>4200</v>
      </c>
    </row>
    <row r="2769" spans="1:16" ht="24" x14ac:dyDescent="0.2">
      <c r="A2769" s="916"/>
      <c r="B2769" s="898"/>
      <c r="C2769" s="916"/>
      <c r="D2769" s="898"/>
      <c r="E2769" s="1144"/>
      <c r="F2769" s="943" t="s">
        <v>8579</v>
      </c>
      <c r="G2769" s="1245" t="s">
        <v>8580</v>
      </c>
      <c r="H2769" s="1245" t="s">
        <v>5043</v>
      </c>
      <c r="I2769" s="1114" t="s">
        <v>7742</v>
      </c>
      <c r="J2769" s="1114" t="s">
        <v>3568</v>
      </c>
      <c r="K2769" s="944"/>
      <c r="L2769" s="1249"/>
      <c r="M2769" s="899"/>
      <c r="N2769" s="898" t="s">
        <v>8581</v>
      </c>
      <c r="O2769" s="1249"/>
      <c r="P2769" s="899">
        <v>1200</v>
      </c>
    </row>
    <row r="2770" spans="1:16" ht="24" x14ac:dyDescent="0.2">
      <c r="A2770" s="916"/>
      <c r="B2770" s="898"/>
      <c r="C2770" s="916"/>
      <c r="D2770" s="898"/>
      <c r="E2770" s="1144"/>
      <c r="F2770" s="943">
        <v>70749088</v>
      </c>
      <c r="G2770" s="1245" t="s">
        <v>8582</v>
      </c>
      <c r="H2770" s="1245" t="s">
        <v>5043</v>
      </c>
      <c r="I2770" s="1114" t="s">
        <v>7742</v>
      </c>
      <c r="J2770" s="1114" t="s">
        <v>3568</v>
      </c>
      <c r="K2770" s="944"/>
      <c r="L2770" s="1249"/>
      <c r="M2770" s="899"/>
      <c r="N2770" s="898" t="s">
        <v>8583</v>
      </c>
      <c r="O2770" s="1249"/>
      <c r="P2770" s="899">
        <v>1500</v>
      </c>
    </row>
    <row r="2771" spans="1:16" ht="24" x14ac:dyDescent="0.2">
      <c r="A2771" s="916"/>
      <c r="B2771" s="898"/>
      <c r="C2771" s="916"/>
      <c r="D2771" s="898"/>
      <c r="E2771" s="1144"/>
      <c r="F2771" s="943" t="s">
        <v>8584</v>
      </c>
      <c r="G2771" s="1245" t="s">
        <v>8585</v>
      </c>
      <c r="H2771" s="1245" t="s">
        <v>5219</v>
      </c>
      <c r="I2771" s="1114" t="s">
        <v>7739</v>
      </c>
      <c r="J2771" s="1114" t="s">
        <v>3568</v>
      </c>
      <c r="K2771" s="944"/>
      <c r="L2771" s="1249"/>
      <c r="M2771" s="899"/>
      <c r="N2771" s="898" t="s">
        <v>8586</v>
      </c>
      <c r="O2771" s="1249"/>
      <c r="P2771" s="899">
        <v>2200</v>
      </c>
    </row>
    <row r="2772" spans="1:16" ht="24" x14ac:dyDescent="0.2">
      <c r="A2772" s="916"/>
      <c r="B2772" s="898"/>
      <c r="C2772" s="916"/>
      <c r="D2772" s="898"/>
      <c r="E2772" s="1144"/>
      <c r="F2772" s="943" t="s">
        <v>8587</v>
      </c>
      <c r="G2772" s="1245" t="s">
        <v>8588</v>
      </c>
      <c r="H2772" s="1245" t="s">
        <v>5077</v>
      </c>
      <c r="I2772" s="1114" t="s">
        <v>7739</v>
      </c>
      <c r="J2772" s="1114" t="s">
        <v>3568</v>
      </c>
      <c r="K2772" s="944"/>
      <c r="L2772" s="1249"/>
      <c r="M2772" s="899"/>
      <c r="N2772" s="898" t="s">
        <v>8589</v>
      </c>
      <c r="O2772" s="1249"/>
      <c r="P2772" s="899">
        <v>5025</v>
      </c>
    </row>
    <row r="2773" spans="1:16" ht="24" x14ac:dyDescent="0.2">
      <c r="A2773" s="916"/>
      <c r="B2773" s="898"/>
      <c r="C2773" s="916"/>
      <c r="D2773" s="898"/>
      <c r="E2773" s="1144"/>
      <c r="F2773" s="943">
        <v>72519082</v>
      </c>
      <c r="G2773" s="1245" t="s">
        <v>8590</v>
      </c>
      <c r="H2773" s="1245" t="s">
        <v>5106</v>
      </c>
      <c r="I2773" s="1114" t="s">
        <v>7739</v>
      </c>
      <c r="J2773" s="1114" t="s">
        <v>3568</v>
      </c>
      <c r="K2773" s="944"/>
      <c r="L2773" s="1249"/>
      <c r="M2773" s="899"/>
      <c r="N2773" s="898">
        <v>161</v>
      </c>
      <c r="O2773" s="1249"/>
      <c r="P2773" s="899">
        <v>2500</v>
      </c>
    </row>
    <row r="2774" spans="1:16" ht="24" x14ac:dyDescent="0.2">
      <c r="A2774" s="916"/>
      <c r="B2774" s="898"/>
      <c r="C2774" s="916"/>
      <c r="D2774" s="898"/>
      <c r="E2774" s="1144"/>
      <c r="F2774" s="943">
        <v>45855890</v>
      </c>
      <c r="G2774" s="1245" t="s">
        <v>8591</v>
      </c>
      <c r="H2774" s="1245" t="s">
        <v>5106</v>
      </c>
      <c r="I2774" s="1114" t="s">
        <v>7739</v>
      </c>
      <c r="J2774" s="1114" t="s">
        <v>3568</v>
      </c>
      <c r="K2774" s="944"/>
      <c r="L2774" s="1249"/>
      <c r="M2774" s="899"/>
      <c r="N2774" s="898" t="s">
        <v>8592</v>
      </c>
      <c r="O2774" s="1249"/>
      <c r="P2774" s="899">
        <v>2200</v>
      </c>
    </row>
    <row r="2775" spans="1:16" ht="24" x14ac:dyDescent="0.2">
      <c r="A2775" s="916"/>
      <c r="B2775" s="898"/>
      <c r="C2775" s="916"/>
      <c r="D2775" s="898"/>
      <c r="E2775" s="1144"/>
      <c r="F2775" s="943">
        <v>42012481</v>
      </c>
      <c r="G2775" s="1245" t="s">
        <v>8593</v>
      </c>
      <c r="H2775" s="1245" t="s">
        <v>5106</v>
      </c>
      <c r="I2775" s="1114" t="s">
        <v>7739</v>
      </c>
      <c r="J2775" s="1114" t="s">
        <v>3568</v>
      </c>
      <c r="K2775" s="944"/>
      <c r="L2775" s="1249"/>
      <c r="M2775" s="899"/>
      <c r="N2775" s="898" t="s">
        <v>8594</v>
      </c>
      <c r="O2775" s="1249"/>
      <c r="P2775" s="899">
        <v>2500</v>
      </c>
    </row>
    <row r="2776" spans="1:16" ht="24" x14ac:dyDescent="0.2">
      <c r="A2776" s="916"/>
      <c r="B2776" s="898"/>
      <c r="C2776" s="916"/>
      <c r="D2776" s="898"/>
      <c r="E2776" s="1144"/>
      <c r="F2776" s="943" t="s">
        <v>8595</v>
      </c>
      <c r="G2776" s="1245" t="s">
        <v>8596</v>
      </c>
      <c r="H2776" s="1245" t="s">
        <v>5077</v>
      </c>
      <c r="I2776" s="1114" t="s">
        <v>7739</v>
      </c>
      <c r="J2776" s="1114" t="s">
        <v>3568</v>
      </c>
      <c r="K2776" s="944"/>
      <c r="L2776" s="1249"/>
      <c r="M2776" s="899"/>
      <c r="N2776" s="898" t="s">
        <v>8597</v>
      </c>
      <c r="O2776" s="1249"/>
      <c r="P2776" s="899">
        <v>4200</v>
      </c>
    </row>
    <row r="2777" spans="1:16" ht="24" x14ac:dyDescent="0.2">
      <c r="A2777" s="916"/>
      <c r="B2777" s="898"/>
      <c r="C2777" s="916"/>
      <c r="D2777" s="898"/>
      <c r="E2777" s="1144"/>
      <c r="F2777" s="943" t="s">
        <v>8598</v>
      </c>
      <c r="G2777" s="1245" t="s">
        <v>8599</v>
      </c>
      <c r="H2777" s="1245" t="s">
        <v>5077</v>
      </c>
      <c r="I2777" s="1114" t="s">
        <v>7739</v>
      </c>
      <c r="J2777" s="1114" t="s">
        <v>3568</v>
      </c>
      <c r="K2777" s="944"/>
      <c r="L2777" s="1249"/>
      <c r="M2777" s="899"/>
      <c r="N2777" s="898" t="s">
        <v>8600</v>
      </c>
      <c r="O2777" s="1249"/>
      <c r="P2777" s="899">
        <v>4200</v>
      </c>
    </row>
    <row r="2778" spans="1:16" ht="24" x14ac:dyDescent="0.2">
      <c r="A2778" s="916"/>
      <c r="B2778" s="898"/>
      <c r="C2778" s="916"/>
      <c r="D2778" s="898"/>
      <c r="E2778" s="1144"/>
      <c r="F2778" s="943">
        <v>23160336</v>
      </c>
      <c r="G2778" s="1245" t="s">
        <v>8601</v>
      </c>
      <c r="H2778" s="1245" t="s">
        <v>3976</v>
      </c>
      <c r="I2778" s="1114" t="s">
        <v>7742</v>
      </c>
      <c r="J2778" s="1114" t="s">
        <v>3568</v>
      </c>
      <c r="K2778" s="944"/>
      <c r="L2778" s="1249"/>
      <c r="M2778" s="899"/>
      <c r="N2778" s="898">
        <v>313</v>
      </c>
      <c r="O2778" s="1249"/>
      <c r="P2778" s="899">
        <v>1200</v>
      </c>
    </row>
    <row r="2779" spans="1:16" ht="24" x14ac:dyDescent="0.2">
      <c r="A2779" s="916"/>
      <c r="B2779" s="898"/>
      <c r="C2779" s="916"/>
      <c r="D2779" s="898"/>
      <c r="E2779" s="1144"/>
      <c r="F2779" s="943">
        <v>75592619</v>
      </c>
      <c r="G2779" s="1245" t="s">
        <v>8602</v>
      </c>
      <c r="H2779" s="1245" t="s">
        <v>7367</v>
      </c>
      <c r="I2779" s="1114" t="s">
        <v>7781</v>
      </c>
      <c r="J2779" s="1114"/>
      <c r="K2779" s="944"/>
      <c r="L2779" s="1249"/>
      <c r="M2779" s="899"/>
      <c r="N2779" s="898">
        <v>227</v>
      </c>
      <c r="O2779" s="1249"/>
      <c r="P2779" s="899">
        <v>1000</v>
      </c>
    </row>
    <row r="2780" spans="1:16" ht="24" x14ac:dyDescent="0.2">
      <c r="A2780" s="916"/>
      <c r="B2780" s="898"/>
      <c r="C2780" s="916"/>
      <c r="D2780" s="898"/>
      <c r="E2780" s="1144"/>
      <c r="F2780" s="943">
        <v>60660232</v>
      </c>
      <c r="G2780" s="1245" t="s">
        <v>8603</v>
      </c>
      <c r="H2780" s="1245" t="s">
        <v>7367</v>
      </c>
      <c r="I2780" s="1114" t="s">
        <v>7781</v>
      </c>
      <c r="J2780" s="1114"/>
      <c r="K2780" s="944"/>
      <c r="L2780" s="1249"/>
      <c r="M2780" s="899"/>
      <c r="N2780" s="898">
        <v>235</v>
      </c>
      <c r="O2780" s="1249"/>
      <c r="P2780" s="899">
        <v>1000</v>
      </c>
    </row>
    <row r="2781" spans="1:16" ht="24" x14ac:dyDescent="0.2">
      <c r="A2781" s="916"/>
      <c r="B2781" s="898"/>
      <c r="C2781" s="916"/>
      <c r="D2781" s="898"/>
      <c r="E2781" s="1144"/>
      <c r="F2781" s="943">
        <v>75101144</v>
      </c>
      <c r="G2781" s="1245" t="s">
        <v>8604</v>
      </c>
      <c r="H2781" s="1245" t="s">
        <v>7367</v>
      </c>
      <c r="I2781" s="1114" t="s">
        <v>7781</v>
      </c>
      <c r="J2781" s="1114"/>
      <c r="K2781" s="944"/>
      <c r="L2781" s="1249"/>
      <c r="M2781" s="899"/>
      <c r="N2781" s="898">
        <v>370</v>
      </c>
      <c r="O2781" s="1249"/>
      <c r="P2781" s="899">
        <v>1000</v>
      </c>
    </row>
    <row r="2782" spans="1:16" ht="48" x14ac:dyDescent="0.2">
      <c r="A2782" s="916"/>
      <c r="B2782" s="898"/>
      <c r="C2782" s="916"/>
      <c r="D2782" s="898"/>
      <c r="E2782" s="1144"/>
      <c r="F2782" s="943">
        <v>46668866</v>
      </c>
      <c r="G2782" s="1245" t="s">
        <v>8605</v>
      </c>
      <c r="H2782" s="1245" t="s">
        <v>7796</v>
      </c>
      <c r="I2782" s="1114" t="s">
        <v>7742</v>
      </c>
      <c r="J2782" s="1114" t="s">
        <v>3568</v>
      </c>
      <c r="K2782" s="944"/>
      <c r="L2782" s="1249"/>
      <c r="M2782" s="899"/>
      <c r="N2782" s="898">
        <v>371</v>
      </c>
      <c r="O2782" s="1249"/>
      <c r="P2782" s="899">
        <v>1000</v>
      </c>
    </row>
    <row r="2783" spans="1:16" ht="24" x14ac:dyDescent="0.2">
      <c r="A2783" s="916"/>
      <c r="B2783" s="898"/>
      <c r="C2783" s="916"/>
      <c r="D2783" s="898"/>
      <c r="E2783" s="1144"/>
      <c r="F2783" s="943">
        <v>42519711</v>
      </c>
      <c r="G2783" s="1245" t="s">
        <v>8606</v>
      </c>
      <c r="H2783" s="1245" t="s">
        <v>3157</v>
      </c>
      <c r="I2783" s="1114" t="s">
        <v>7742</v>
      </c>
      <c r="J2783" s="1114" t="s">
        <v>3568</v>
      </c>
      <c r="K2783" s="944"/>
      <c r="L2783" s="1249"/>
      <c r="M2783" s="899"/>
      <c r="N2783" s="898">
        <v>376</v>
      </c>
      <c r="O2783" s="1249"/>
      <c r="P2783" s="899">
        <v>1000</v>
      </c>
    </row>
    <row r="2784" spans="1:16" ht="24" x14ac:dyDescent="0.2">
      <c r="A2784" s="916"/>
      <c r="B2784" s="898"/>
      <c r="C2784" s="916"/>
      <c r="D2784" s="898"/>
      <c r="E2784" s="1144"/>
      <c r="F2784" s="943">
        <v>48296648</v>
      </c>
      <c r="G2784" s="1245" t="s">
        <v>8607</v>
      </c>
      <c r="H2784" s="1245"/>
      <c r="I2784" s="1114" t="s">
        <v>7781</v>
      </c>
      <c r="J2784" s="1114"/>
      <c r="K2784" s="944"/>
      <c r="L2784" s="1249"/>
      <c r="M2784" s="899"/>
      <c r="N2784" s="898">
        <v>402</v>
      </c>
      <c r="O2784" s="1249"/>
      <c r="P2784" s="899">
        <v>1000</v>
      </c>
    </row>
    <row r="2785" spans="1:16" ht="48" x14ac:dyDescent="0.2">
      <c r="A2785" s="916"/>
      <c r="B2785" s="898"/>
      <c r="C2785" s="916"/>
      <c r="D2785" s="898"/>
      <c r="E2785" s="1144"/>
      <c r="F2785" s="943">
        <v>46258678</v>
      </c>
      <c r="G2785" s="1245" t="s">
        <v>8608</v>
      </c>
      <c r="H2785" s="1245" t="s">
        <v>7796</v>
      </c>
      <c r="I2785" s="1114" t="s">
        <v>7742</v>
      </c>
      <c r="J2785" s="1114" t="s">
        <v>3568</v>
      </c>
      <c r="K2785" s="944"/>
      <c r="L2785" s="1249"/>
      <c r="M2785" s="899"/>
      <c r="N2785" s="898">
        <v>411</v>
      </c>
      <c r="O2785" s="1249"/>
      <c r="P2785" s="899">
        <v>1000</v>
      </c>
    </row>
    <row r="2786" spans="1:16" ht="48" x14ac:dyDescent="0.2">
      <c r="A2786" s="916"/>
      <c r="B2786" s="898"/>
      <c r="C2786" s="916"/>
      <c r="D2786" s="898"/>
      <c r="E2786" s="1144"/>
      <c r="F2786" s="943">
        <v>40969783</v>
      </c>
      <c r="G2786" s="1245" t="s">
        <v>8609</v>
      </c>
      <c r="H2786" s="1245" t="s">
        <v>7796</v>
      </c>
      <c r="I2786" s="1114" t="s">
        <v>7742</v>
      </c>
      <c r="J2786" s="1114" t="s">
        <v>3568</v>
      </c>
      <c r="K2786" s="944"/>
      <c r="L2786" s="1249"/>
      <c r="M2786" s="899"/>
      <c r="N2786" s="898">
        <v>414</v>
      </c>
      <c r="O2786" s="1249"/>
      <c r="P2786" s="899">
        <v>1000</v>
      </c>
    </row>
    <row r="2787" spans="1:16" ht="24" x14ac:dyDescent="0.2">
      <c r="A2787" s="916"/>
      <c r="B2787" s="898"/>
      <c r="C2787" s="916"/>
      <c r="D2787" s="898"/>
      <c r="E2787" s="1144"/>
      <c r="F2787" s="943">
        <v>80461949</v>
      </c>
      <c r="G2787" s="1245" t="s">
        <v>8610</v>
      </c>
      <c r="H2787" s="1245"/>
      <c r="I2787" s="1114" t="s">
        <v>7781</v>
      </c>
      <c r="J2787" s="1114"/>
      <c r="K2787" s="944"/>
      <c r="L2787" s="1249"/>
      <c r="M2787" s="899"/>
      <c r="N2787" s="898" t="s">
        <v>8611</v>
      </c>
      <c r="O2787" s="1249"/>
      <c r="P2787" s="899">
        <v>2000</v>
      </c>
    </row>
    <row r="2788" spans="1:16" ht="24" x14ac:dyDescent="0.2">
      <c r="A2788" s="916"/>
      <c r="B2788" s="898"/>
      <c r="C2788" s="916"/>
      <c r="D2788" s="898"/>
      <c r="E2788" s="1144"/>
      <c r="F2788" s="943">
        <v>42307445</v>
      </c>
      <c r="G2788" s="1245" t="s">
        <v>8612</v>
      </c>
      <c r="H2788" s="1245"/>
      <c r="I2788" s="1114" t="s">
        <v>7781</v>
      </c>
      <c r="J2788" s="1114"/>
      <c r="K2788" s="944"/>
      <c r="L2788" s="1249"/>
      <c r="M2788" s="899"/>
      <c r="N2788" s="898" t="s">
        <v>8613</v>
      </c>
      <c r="O2788" s="1249"/>
      <c r="P2788" s="899">
        <v>2000</v>
      </c>
    </row>
    <row r="2789" spans="1:16" ht="24" x14ac:dyDescent="0.2">
      <c r="A2789" s="916"/>
      <c r="B2789" s="898"/>
      <c r="C2789" s="916"/>
      <c r="D2789" s="898"/>
      <c r="E2789" s="1144"/>
      <c r="F2789" s="943" t="s">
        <v>8614</v>
      </c>
      <c r="G2789" s="1245" t="s">
        <v>8615</v>
      </c>
      <c r="H2789" s="1245" t="s">
        <v>8616</v>
      </c>
      <c r="I2789" s="1114" t="s">
        <v>7742</v>
      </c>
      <c r="J2789" s="1114" t="s">
        <v>3568</v>
      </c>
      <c r="K2789" s="944"/>
      <c r="L2789" s="1249"/>
      <c r="M2789" s="899"/>
      <c r="N2789" s="898" t="s">
        <v>8617</v>
      </c>
      <c r="O2789" s="1249"/>
      <c r="P2789" s="899">
        <v>2200</v>
      </c>
    </row>
    <row r="2790" spans="1:16" ht="24" x14ac:dyDescent="0.2">
      <c r="A2790" s="916"/>
      <c r="B2790" s="898"/>
      <c r="C2790" s="916"/>
      <c r="D2790" s="898"/>
      <c r="E2790" s="1144"/>
      <c r="F2790" s="943" t="s">
        <v>8375</v>
      </c>
      <c r="G2790" s="1245" t="s">
        <v>8376</v>
      </c>
      <c r="H2790" s="1245"/>
      <c r="I2790" s="1114" t="s">
        <v>7781</v>
      </c>
      <c r="J2790" s="1114"/>
      <c r="K2790" s="944"/>
      <c r="L2790" s="1249"/>
      <c r="M2790" s="899"/>
      <c r="N2790" s="898" t="s">
        <v>8618</v>
      </c>
      <c r="O2790" s="1249"/>
      <c r="P2790" s="899">
        <v>1200</v>
      </c>
    </row>
    <row r="2791" spans="1:16" ht="24" x14ac:dyDescent="0.2">
      <c r="A2791" s="916"/>
      <c r="B2791" s="898"/>
      <c r="C2791" s="916"/>
      <c r="D2791" s="898"/>
      <c r="E2791" s="1144"/>
      <c r="F2791" s="943">
        <v>70469300</v>
      </c>
      <c r="G2791" s="1245" t="s">
        <v>8619</v>
      </c>
      <c r="H2791" s="1245"/>
      <c r="I2791" s="1114" t="s">
        <v>7781</v>
      </c>
      <c r="J2791" s="1114"/>
      <c r="K2791" s="944"/>
      <c r="L2791" s="1249"/>
      <c r="M2791" s="899"/>
      <c r="N2791" s="898"/>
      <c r="O2791" s="1249"/>
      <c r="P2791" s="899">
        <v>1500</v>
      </c>
    </row>
    <row r="2792" spans="1:16" ht="24" x14ac:dyDescent="0.2">
      <c r="A2792" s="916"/>
      <c r="B2792" s="898"/>
      <c r="C2792" s="916"/>
      <c r="D2792" s="898"/>
      <c r="E2792" s="1144"/>
      <c r="F2792" s="943">
        <v>47488445</v>
      </c>
      <c r="G2792" s="1245" t="s">
        <v>8620</v>
      </c>
      <c r="H2792" s="1245" t="s">
        <v>3129</v>
      </c>
      <c r="I2792" s="1114" t="s">
        <v>7739</v>
      </c>
      <c r="J2792" s="1114" t="s">
        <v>3568</v>
      </c>
      <c r="K2792" s="944"/>
      <c r="L2792" s="1249"/>
      <c r="M2792" s="899"/>
      <c r="N2792" s="898" t="s">
        <v>8621</v>
      </c>
      <c r="O2792" s="1249"/>
      <c r="P2792" s="899">
        <v>2200</v>
      </c>
    </row>
    <row r="2793" spans="1:16" ht="24" x14ac:dyDescent="0.2">
      <c r="A2793" s="916"/>
      <c r="B2793" s="898"/>
      <c r="C2793" s="916"/>
      <c r="D2793" s="898"/>
      <c r="E2793" s="1144"/>
      <c r="F2793" s="943">
        <v>46474094</v>
      </c>
      <c r="G2793" s="1245" t="s">
        <v>8622</v>
      </c>
      <c r="H2793" s="1245" t="s">
        <v>3134</v>
      </c>
      <c r="I2793" s="1114" t="s">
        <v>7742</v>
      </c>
      <c r="J2793" s="1114" t="s">
        <v>3568</v>
      </c>
      <c r="K2793" s="944"/>
      <c r="L2793" s="1249"/>
      <c r="M2793" s="899"/>
      <c r="N2793" s="898">
        <v>536</v>
      </c>
      <c r="O2793" s="1249"/>
      <c r="P2793" s="899">
        <v>1200</v>
      </c>
    </row>
    <row r="2794" spans="1:16" ht="24" x14ac:dyDescent="0.2">
      <c r="A2794" s="916"/>
      <c r="B2794" s="898"/>
      <c r="C2794" s="916"/>
      <c r="D2794" s="898"/>
      <c r="E2794" s="1144"/>
      <c r="F2794" s="943">
        <v>47361231</v>
      </c>
      <c r="G2794" s="1245" t="s">
        <v>8623</v>
      </c>
      <c r="H2794" s="1245"/>
      <c r="I2794" s="1114" t="s">
        <v>7781</v>
      </c>
      <c r="J2794" s="1114"/>
      <c r="K2794" s="944"/>
      <c r="L2794" s="1249"/>
      <c r="M2794" s="899"/>
      <c r="N2794" s="898">
        <v>506</v>
      </c>
      <c r="O2794" s="1249"/>
      <c r="P2794" s="899">
        <v>1500</v>
      </c>
    </row>
    <row r="2795" spans="1:16" ht="24" x14ac:dyDescent="0.2">
      <c r="A2795" s="916"/>
      <c r="B2795" s="898"/>
      <c r="C2795" s="916"/>
      <c r="D2795" s="898"/>
      <c r="E2795" s="1144"/>
      <c r="F2795" s="943">
        <v>40842382</v>
      </c>
      <c r="G2795" s="1245" t="s">
        <v>8624</v>
      </c>
      <c r="H2795" s="1245"/>
      <c r="I2795" s="1114" t="s">
        <v>7781</v>
      </c>
      <c r="J2795" s="1114"/>
      <c r="K2795" s="944"/>
      <c r="L2795" s="1249"/>
      <c r="M2795" s="899"/>
      <c r="N2795" s="898" t="s">
        <v>8625</v>
      </c>
      <c r="O2795" s="1249"/>
      <c r="P2795" s="899">
        <v>1000</v>
      </c>
    </row>
    <row r="2796" spans="1:16" x14ac:dyDescent="0.2">
      <c r="A2796" s="916"/>
      <c r="B2796" s="898"/>
      <c r="C2796" s="916"/>
      <c r="D2796" s="898"/>
      <c r="E2796" s="1144"/>
      <c r="F2796" s="943"/>
      <c r="G2796" s="1245"/>
      <c r="H2796" s="1245"/>
      <c r="I2796" s="1147"/>
      <c r="J2796" s="943"/>
      <c r="K2796" s="944"/>
      <c r="L2796" s="1249"/>
      <c r="M2796" s="899"/>
      <c r="N2796" s="898"/>
      <c r="O2796" s="1249"/>
      <c r="P2796" s="1246"/>
    </row>
    <row r="2797" spans="1:16" x14ac:dyDescent="0.2">
      <c r="A2797" s="916"/>
      <c r="B2797" s="898"/>
      <c r="C2797" s="916"/>
      <c r="D2797" s="898"/>
      <c r="E2797" s="1144"/>
      <c r="F2797" s="943"/>
      <c r="G2797" s="1245"/>
      <c r="H2797" s="1245"/>
      <c r="I2797" s="1147"/>
      <c r="J2797" s="943"/>
      <c r="K2797" s="944"/>
      <c r="L2797" s="1249"/>
      <c r="M2797" s="899"/>
      <c r="N2797" s="1249"/>
      <c r="O2797" s="1249"/>
      <c r="P2797" s="1246">
        <f>SUM(P2370:P2796)</f>
        <v>853077</v>
      </c>
    </row>
    <row r="2798" spans="1:16" ht="24" x14ac:dyDescent="0.2">
      <c r="A2798" s="916"/>
      <c r="B2798" s="898"/>
      <c r="C2798" s="1248" t="s">
        <v>8626</v>
      </c>
      <c r="D2798" s="898"/>
      <c r="E2798" s="1144"/>
      <c r="F2798" s="943"/>
      <c r="G2798" s="1245"/>
      <c r="H2798" s="1245"/>
      <c r="I2798" s="1147"/>
      <c r="J2798" s="943"/>
      <c r="K2798" s="944"/>
      <c r="L2798" s="1249"/>
      <c r="M2798" s="899"/>
      <c r="N2798" s="1249"/>
      <c r="O2798" s="1249"/>
      <c r="P2798" s="1246"/>
    </row>
    <row r="2799" spans="1:16" x14ac:dyDescent="0.2">
      <c r="A2799" s="916"/>
      <c r="B2799" s="898"/>
      <c r="C2799" s="916"/>
      <c r="D2799" s="898"/>
      <c r="E2799" s="1144"/>
      <c r="F2799" s="943">
        <v>73789266</v>
      </c>
      <c r="G2799" s="1245" t="s">
        <v>8627</v>
      </c>
      <c r="H2799" s="1245" t="s">
        <v>5657</v>
      </c>
      <c r="I2799" s="1147"/>
      <c r="J2799" s="943"/>
      <c r="K2799" s="944"/>
      <c r="L2799" s="1249"/>
      <c r="M2799" s="899"/>
      <c r="N2799" s="898">
        <v>753</v>
      </c>
      <c r="O2799" s="1249"/>
      <c r="P2799" s="1246">
        <v>1000</v>
      </c>
    </row>
    <row r="2800" spans="1:16" x14ac:dyDescent="0.2">
      <c r="A2800" s="916"/>
      <c r="B2800" s="898"/>
      <c r="C2800" s="916"/>
      <c r="D2800" s="898"/>
      <c r="E2800" s="1144"/>
      <c r="F2800" s="943">
        <v>75679567</v>
      </c>
      <c r="G2800" s="1245" t="s">
        <v>8628</v>
      </c>
      <c r="H2800" s="1245" t="s">
        <v>8629</v>
      </c>
      <c r="I2800" s="1147"/>
      <c r="J2800" s="943"/>
      <c r="K2800" s="944"/>
      <c r="L2800" s="1249"/>
      <c r="M2800" s="899"/>
      <c r="N2800" s="898">
        <v>749</v>
      </c>
      <c r="O2800" s="1249"/>
      <c r="P2800" s="1246">
        <v>600</v>
      </c>
    </row>
    <row r="2801" spans="1:16" ht="24" x14ac:dyDescent="0.2">
      <c r="A2801" s="916"/>
      <c r="B2801" s="898"/>
      <c r="C2801" s="916"/>
      <c r="D2801" s="898"/>
      <c r="E2801" s="1144"/>
      <c r="F2801" s="943">
        <v>73598777</v>
      </c>
      <c r="G2801" s="1245" t="s">
        <v>8630</v>
      </c>
      <c r="H2801" s="1245" t="s">
        <v>3100</v>
      </c>
      <c r="I2801" s="1147"/>
      <c r="J2801" s="943"/>
      <c r="K2801" s="944"/>
      <c r="L2801" s="1249"/>
      <c r="M2801" s="899"/>
      <c r="N2801" s="898">
        <v>751</v>
      </c>
      <c r="O2801" s="1249"/>
      <c r="P2801" s="1246">
        <v>2000</v>
      </c>
    </row>
    <row r="2802" spans="1:16" x14ac:dyDescent="0.2">
      <c r="A2802" s="916"/>
      <c r="B2802" s="898"/>
      <c r="C2802" s="916"/>
      <c r="D2802" s="898"/>
      <c r="E2802" s="1144"/>
      <c r="F2802" s="943" t="s">
        <v>8631</v>
      </c>
      <c r="G2802" s="1245" t="s">
        <v>8632</v>
      </c>
      <c r="H2802" s="1245" t="s">
        <v>4136</v>
      </c>
      <c r="I2802" s="1147"/>
      <c r="J2802" s="943"/>
      <c r="K2802" s="944"/>
      <c r="L2802" s="1249"/>
      <c r="M2802" s="899"/>
      <c r="N2802" s="898">
        <v>750</v>
      </c>
      <c r="O2802" s="1249"/>
      <c r="P2802" s="1246">
        <v>1000</v>
      </c>
    </row>
    <row r="2803" spans="1:16" x14ac:dyDescent="0.2">
      <c r="A2803" s="916"/>
      <c r="B2803" s="898"/>
      <c r="C2803" s="916"/>
      <c r="D2803" s="898"/>
      <c r="E2803" s="1144"/>
      <c r="F2803" s="943">
        <v>76021081</v>
      </c>
      <c r="G2803" s="1245" t="s">
        <v>8633</v>
      </c>
      <c r="H2803" s="1245" t="s">
        <v>8634</v>
      </c>
      <c r="I2803" s="1147"/>
      <c r="J2803" s="943"/>
      <c r="K2803" s="944"/>
      <c r="L2803" s="1249"/>
      <c r="M2803" s="899"/>
      <c r="N2803" s="898">
        <v>746</v>
      </c>
      <c r="O2803" s="1249"/>
      <c r="P2803" s="1246">
        <v>1000</v>
      </c>
    </row>
    <row r="2804" spans="1:16" x14ac:dyDescent="0.2">
      <c r="A2804" s="916"/>
      <c r="B2804" s="898"/>
      <c r="C2804" s="916"/>
      <c r="D2804" s="898"/>
      <c r="E2804" s="1144"/>
      <c r="F2804" s="943">
        <v>42206442</v>
      </c>
      <c r="G2804" s="1245" t="s">
        <v>8635</v>
      </c>
      <c r="H2804" s="1245" t="s">
        <v>8629</v>
      </c>
      <c r="I2804" s="1147"/>
      <c r="J2804" s="943"/>
      <c r="K2804" s="944"/>
      <c r="L2804" s="1249"/>
      <c r="M2804" s="899"/>
      <c r="N2804" s="898">
        <v>748</v>
      </c>
      <c r="O2804" s="1249"/>
      <c r="P2804" s="1246">
        <v>600</v>
      </c>
    </row>
    <row r="2805" spans="1:16" ht="48" x14ac:dyDescent="0.2">
      <c r="A2805" s="916"/>
      <c r="B2805" s="898"/>
      <c r="C2805" s="916"/>
      <c r="D2805" s="898"/>
      <c r="E2805" s="1144"/>
      <c r="F2805" s="943">
        <v>47754879</v>
      </c>
      <c r="G2805" s="1245" t="s">
        <v>8426</v>
      </c>
      <c r="H2805" s="1245" t="s">
        <v>8636</v>
      </c>
      <c r="I2805" s="1147"/>
      <c r="J2805" s="943"/>
      <c r="K2805" s="944"/>
      <c r="L2805" s="1249"/>
      <c r="M2805" s="899"/>
      <c r="N2805" s="898">
        <v>742</v>
      </c>
      <c r="O2805" s="1249"/>
      <c r="P2805" s="1246">
        <v>1500</v>
      </c>
    </row>
    <row r="2806" spans="1:16" ht="36" x14ac:dyDescent="0.2">
      <c r="A2806" s="916"/>
      <c r="B2806" s="898"/>
      <c r="C2806" s="916"/>
      <c r="D2806" s="898"/>
      <c r="E2806" s="1144"/>
      <c r="F2806" s="943">
        <v>70469300</v>
      </c>
      <c r="G2806" s="1245" t="s">
        <v>8619</v>
      </c>
      <c r="H2806" s="1245" t="s">
        <v>8637</v>
      </c>
      <c r="I2806" s="1147"/>
      <c r="J2806" s="943"/>
      <c r="K2806" s="944"/>
      <c r="L2806" s="1249"/>
      <c r="M2806" s="899"/>
      <c r="N2806" s="898">
        <v>740</v>
      </c>
      <c r="O2806" s="1249"/>
      <c r="P2806" s="1246">
        <v>1500</v>
      </c>
    </row>
    <row r="2807" spans="1:16" x14ac:dyDescent="0.2">
      <c r="A2807" s="916"/>
      <c r="B2807" s="898"/>
      <c r="C2807" s="916"/>
      <c r="D2807" s="898"/>
      <c r="E2807" s="1144"/>
      <c r="F2807" s="943">
        <v>40969783</v>
      </c>
      <c r="G2807" s="1245" t="s">
        <v>8609</v>
      </c>
      <c r="H2807" s="1245" t="s">
        <v>8634</v>
      </c>
      <c r="I2807" s="1147"/>
      <c r="J2807" s="943"/>
      <c r="K2807" s="944"/>
      <c r="L2807" s="1249"/>
      <c r="M2807" s="899"/>
      <c r="N2807" s="898">
        <v>738</v>
      </c>
      <c r="O2807" s="1249"/>
      <c r="P2807" s="1246">
        <v>1000</v>
      </c>
    </row>
    <row r="2808" spans="1:16" ht="48" x14ac:dyDescent="0.2">
      <c r="A2808" s="916"/>
      <c r="B2808" s="898"/>
      <c r="C2808" s="916"/>
      <c r="D2808" s="898"/>
      <c r="E2808" s="1144"/>
      <c r="F2808" s="943">
        <v>47104705</v>
      </c>
      <c r="G2808" s="1245" t="s">
        <v>8638</v>
      </c>
      <c r="H2808" s="1245" t="s">
        <v>8639</v>
      </c>
      <c r="I2808" s="1147"/>
      <c r="J2808" s="943"/>
      <c r="K2808" s="944"/>
      <c r="L2808" s="1249"/>
      <c r="M2808" s="899"/>
      <c r="N2808" s="898">
        <v>731</v>
      </c>
      <c r="O2808" s="1249"/>
      <c r="P2808" s="1246">
        <v>1000</v>
      </c>
    </row>
    <row r="2809" spans="1:16" ht="24" x14ac:dyDescent="0.2">
      <c r="A2809" s="916"/>
      <c r="B2809" s="898"/>
      <c r="C2809" s="916"/>
      <c r="D2809" s="898"/>
      <c r="E2809" s="1144"/>
      <c r="F2809" s="943">
        <v>71043341</v>
      </c>
      <c r="G2809" s="1245" t="s">
        <v>8462</v>
      </c>
      <c r="H2809" s="1245" t="s">
        <v>8640</v>
      </c>
      <c r="I2809" s="1147"/>
      <c r="J2809" s="943"/>
      <c r="K2809" s="944"/>
      <c r="L2809" s="1249"/>
      <c r="M2809" s="899"/>
      <c r="N2809" s="898">
        <v>743</v>
      </c>
      <c r="O2809" s="1249"/>
      <c r="P2809" s="1246">
        <v>2000</v>
      </c>
    </row>
    <row r="2810" spans="1:16" ht="24" x14ac:dyDescent="0.2">
      <c r="A2810" s="916"/>
      <c r="B2810" s="898"/>
      <c r="C2810" s="916"/>
      <c r="D2810" s="898"/>
      <c r="E2810" s="1144"/>
      <c r="F2810" s="943">
        <v>48171312</v>
      </c>
      <c r="G2810" s="1245" t="s">
        <v>8374</v>
      </c>
      <c r="H2810" s="1245" t="s">
        <v>8641</v>
      </c>
      <c r="I2810" s="1147"/>
      <c r="J2810" s="943"/>
      <c r="K2810" s="944"/>
      <c r="L2810" s="1249"/>
      <c r="M2810" s="899"/>
      <c r="N2810" s="898">
        <v>741</v>
      </c>
      <c r="O2810" s="1249"/>
      <c r="P2810" s="1246">
        <v>1600</v>
      </c>
    </row>
    <row r="2811" spans="1:16" ht="24" x14ac:dyDescent="0.2">
      <c r="A2811" s="916"/>
      <c r="B2811" s="898"/>
      <c r="C2811" s="916"/>
      <c r="D2811" s="898"/>
      <c r="E2811" s="1144"/>
      <c r="F2811" s="943">
        <v>71987518</v>
      </c>
      <c r="G2811" s="1245" t="s">
        <v>8023</v>
      </c>
      <c r="H2811" s="1245" t="s">
        <v>8642</v>
      </c>
      <c r="I2811" s="1147"/>
      <c r="J2811" s="943"/>
      <c r="K2811" s="944"/>
      <c r="L2811" s="1249"/>
      <c r="M2811" s="899"/>
      <c r="N2811" s="898">
        <v>739</v>
      </c>
      <c r="O2811" s="1249"/>
      <c r="P2811" s="1246">
        <v>2200</v>
      </c>
    </row>
    <row r="2812" spans="1:16" x14ac:dyDescent="0.2">
      <c r="A2812" s="916"/>
      <c r="B2812" s="898"/>
      <c r="C2812" s="916"/>
      <c r="D2812" s="898"/>
      <c r="E2812" s="1144"/>
      <c r="F2812" s="943">
        <v>46258678</v>
      </c>
      <c r="G2812" s="1245" t="s">
        <v>8608</v>
      </c>
      <c r="H2812" s="1245" t="s">
        <v>8634</v>
      </c>
      <c r="I2812" s="1147"/>
      <c r="J2812" s="943"/>
      <c r="K2812" s="944"/>
      <c r="L2812" s="1249"/>
      <c r="M2812" s="899"/>
      <c r="N2812" s="898">
        <v>737</v>
      </c>
      <c r="O2812" s="1249"/>
      <c r="P2812" s="1246">
        <v>1000</v>
      </c>
    </row>
    <row r="2813" spans="1:16" x14ac:dyDescent="0.2">
      <c r="A2813" s="916"/>
      <c r="B2813" s="898"/>
      <c r="C2813" s="916"/>
      <c r="D2813" s="898"/>
      <c r="E2813" s="1144"/>
      <c r="F2813" s="943">
        <v>48296648</v>
      </c>
      <c r="G2813" s="1245" t="s">
        <v>8643</v>
      </c>
      <c r="H2813" s="1245" t="s">
        <v>8634</v>
      </c>
      <c r="I2813" s="1147"/>
      <c r="J2813" s="943"/>
      <c r="K2813" s="944"/>
      <c r="L2813" s="1249"/>
      <c r="M2813" s="899"/>
      <c r="N2813" s="898">
        <v>736</v>
      </c>
      <c r="O2813" s="1249"/>
      <c r="P2813" s="1246">
        <v>1000</v>
      </c>
    </row>
    <row r="2814" spans="1:16" x14ac:dyDescent="0.2">
      <c r="A2814" s="916"/>
      <c r="B2814" s="898"/>
      <c r="C2814" s="916"/>
      <c r="D2814" s="898"/>
      <c r="E2814" s="1144"/>
      <c r="F2814" s="943">
        <v>74664038</v>
      </c>
      <c r="G2814" s="1245" t="s">
        <v>8644</v>
      </c>
      <c r="H2814" s="1245" t="s">
        <v>8634</v>
      </c>
      <c r="I2814" s="1147"/>
      <c r="J2814" s="943"/>
      <c r="K2814" s="944"/>
      <c r="L2814" s="1249"/>
      <c r="M2814" s="899"/>
      <c r="N2814" s="898">
        <v>735</v>
      </c>
      <c r="O2814" s="1249"/>
      <c r="P2814" s="1246">
        <v>1200</v>
      </c>
    </row>
    <row r="2815" spans="1:16" x14ac:dyDescent="0.2">
      <c r="A2815" s="916"/>
      <c r="B2815" s="898"/>
      <c r="C2815" s="916"/>
      <c r="D2815" s="898"/>
      <c r="E2815" s="1144"/>
      <c r="F2815" s="943">
        <v>42519711</v>
      </c>
      <c r="G2815" s="1245" t="s">
        <v>8645</v>
      </c>
      <c r="H2815" s="1245" t="s">
        <v>8634</v>
      </c>
      <c r="I2815" s="1147"/>
      <c r="J2815" s="943"/>
      <c r="K2815" s="944"/>
      <c r="L2815" s="1249"/>
      <c r="M2815" s="899"/>
      <c r="N2815" s="898">
        <v>734</v>
      </c>
      <c r="O2815" s="1249"/>
      <c r="P2815" s="1246">
        <v>1000</v>
      </c>
    </row>
    <row r="2816" spans="1:16" x14ac:dyDescent="0.2">
      <c r="A2816" s="916"/>
      <c r="B2816" s="898"/>
      <c r="C2816" s="916"/>
      <c r="D2816" s="898"/>
      <c r="E2816" s="1144"/>
      <c r="F2816" s="943">
        <v>46668866</v>
      </c>
      <c r="G2816" s="1245" t="s">
        <v>8605</v>
      </c>
      <c r="H2816" s="1245" t="s">
        <v>8634</v>
      </c>
      <c r="I2816" s="1147"/>
      <c r="J2816" s="943"/>
      <c r="K2816" s="944"/>
      <c r="L2816" s="1249"/>
      <c r="M2816" s="899"/>
      <c r="N2816" s="898">
        <v>733</v>
      </c>
      <c r="O2816" s="1249"/>
      <c r="P2816" s="1246">
        <v>1000</v>
      </c>
    </row>
    <row r="2817" spans="1:16" x14ac:dyDescent="0.2">
      <c r="A2817" s="916"/>
      <c r="B2817" s="898"/>
      <c r="C2817" s="916"/>
      <c r="D2817" s="898"/>
      <c r="E2817" s="1144"/>
      <c r="F2817" s="943">
        <v>44089728</v>
      </c>
      <c r="G2817" s="1245" t="s">
        <v>8251</v>
      </c>
      <c r="H2817" s="1245" t="s">
        <v>8634</v>
      </c>
      <c r="I2817" s="1147"/>
      <c r="J2817" s="943"/>
      <c r="K2817" s="944"/>
      <c r="L2817" s="1249"/>
      <c r="M2817" s="899"/>
      <c r="N2817" s="898">
        <v>732</v>
      </c>
      <c r="O2817" s="1249"/>
      <c r="P2817" s="1246">
        <v>1000</v>
      </c>
    </row>
    <row r="2818" spans="1:16" x14ac:dyDescent="0.2">
      <c r="A2818" s="916"/>
      <c r="B2818" s="898"/>
      <c r="C2818" s="916"/>
      <c r="D2818" s="898"/>
      <c r="E2818" s="1144"/>
      <c r="F2818" s="943">
        <v>60660232</v>
      </c>
      <c r="G2818" s="1245" t="s">
        <v>8603</v>
      </c>
      <c r="H2818" s="1245" t="s">
        <v>8634</v>
      </c>
      <c r="I2818" s="1147"/>
      <c r="J2818" s="943"/>
      <c r="K2818" s="944"/>
      <c r="L2818" s="1249"/>
      <c r="M2818" s="899"/>
      <c r="N2818" s="898">
        <v>730</v>
      </c>
      <c r="O2818" s="1249"/>
      <c r="P2818" s="1246">
        <v>1000</v>
      </c>
    </row>
    <row r="2819" spans="1:16" x14ac:dyDescent="0.2">
      <c r="A2819" s="916"/>
      <c r="B2819" s="898"/>
      <c r="C2819" s="916"/>
      <c r="D2819" s="898"/>
      <c r="E2819" s="1144"/>
      <c r="F2819" s="943">
        <v>73248684</v>
      </c>
      <c r="G2819" s="1245" t="s">
        <v>8082</v>
      </c>
      <c r="H2819" s="1245" t="s">
        <v>8634</v>
      </c>
      <c r="I2819" s="1147"/>
      <c r="J2819" s="943"/>
      <c r="K2819" s="944"/>
      <c r="L2819" s="1249"/>
      <c r="M2819" s="899"/>
      <c r="N2819" s="898">
        <v>729</v>
      </c>
      <c r="O2819" s="1249"/>
      <c r="P2819" s="1246">
        <v>1000</v>
      </c>
    </row>
    <row r="2820" spans="1:16" x14ac:dyDescent="0.2">
      <c r="A2820" s="916"/>
      <c r="B2820" s="898"/>
      <c r="C2820" s="916"/>
      <c r="D2820" s="898"/>
      <c r="E2820" s="1144"/>
      <c r="F2820" s="943">
        <v>42790392</v>
      </c>
      <c r="G2820" s="1245" t="s">
        <v>8646</v>
      </c>
      <c r="H2820" s="1245" t="s">
        <v>8647</v>
      </c>
      <c r="I2820" s="1147"/>
      <c r="J2820" s="943"/>
      <c r="K2820" s="944"/>
      <c r="L2820" s="1249"/>
      <c r="M2820" s="899"/>
      <c r="N2820" s="898">
        <v>728</v>
      </c>
      <c r="O2820" s="1249"/>
      <c r="P2820" s="1246">
        <v>1200</v>
      </c>
    </row>
    <row r="2821" spans="1:16" ht="24" x14ac:dyDescent="0.2">
      <c r="A2821" s="916"/>
      <c r="B2821" s="898"/>
      <c r="C2821" s="916"/>
      <c r="D2821" s="898"/>
      <c r="E2821" s="1144"/>
      <c r="F2821" s="943">
        <v>45487242</v>
      </c>
      <c r="G2821" s="1245" t="s">
        <v>8648</v>
      </c>
      <c r="H2821" s="1245" t="s">
        <v>566</v>
      </c>
      <c r="I2821" s="1147"/>
      <c r="J2821" s="943"/>
      <c r="K2821" s="944"/>
      <c r="L2821" s="1249"/>
      <c r="M2821" s="899"/>
      <c r="N2821" s="898">
        <v>727</v>
      </c>
      <c r="O2821" s="1249"/>
      <c r="P2821" s="1246">
        <v>2200</v>
      </c>
    </row>
    <row r="2822" spans="1:16" x14ac:dyDescent="0.2">
      <c r="A2822" s="916"/>
      <c r="B2822" s="898"/>
      <c r="C2822" s="916"/>
      <c r="D2822" s="898"/>
      <c r="E2822" s="1144"/>
      <c r="F2822" s="943">
        <v>71347126</v>
      </c>
      <c r="G2822" s="1245" t="s">
        <v>8649</v>
      </c>
      <c r="H2822" s="1245" t="s">
        <v>8647</v>
      </c>
      <c r="I2822" s="1147"/>
      <c r="J2822" s="943"/>
      <c r="K2822" s="944"/>
      <c r="L2822" s="1249"/>
      <c r="M2822" s="899"/>
      <c r="N2822" s="898">
        <v>726</v>
      </c>
      <c r="O2822" s="1249"/>
      <c r="P2822" s="1246">
        <v>1200</v>
      </c>
    </row>
    <row r="2823" spans="1:16" ht="24" x14ac:dyDescent="0.2">
      <c r="A2823" s="916"/>
      <c r="B2823" s="898"/>
      <c r="C2823" s="916"/>
      <c r="D2823" s="898"/>
      <c r="E2823" s="1144"/>
      <c r="F2823" s="943">
        <v>60654562</v>
      </c>
      <c r="G2823" s="1245" t="s">
        <v>5757</v>
      </c>
      <c r="H2823" s="1245" t="s">
        <v>7759</v>
      </c>
      <c r="I2823" s="1147"/>
      <c r="J2823" s="943"/>
      <c r="K2823" s="944"/>
      <c r="L2823" s="1249"/>
      <c r="M2823" s="899"/>
      <c r="N2823" s="898">
        <v>725</v>
      </c>
      <c r="O2823" s="1249"/>
      <c r="P2823" s="1246">
        <v>4200</v>
      </c>
    </row>
    <row r="2824" spans="1:16" ht="24" x14ac:dyDescent="0.2">
      <c r="A2824" s="916"/>
      <c r="B2824" s="898"/>
      <c r="C2824" s="916"/>
      <c r="D2824" s="898"/>
      <c r="E2824" s="1144"/>
      <c r="F2824" s="943">
        <v>70749087</v>
      </c>
      <c r="G2824" s="1245" t="s">
        <v>8102</v>
      </c>
      <c r="H2824" s="1245" t="s">
        <v>3112</v>
      </c>
      <c r="I2824" s="1147"/>
      <c r="J2824" s="943"/>
      <c r="K2824" s="944"/>
      <c r="L2824" s="1249"/>
      <c r="M2824" s="899"/>
      <c r="N2824" s="898">
        <v>724</v>
      </c>
      <c r="O2824" s="1249"/>
      <c r="P2824" s="1246">
        <v>1500</v>
      </c>
    </row>
    <row r="2825" spans="1:16" x14ac:dyDescent="0.2">
      <c r="A2825" s="916"/>
      <c r="B2825" s="898"/>
      <c r="C2825" s="916"/>
      <c r="D2825" s="898"/>
      <c r="E2825" s="1144"/>
      <c r="F2825" s="943">
        <v>73200707</v>
      </c>
      <c r="G2825" s="1245" t="s">
        <v>8650</v>
      </c>
      <c r="H2825" s="1245" t="s">
        <v>8651</v>
      </c>
      <c r="I2825" s="1147"/>
      <c r="J2825" s="943"/>
      <c r="K2825" s="944"/>
      <c r="L2825" s="1249"/>
      <c r="M2825" s="899"/>
      <c r="N2825" s="898">
        <v>468</v>
      </c>
      <c r="O2825" s="1249"/>
      <c r="P2825" s="1246">
        <v>1300</v>
      </c>
    </row>
    <row r="2826" spans="1:16" x14ac:dyDescent="0.2">
      <c r="A2826" s="916"/>
      <c r="B2826" s="898"/>
      <c r="C2826" s="916"/>
      <c r="D2826" s="898"/>
      <c r="E2826" s="1144"/>
      <c r="F2826" s="943">
        <v>76746117</v>
      </c>
      <c r="G2826" s="1245" t="s">
        <v>8652</v>
      </c>
      <c r="H2826" s="1245" t="s">
        <v>8629</v>
      </c>
      <c r="I2826" s="1147"/>
      <c r="J2826" s="943"/>
      <c r="K2826" s="944"/>
      <c r="L2826" s="1249"/>
      <c r="M2826" s="899"/>
      <c r="N2826" s="898">
        <v>722</v>
      </c>
      <c r="O2826" s="1249"/>
      <c r="P2826" s="1246">
        <v>600</v>
      </c>
    </row>
    <row r="2827" spans="1:16" x14ac:dyDescent="0.2">
      <c r="A2827" s="916"/>
      <c r="B2827" s="898"/>
      <c r="C2827" s="916"/>
      <c r="D2827" s="898"/>
      <c r="E2827" s="1144"/>
      <c r="F2827" s="943">
        <v>48613166</v>
      </c>
      <c r="G2827" s="1245" t="s">
        <v>8653</v>
      </c>
      <c r="H2827" s="1245" t="s">
        <v>5657</v>
      </c>
      <c r="I2827" s="1147"/>
      <c r="J2827" s="943"/>
      <c r="K2827" s="944"/>
      <c r="L2827" s="1249"/>
      <c r="M2827" s="899"/>
      <c r="N2827" s="898">
        <v>721</v>
      </c>
      <c r="O2827" s="1249"/>
      <c r="P2827" s="1246">
        <v>666.67</v>
      </c>
    </row>
    <row r="2828" spans="1:16" x14ac:dyDescent="0.2">
      <c r="A2828" s="916"/>
      <c r="B2828" s="898"/>
      <c r="C2828" s="916"/>
      <c r="D2828" s="898"/>
      <c r="E2828" s="1144"/>
      <c r="F2828" s="943">
        <v>70988146</v>
      </c>
      <c r="G2828" s="1245" t="s">
        <v>8654</v>
      </c>
      <c r="H2828" s="1245" t="s">
        <v>3187</v>
      </c>
      <c r="I2828" s="1147"/>
      <c r="J2828" s="943"/>
      <c r="K2828" s="944"/>
      <c r="L2828" s="1249"/>
      <c r="M2828" s="899"/>
      <c r="N2828" s="898">
        <v>720</v>
      </c>
      <c r="O2828" s="1249"/>
      <c r="P2828" s="1246">
        <v>1000</v>
      </c>
    </row>
    <row r="2829" spans="1:16" x14ac:dyDescent="0.2">
      <c r="A2829" s="916"/>
      <c r="B2829" s="898"/>
      <c r="C2829" s="916"/>
      <c r="D2829" s="898"/>
      <c r="E2829" s="1144"/>
      <c r="F2829" s="943">
        <v>45738116</v>
      </c>
      <c r="G2829" s="1245" t="s">
        <v>8655</v>
      </c>
      <c r="H2829" s="1245" t="s">
        <v>5657</v>
      </c>
      <c r="I2829" s="1147"/>
      <c r="J2829" s="943"/>
      <c r="K2829" s="944"/>
      <c r="L2829" s="1249"/>
      <c r="M2829" s="899"/>
      <c r="N2829" s="898">
        <v>718</v>
      </c>
      <c r="O2829" s="1249"/>
      <c r="P2829" s="1246">
        <v>1000</v>
      </c>
    </row>
    <row r="2830" spans="1:16" x14ac:dyDescent="0.2">
      <c r="A2830" s="916"/>
      <c r="B2830" s="898"/>
      <c r="C2830" s="916"/>
      <c r="D2830" s="898"/>
      <c r="E2830" s="1144"/>
      <c r="F2830" s="943">
        <v>44651172</v>
      </c>
      <c r="G2830" s="1245" t="s">
        <v>8656</v>
      </c>
      <c r="H2830" s="1245" t="s">
        <v>5657</v>
      </c>
      <c r="I2830" s="1147"/>
      <c r="J2830" s="943"/>
      <c r="K2830" s="944"/>
      <c r="L2830" s="1249"/>
      <c r="M2830" s="899"/>
      <c r="N2830" s="898">
        <v>713</v>
      </c>
      <c r="O2830" s="1249"/>
      <c r="P2830" s="1246">
        <v>400</v>
      </c>
    </row>
    <row r="2831" spans="1:16" x14ac:dyDescent="0.2">
      <c r="A2831" s="916"/>
      <c r="B2831" s="898"/>
      <c r="C2831" s="916"/>
      <c r="D2831" s="898"/>
      <c r="E2831" s="1144"/>
      <c r="F2831" s="943">
        <v>47819975</v>
      </c>
      <c r="G2831" s="1245" t="s">
        <v>8657</v>
      </c>
      <c r="H2831" s="1245" t="s">
        <v>8658</v>
      </c>
      <c r="I2831" s="1147"/>
      <c r="J2831" s="943"/>
      <c r="K2831" s="944"/>
      <c r="L2831" s="1249"/>
      <c r="M2831" s="899"/>
      <c r="N2831" s="898">
        <v>708</v>
      </c>
      <c r="O2831" s="1249"/>
      <c r="P2831" s="1246">
        <v>840</v>
      </c>
    </row>
    <row r="2832" spans="1:16" x14ac:dyDescent="0.2">
      <c r="A2832" s="916"/>
      <c r="B2832" s="898"/>
      <c r="C2832" s="916"/>
      <c r="D2832" s="898"/>
      <c r="E2832" s="1144"/>
      <c r="F2832" s="943" t="s">
        <v>8048</v>
      </c>
      <c r="G2832" s="1245" t="s">
        <v>8049</v>
      </c>
      <c r="H2832" s="1245" t="s">
        <v>8658</v>
      </c>
      <c r="I2832" s="1147"/>
      <c r="J2832" s="943"/>
      <c r="K2832" s="944"/>
      <c r="L2832" s="1249"/>
      <c r="M2832" s="899"/>
      <c r="N2832" s="898">
        <v>707</v>
      </c>
      <c r="O2832" s="1249"/>
      <c r="P2832" s="1246">
        <v>1200</v>
      </c>
    </row>
    <row r="2833" spans="1:16" x14ac:dyDescent="0.2">
      <c r="A2833" s="916"/>
      <c r="B2833" s="898"/>
      <c r="C2833" s="916"/>
      <c r="D2833" s="898"/>
      <c r="E2833" s="1144"/>
      <c r="F2833" s="943">
        <v>60855167</v>
      </c>
      <c r="G2833" s="1245" t="s">
        <v>8659</v>
      </c>
      <c r="H2833" s="1245" t="s">
        <v>8658</v>
      </c>
      <c r="I2833" s="1147"/>
      <c r="J2833" s="943"/>
      <c r="K2833" s="944"/>
      <c r="L2833" s="1249"/>
      <c r="M2833" s="899"/>
      <c r="N2833" s="898">
        <v>694</v>
      </c>
      <c r="O2833" s="1249"/>
      <c r="P2833" s="1246">
        <v>1200</v>
      </c>
    </row>
    <row r="2834" spans="1:16" x14ac:dyDescent="0.2">
      <c r="A2834" s="916"/>
      <c r="B2834" s="898"/>
      <c r="C2834" s="916"/>
      <c r="D2834" s="898"/>
      <c r="E2834" s="1144"/>
      <c r="F2834" s="943" t="s">
        <v>8660</v>
      </c>
      <c r="G2834" s="1245" t="s">
        <v>8661</v>
      </c>
      <c r="H2834" s="1245" t="s">
        <v>8658</v>
      </c>
      <c r="I2834" s="1147"/>
      <c r="J2834" s="943"/>
      <c r="K2834" s="944"/>
      <c r="L2834" s="1249"/>
      <c r="M2834" s="899"/>
      <c r="N2834" s="898">
        <v>688</v>
      </c>
      <c r="O2834" s="1249"/>
      <c r="P2834" s="1246">
        <v>960</v>
      </c>
    </row>
    <row r="2835" spans="1:16" ht="24" x14ac:dyDescent="0.2">
      <c r="A2835" s="916"/>
      <c r="B2835" s="898"/>
      <c r="C2835" s="916"/>
      <c r="D2835" s="898"/>
      <c r="E2835" s="1144"/>
      <c r="F2835" s="943">
        <v>44386887</v>
      </c>
      <c r="G2835" s="1245" t="s">
        <v>8662</v>
      </c>
      <c r="H2835" s="1245" t="s">
        <v>7759</v>
      </c>
      <c r="I2835" s="1147"/>
      <c r="J2835" s="943"/>
      <c r="K2835" s="944"/>
      <c r="L2835" s="1249"/>
      <c r="M2835" s="899"/>
      <c r="N2835" s="898">
        <v>687</v>
      </c>
      <c r="O2835" s="1249"/>
      <c r="P2835" s="1246">
        <v>4200</v>
      </c>
    </row>
    <row r="2836" spans="1:16" x14ac:dyDescent="0.2">
      <c r="A2836" s="916"/>
      <c r="B2836" s="898"/>
      <c r="C2836" s="916"/>
      <c r="D2836" s="898"/>
      <c r="E2836" s="1144"/>
      <c r="F2836" s="943">
        <v>45935094</v>
      </c>
      <c r="G2836" s="1245" t="s">
        <v>8445</v>
      </c>
      <c r="H2836" s="1245" t="s">
        <v>8663</v>
      </c>
      <c r="I2836" s="1147"/>
      <c r="J2836" s="943"/>
      <c r="K2836" s="944"/>
      <c r="L2836" s="1249"/>
      <c r="M2836" s="899"/>
      <c r="N2836" s="898">
        <v>686</v>
      </c>
      <c r="O2836" s="1249"/>
      <c r="P2836" s="1246">
        <v>1200</v>
      </c>
    </row>
    <row r="2837" spans="1:16" x14ac:dyDescent="0.2">
      <c r="A2837" s="916"/>
      <c r="B2837" s="898"/>
      <c r="C2837" s="916"/>
      <c r="D2837" s="898"/>
      <c r="E2837" s="1144"/>
      <c r="F2837" s="943">
        <v>46283326</v>
      </c>
      <c r="G2837" s="1245" t="s">
        <v>8421</v>
      </c>
      <c r="H2837" s="1245" t="s">
        <v>8658</v>
      </c>
      <c r="I2837" s="1147"/>
      <c r="J2837" s="943"/>
      <c r="K2837" s="944"/>
      <c r="L2837" s="1249"/>
      <c r="M2837" s="899"/>
      <c r="N2837" s="898">
        <v>385</v>
      </c>
      <c r="O2837" s="1249"/>
      <c r="P2837" s="1246">
        <v>1200</v>
      </c>
    </row>
    <row r="2838" spans="1:16" x14ac:dyDescent="0.2">
      <c r="A2838" s="916"/>
      <c r="B2838" s="898"/>
      <c r="C2838" s="916"/>
      <c r="D2838" s="898"/>
      <c r="E2838" s="1144"/>
      <c r="F2838" s="943">
        <v>76294697</v>
      </c>
      <c r="G2838" s="1245" t="s">
        <v>8402</v>
      </c>
      <c r="H2838" s="1245" t="s">
        <v>8658</v>
      </c>
      <c r="I2838" s="1147"/>
      <c r="J2838" s="943"/>
      <c r="K2838" s="944"/>
      <c r="L2838" s="1249"/>
      <c r="M2838" s="899"/>
      <c r="N2838" s="898">
        <v>684</v>
      </c>
      <c r="O2838" s="1249"/>
      <c r="P2838" s="1246">
        <v>1200</v>
      </c>
    </row>
    <row r="2839" spans="1:16" ht="24" x14ac:dyDescent="0.2">
      <c r="A2839" s="916"/>
      <c r="B2839" s="898"/>
      <c r="C2839" s="916"/>
      <c r="D2839" s="898"/>
      <c r="E2839" s="1144"/>
      <c r="F2839" s="943">
        <v>47485381</v>
      </c>
      <c r="G2839" s="1245" t="s">
        <v>8395</v>
      </c>
      <c r="H2839" s="1245" t="s">
        <v>8663</v>
      </c>
      <c r="I2839" s="1147"/>
      <c r="J2839" s="943"/>
      <c r="K2839" s="944"/>
      <c r="L2839" s="1249"/>
      <c r="M2839" s="899"/>
      <c r="N2839" s="898">
        <v>683</v>
      </c>
      <c r="O2839" s="1249"/>
      <c r="P2839" s="1246">
        <v>1200</v>
      </c>
    </row>
    <row r="2840" spans="1:16" x14ac:dyDescent="0.2">
      <c r="A2840" s="916"/>
      <c r="B2840" s="898"/>
      <c r="C2840" s="916"/>
      <c r="D2840" s="898"/>
      <c r="E2840" s="1144"/>
      <c r="F2840" s="943">
        <v>47899069</v>
      </c>
      <c r="G2840" s="1245" t="s">
        <v>8664</v>
      </c>
      <c r="H2840" s="1245" t="s">
        <v>8665</v>
      </c>
      <c r="I2840" s="1147"/>
      <c r="J2840" s="943"/>
      <c r="K2840" s="944"/>
      <c r="L2840" s="1249"/>
      <c r="M2840" s="899"/>
      <c r="N2840" s="898">
        <v>682</v>
      </c>
      <c r="O2840" s="1249"/>
      <c r="P2840" s="1246">
        <v>2200</v>
      </c>
    </row>
    <row r="2841" spans="1:16" ht="24" x14ac:dyDescent="0.2">
      <c r="A2841" s="916"/>
      <c r="B2841" s="898"/>
      <c r="C2841" s="916"/>
      <c r="D2841" s="898"/>
      <c r="E2841" s="1144"/>
      <c r="F2841" s="943">
        <v>10780814</v>
      </c>
      <c r="G2841" s="1245" t="s">
        <v>8349</v>
      </c>
      <c r="H2841" s="1245" t="s">
        <v>8658</v>
      </c>
      <c r="I2841" s="1147"/>
      <c r="J2841" s="943"/>
      <c r="K2841" s="944"/>
      <c r="L2841" s="1249"/>
      <c r="M2841" s="899"/>
      <c r="N2841" s="898">
        <v>680</v>
      </c>
      <c r="O2841" s="1249"/>
      <c r="P2841" s="1246">
        <v>1200</v>
      </c>
    </row>
    <row r="2842" spans="1:16" x14ac:dyDescent="0.2">
      <c r="A2842" s="916"/>
      <c r="B2842" s="898"/>
      <c r="C2842" s="916"/>
      <c r="D2842" s="898"/>
      <c r="E2842" s="1144"/>
      <c r="F2842" s="943">
        <v>46414197</v>
      </c>
      <c r="G2842" s="1245" t="s">
        <v>8666</v>
      </c>
      <c r="H2842" s="1245" t="s">
        <v>8663</v>
      </c>
      <c r="I2842" s="1147"/>
      <c r="J2842" s="943"/>
      <c r="K2842" s="944"/>
      <c r="L2842" s="1249"/>
      <c r="M2842" s="899"/>
      <c r="N2842" s="898">
        <v>679</v>
      </c>
      <c r="O2842" s="1249"/>
      <c r="P2842" s="1246">
        <v>1200</v>
      </c>
    </row>
    <row r="2843" spans="1:16" x14ac:dyDescent="0.2">
      <c r="A2843" s="916"/>
      <c r="B2843" s="898"/>
      <c r="C2843" s="916"/>
      <c r="D2843" s="898"/>
      <c r="E2843" s="1144"/>
      <c r="F2843" s="943">
        <v>48203603</v>
      </c>
      <c r="G2843" s="1245" t="s">
        <v>8667</v>
      </c>
      <c r="H2843" s="1245" t="s">
        <v>8658</v>
      </c>
      <c r="I2843" s="1147"/>
      <c r="J2843" s="943"/>
      <c r="K2843" s="944"/>
      <c r="L2843" s="1249"/>
      <c r="M2843" s="899"/>
      <c r="N2843" s="898">
        <v>678</v>
      </c>
      <c r="O2843" s="1249"/>
      <c r="P2843" s="1246">
        <v>1200</v>
      </c>
    </row>
    <row r="2844" spans="1:16" x14ac:dyDescent="0.2">
      <c r="A2844" s="916"/>
      <c r="B2844" s="898"/>
      <c r="C2844" s="916"/>
      <c r="D2844" s="898"/>
      <c r="E2844" s="1144"/>
      <c r="F2844" s="943">
        <v>45606753</v>
      </c>
      <c r="G2844" s="1245" t="s">
        <v>8668</v>
      </c>
      <c r="H2844" s="1245" t="s">
        <v>8663</v>
      </c>
      <c r="I2844" s="1147"/>
      <c r="J2844" s="943"/>
      <c r="K2844" s="944"/>
      <c r="L2844" s="1249"/>
      <c r="M2844" s="899"/>
      <c r="N2844" s="898">
        <v>677</v>
      </c>
      <c r="O2844" s="1249"/>
      <c r="P2844" s="1246">
        <v>920</v>
      </c>
    </row>
    <row r="2845" spans="1:16" x14ac:dyDescent="0.2">
      <c r="A2845" s="916"/>
      <c r="B2845" s="898"/>
      <c r="C2845" s="916"/>
      <c r="D2845" s="898"/>
      <c r="E2845" s="1144"/>
      <c r="F2845" s="943" t="s">
        <v>8669</v>
      </c>
      <c r="G2845" s="1245" t="s">
        <v>8304</v>
      </c>
      <c r="H2845" s="1245" t="s">
        <v>8658</v>
      </c>
      <c r="I2845" s="1147"/>
      <c r="J2845" s="943"/>
      <c r="K2845" s="944"/>
      <c r="L2845" s="1249"/>
      <c r="M2845" s="899"/>
      <c r="N2845" s="898">
        <v>676</v>
      </c>
      <c r="O2845" s="1249"/>
      <c r="P2845" s="1246">
        <v>1200</v>
      </c>
    </row>
    <row r="2846" spans="1:16" x14ac:dyDescent="0.2">
      <c r="A2846" s="916"/>
      <c r="B2846" s="898"/>
      <c r="C2846" s="916"/>
      <c r="D2846" s="898"/>
      <c r="E2846" s="1144"/>
      <c r="F2846" s="943">
        <v>43907126</v>
      </c>
      <c r="G2846" s="1245" t="s">
        <v>8295</v>
      </c>
      <c r="H2846" s="1245" t="s">
        <v>471</v>
      </c>
      <c r="I2846" s="1147"/>
      <c r="J2846" s="943"/>
      <c r="K2846" s="944"/>
      <c r="L2846" s="1249"/>
      <c r="M2846" s="899"/>
      <c r="N2846" s="898">
        <v>675</v>
      </c>
      <c r="O2846" s="1249"/>
      <c r="P2846" s="1246">
        <v>2200</v>
      </c>
    </row>
    <row r="2847" spans="1:16" x14ac:dyDescent="0.2">
      <c r="A2847" s="916"/>
      <c r="B2847" s="898"/>
      <c r="C2847" s="916"/>
      <c r="D2847" s="898"/>
      <c r="E2847" s="1144"/>
      <c r="F2847" s="943">
        <v>47765023</v>
      </c>
      <c r="G2847" s="1245" t="s">
        <v>8670</v>
      </c>
      <c r="H2847" s="1245" t="s">
        <v>8663</v>
      </c>
      <c r="I2847" s="1147"/>
      <c r="J2847" s="943"/>
      <c r="K2847" s="944"/>
      <c r="L2847" s="1249"/>
      <c r="M2847" s="899"/>
      <c r="N2847" s="898">
        <v>674</v>
      </c>
      <c r="O2847" s="1249"/>
      <c r="P2847" s="1246">
        <v>1200</v>
      </c>
    </row>
    <row r="2848" spans="1:16" x14ac:dyDescent="0.2">
      <c r="A2848" s="916"/>
      <c r="B2848" s="898"/>
      <c r="C2848" s="916"/>
      <c r="D2848" s="898"/>
      <c r="E2848" s="1144"/>
      <c r="F2848" s="943">
        <v>72904634</v>
      </c>
      <c r="G2848" s="1245" t="s">
        <v>8671</v>
      </c>
      <c r="H2848" s="1245" t="s">
        <v>8658</v>
      </c>
      <c r="I2848" s="1147"/>
      <c r="J2848" s="943"/>
      <c r="K2848" s="944"/>
      <c r="L2848" s="1249"/>
      <c r="M2848" s="899"/>
      <c r="N2848" s="898">
        <v>673</v>
      </c>
      <c r="O2848" s="1249"/>
      <c r="P2848" s="1246">
        <v>1200</v>
      </c>
    </row>
    <row r="2849" spans="1:16" x14ac:dyDescent="0.2">
      <c r="A2849" s="916"/>
      <c r="B2849" s="898"/>
      <c r="C2849" s="916"/>
      <c r="D2849" s="898"/>
      <c r="E2849" s="1144"/>
      <c r="F2849" s="943">
        <v>76847357</v>
      </c>
      <c r="G2849" s="1245" t="s">
        <v>8672</v>
      </c>
      <c r="H2849" s="1245" t="s">
        <v>8658</v>
      </c>
      <c r="I2849" s="1147"/>
      <c r="J2849" s="943"/>
      <c r="K2849" s="944"/>
      <c r="L2849" s="1249"/>
      <c r="M2849" s="899"/>
      <c r="N2849" s="898">
        <v>672</v>
      </c>
      <c r="O2849" s="1249"/>
      <c r="P2849" s="1246">
        <v>1200</v>
      </c>
    </row>
    <row r="2850" spans="1:16" x14ac:dyDescent="0.2">
      <c r="A2850" s="916"/>
      <c r="B2850" s="898"/>
      <c r="C2850" s="916"/>
      <c r="D2850" s="898"/>
      <c r="E2850" s="1144"/>
      <c r="F2850" s="943">
        <v>71024119</v>
      </c>
      <c r="G2850" s="1245" t="s">
        <v>8262</v>
      </c>
      <c r="H2850" s="1245" t="s">
        <v>8658</v>
      </c>
      <c r="I2850" s="1147"/>
      <c r="J2850" s="943"/>
      <c r="K2850" s="944"/>
      <c r="L2850" s="1249"/>
      <c r="M2850" s="899"/>
      <c r="N2850" s="898">
        <v>671</v>
      </c>
      <c r="O2850" s="1249"/>
      <c r="P2850" s="1246">
        <v>1200</v>
      </c>
    </row>
    <row r="2851" spans="1:16" x14ac:dyDescent="0.2">
      <c r="A2851" s="916"/>
      <c r="B2851" s="898"/>
      <c r="C2851" s="916"/>
      <c r="D2851" s="898"/>
      <c r="E2851" s="1144"/>
      <c r="F2851" s="943">
        <v>72522952</v>
      </c>
      <c r="G2851" s="1245" t="s">
        <v>8253</v>
      </c>
      <c r="H2851" s="1245" t="s">
        <v>5106</v>
      </c>
      <c r="I2851" s="1147"/>
      <c r="J2851" s="943"/>
      <c r="K2851" s="944"/>
      <c r="L2851" s="1249"/>
      <c r="M2851" s="899"/>
      <c r="N2851" s="898">
        <v>670</v>
      </c>
      <c r="O2851" s="1249"/>
      <c r="P2851" s="1246">
        <v>2200</v>
      </c>
    </row>
    <row r="2852" spans="1:16" x14ac:dyDescent="0.2">
      <c r="A2852" s="916"/>
      <c r="B2852" s="898"/>
      <c r="C2852" s="916"/>
      <c r="D2852" s="898"/>
      <c r="E2852" s="1144"/>
      <c r="F2852" s="943" t="s">
        <v>8241</v>
      </c>
      <c r="G2852" s="1245" t="s">
        <v>8673</v>
      </c>
      <c r="H2852" s="1245" t="s">
        <v>8658</v>
      </c>
      <c r="I2852" s="1147"/>
      <c r="J2852" s="943"/>
      <c r="K2852" s="944"/>
      <c r="L2852" s="1249"/>
      <c r="M2852" s="899"/>
      <c r="N2852" s="898">
        <v>669</v>
      </c>
      <c r="O2852" s="1249"/>
      <c r="P2852" s="1246">
        <v>1200</v>
      </c>
    </row>
    <row r="2853" spans="1:16" ht="24" x14ac:dyDescent="0.2">
      <c r="A2853" s="916"/>
      <c r="B2853" s="898"/>
      <c r="C2853" s="916"/>
      <c r="D2853" s="898"/>
      <c r="E2853" s="1144"/>
      <c r="F2853" s="943">
        <v>70351266</v>
      </c>
      <c r="G2853" s="1245" t="s">
        <v>8235</v>
      </c>
      <c r="H2853" s="1245" t="s">
        <v>471</v>
      </c>
      <c r="I2853" s="1147"/>
      <c r="J2853" s="943"/>
      <c r="K2853" s="944"/>
      <c r="L2853" s="1249"/>
      <c r="M2853" s="899"/>
      <c r="N2853" s="898">
        <v>668</v>
      </c>
      <c r="O2853" s="1249"/>
      <c r="P2853" s="1246">
        <v>2200</v>
      </c>
    </row>
    <row r="2854" spans="1:16" x14ac:dyDescent="0.2">
      <c r="A2854" s="916"/>
      <c r="B2854" s="898"/>
      <c r="C2854" s="916"/>
      <c r="D2854" s="898"/>
      <c r="E2854" s="1144"/>
      <c r="F2854" s="943">
        <v>45025980</v>
      </c>
      <c r="G2854" s="1245" t="s">
        <v>8225</v>
      </c>
      <c r="H2854" s="1245" t="s">
        <v>8663</v>
      </c>
      <c r="I2854" s="1147"/>
      <c r="J2854" s="943"/>
      <c r="K2854" s="944"/>
      <c r="L2854" s="1249"/>
      <c r="M2854" s="899"/>
      <c r="N2854" s="898">
        <v>667</v>
      </c>
      <c r="O2854" s="1249"/>
      <c r="P2854" s="1246">
        <v>1200</v>
      </c>
    </row>
    <row r="2855" spans="1:16" x14ac:dyDescent="0.2">
      <c r="A2855" s="916"/>
      <c r="B2855" s="898"/>
      <c r="C2855" s="916"/>
      <c r="D2855" s="898"/>
      <c r="E2855" s="1144"/>
      <c r="F2855" s="943">
        <v>47254237</v>
      </c>
      <c r="G2855" s="1245" t="s">
        <v>8216</v>
      </c>
      <c r="H2855" s="1245" t="s">
        <v>8665</v>
      </c>
      <c r="I2855" s="1147"/>
      <c r="J2855" s="943"/>
      <c r="K2855" s="944"/>
      <c r="L2855" s="1249"/>
      <c r="M2855" s="899"/>
      <c r="N2855" s="898">
        <v>666</v>
      </c>
      <c r="O2855" s="1249"/>
      <c r="P2855" s="1246">
        <v>2200</v>
      </c>
    </row>
    <row r="2856" spans="1:16" x14ac:dyDescent="0.2">
      <c r="A2856" s="916"/>
      <c r="B2856" s="898"/>
      <c r="C2856" s="916"/>
      <c r="D2856" s="898"/>
      <c r="E2856" s="1144"/>
      <c r="F2856" s="943">
        <v>73213912</v>
      </c>
      <c r="G2856" s="1245" t="s">
        <v>8210</v>
      </c>
      <c r="H2856" s="1245" t="s">
        <v>8658</v>
      </c>
      <c r="I2856" s="1147"/>
      <c r="J2856" s="943"/>
      <c r="K2856" s="944"/>
      <c r="L2856" s="1249"/>
      <c r="M2856" s="899"/>
      <c r="N2856" s="898">
        <v>665</v>
      </c>
      <c r="O2856" s="1249"/>
      <c r="P2856" s="1246">
        <v>1200</v>
      </c>
    </row>
    <row r="2857" spans="1:16" x14ac:dyDescent="0.2">
      <c r="A2857" s="916"/>
      <c r="B2857" s="898"/>
      <c r="C2857" s="916"/>
      <c r="D2857" s="898"/>
      <c r="E2857" s="1144"/>
      <c r="F2857" s="943">
        <v>41462575</v>
      </c>
      <c r="G2857" s="1245" t="s">
        <v>8201</v>
      </c>
      <c r="H2857" s="1245" t="s">
        <v>471</v>
      </c>
      <c r="I2857" s="1147"/>
      <c r="J2857" s="943"/>
      <c r="K2857" s="944"/>
      <c r="L2857" s="1249"/>
      <c r="M2857" s="899"/>
      <c r="N2857" s="898">
        <v>664</v>
      </c>
      <c r="O2857" s="1249"/>
      <c r="P2857" s="1246">
        <v>2200</v>
      </c>
    </row>
    <row r="2858" spans="1:16" x14ac:dyDescent="0.2">
      <c r="A2858" s="916"/>
      <c r="B2858" s="898"/>
      <c r="C2858" s="916"/>
      <c r="D2858" s="898"/>
      <c r="E2858" s="1144"/>
      <c r="F2858" s="943">
        <v>42251955</v>
      </c>
      <c r="G2858" s="1245" t="s">
        <v>8186</v>
      </c>
      <c r="H2858" s="1245" t="s">
        <v>8658</v>
      </c>
      <c r="I2858" s="1147"/>
      <c r="J2858" s="943"/>
      <c r="K2858" s="944"/>
      <c r="L2858" s="1249"/>
      <c r="M2858" s="899"/>
      <c r="N2858" s="898">
        <v>663</v>
      </c>
      <c r="O2858" s="1249"/>
      <c r="P2858" s="1246">
        <v>1200</v>
      </c>
    </row>
    <row r="2859" spans="1:16" x14ac:dyDescent="0.2">
      <c r="A2859" s="916"/>
      <c r="B2859" s="898"/>
      <c r="C2859" s="916"/>
      <c r="D2859" s="898"/>
      <c r="E2859" s="1144"/>
      <c r="F2859" s="943">
        <v>71852990</v>
      </c>
      <c r="G2859" s="1245" t="s">
        <v>8674</v>
      </c>
      <c r="H2859" s="1245" t="s">
        <v>8658</v>
      </c>
      <c r="I2859" s="1147"/>
      <c r="J2859" s="943"/>
      <c r="K2859" s="944"/>
      <c r="L2859" s="1249"/>
      <c r="M2859" s="899"/>
      <c r="N2859" s="898">
        <v>661</v>
      </c>
      <c r="O2859" s="1249"/>
      <c r="P2859" s="1246">
        <v>1200</v>
      </c>
    </row>
    <row r="2860" spans="1:16" x14ac:dyDescent="0.2">
      <c r="A2860" s="916"/>
      <c r="B2860" s="898"/>
      <c r="C2860" s="916"/>
      <c r="D2860" s="898"/>
      <c r="E2860" s="1144"/>
      <c r="F2860" s="943">
        <v>76172642</v>
      </c>
      <c r="G2860" s="1245" t="s">
        <v>8163</v>
      </c>
      <c r="H2860" s="1245" t="s">
        <v>8658</v>
      </c>
      <c r="I2860" s="1147"/>
      <c r="J2860" s="943"/>
      <c r="K2860" s="944"/>
      <c r="L2860" s="1249"/>
      <c r="M2860" s="899"/>
      <c r="N2860" s="898">
        <v>660</v>
      </c>
      <c r="O2860" s="1249"/>
      <c r="P2860" s="1246">
        <v>1200</v>
      </c>
    </row>
    <row r="2861" spans="1:16" x14ac:dyDescent="0.2">
      <c r="A2861" s="916"/>
      <c r="B2861" s="898"/>
      <c r="C2861" s="916"/>
      <c r="D2861" s="898"/>
      <c r="E2861" s="1144"/>
      <c r="F2861" s="943">
        <v>46949673</v>
      </c>
      <c r="G2861" s="1245" t="s">
        <v>8156</v>
      </c>
      <c r="H2861" s="1245" t="s">
        <v>8658</v>
      </c>
      <c r="I2861" s="1147"/>
      <c r="J2861" s="943"/>
      <c r="K2861" s="944"/>
      <c r="L2861" s="1249"/>
      <c r="M2861" s="899"/>
      <c r="N2861" s="898">
        <v>659</v>
      </c>
      <c r="O2861" s="1249"/>
      <c r="P2861" s="1246">
        <v>1200</v>
      </c>
    </row>
    <row r="2862" spans="1:16" x14ac:dyDescent="0.2">
      <c r="A2862" s="916"/>
      <c r="B2862" s="898"/>
      <c r="C2862" s="916"/>
      <c r="D2862" s="898"/>
      <c r="E2862" s="1144"/>
      <c r="F2862" s="943">
        <v>40344059</v>
      </c>
      <c r="G2862" s="1245" t="s">
        <v>8149</v>
      </c>
      <c r="H2862" s="1245" t="s">
        <v>8658</v>
      </c>
      <c r="I2862" s="1147"/>
      <c r="J2862" s="943"/>
      <c r="K2862" s="944"/>
      <c r="L2862" s="1249"/>
      <c r="M2862" s="899"/>
      <c r="N2862" s="898">
        <v>658</v>
      </c>
      <c r="O2862" s="1249"/>
      <c r="P2862" s="1246">
        <v>1200</v>
      </c>
    </row>
    <row r="2863" spans="1:16" x14ac:dyDescent="0.2">
      <c r="A2863" s="916"/>
      <c r="B2863" s="898"/>
      <c r="C2863" s="916"/>
      <c r="D2863" s="898"/>
      <c r="E2863" s="1144"/>
      <c r="F2863" s="943">
        <v>46711175</v>
      </c>
      <c r="G2863" s="1245" t="s">
        <v>8675</v>
      </c>
      <c r="H2863" s="1245" t="s">
        <v>7759</v>
      </c>
      <c r="I2863" s="1147"/>
      <c r="J2863" s="943"/>
      <c r="K2863" s="944"/>
      <c r="L2863" s="1249"/>
      <c r="M2863" s="899"/>
      <c r="N2863" s="898">
        <v>657</v>
      </c>
      <c r="O2863" s="1249"/>
      <c r="P2863" s="1246">
        <v>4200</v>
      </c>
    </row>
    <row r="2864" spans="1:16" x14ac:dyDescent="0.2">
      <c r="A2864" s="916"/>
      <c r="B2864" s="898"/>
      <c r="C2864" s="916"/>
      <c r="D2864" s="898"/>
      <c r="E2864" s="1144"/>
      <c r="F2864" s="943">
        <v>47869026</v>
      </c>
      <c r="G2864" s="1245" t="s">
        <v>8130</v>
      </c>
      <c r="H2864" s="1245" t="s">
        <v>8663</v>
      </c>
      <c r="I2864" s="1147"/>
      <c r="J2864" s="943"/>
      <c r="K2864" s="944"/>
      <c r="L2864" s="1249"/>
      <c r="M2864" s="899"/>
      <c r="N2864" s="898">
        <v>656</v>
      </c>
      <c r="O2864" s="1249"/>
      <c r="P2864" s="1246">
        <v>1200</v>
      </c>
    </row>
    <row r="2865" spans="1:16" x14ac:dyDescent="0.2">
      <c r="A2865" s="916"/>
      <c r="B2865" s="898"/>
      <c r="C2865" s="916"/>
      <c r="D2865" s="898"/>
      <c r="E2865" s="1144"/>
      <c r="F2865" s="943">
        <v>43033288</v>
      </c>
      <c r="G2865" s="1245" t="s">
        <v>8676</v>
      </c>
      <c r="H2865" s="1245" t="s">
        <v>8658</v>
      </c>
      <c r="I2865" s="1147"/>
      <c r="J2865" s="943"/>
      <c r="K2865" s="944"/>
      <c r="L2865" s="1249"/>
      <c r="M2865" s="899"/>
      <c r="N2865" s="898">
        <v>655</v>
      </c>
      <c r="O2865" s="1249"/>
      <c r="P2865" s="1246">
        <v>1200</v>
      </c>
    </row>
    <row r="2866" spans="1:16" x14ac:dyDescent="0.2">
      <c r="A2866" s="916"/>
      <c r="B2866" s="898"/>
      <c r="C2866" s="916"/>
      <c r="D2866" s="898"/>
      <c r="E2866" s="1144"/>
      <c r="F2866" s="943">
        <v>76745834</v>
      </c>
      <c r="G2866" s="1245" t="s">
        <v>8114</v>
      </c>
      <c r="H2866" s="1245" t="s">
        <v>8658</v>
      </c>
      <c r="I2866" s="1147"/>
      <c r="J2866" s="943"/>
      <c r="K2866" s="944"/>
      <c r="L2866" s="1249"/>
      <c r="M2866" s="899"/>
      <c r="N2866" s="898">
        <v>654</v>
      </c>
      <c r="O2866" s="1249"/>
      <c r="P2866" s="1246">
        <v>1500</v>
      </c>
    </row>
    <row r="2867" spans="1:16" x14ac:dyDescent="0.2">
      <c r="A2867" s="916"/>
      <c r="B2867" s="898"/>
      <c r="C2867" s="916"/>
      <c r="D2867" s="898"/>
      <c r="E2867" s="1144"/>
      <c r="F2867" s="943">
        <v>10435731</v>
      </c>
      <c r="G2867" s="1245" t="s">
        <v>8095</v>
      </c>
      <c r="H2867" s="1245" t="s">
        <v>8658</v>
      </c>
      <c r="I2867" s="1147"/>
      <c r="J2867" s="943"/>
      <c r="K2867" s="944"/>
      <c r="L2867" s="1249"/>
      <c r="M2867" s="899"/>
      <c r="N2867" s="898">
        <v>653</v>
      </c>
      <c r="O2867" s="1249"/>
      <c r="P2867" s="1246">
        <v>1200</v>
      </c>
    </row>
    <row r="2868" spans="1:16" x14ac:dyDescent="0.2">
      <c r="A2868" s="916"/>
      <c r="B2868" s="898"/>
      <c r="C2868" s="916"/>
      <c r="D2868" s="898"/>
      <c r="E2868" s="1144"/>
      <c r="F2868" s="943">
        <v>41621198</v>
      </c>
      <c r="G2868" s="1245" t="s">
        <v>8228</v>
      </c>
      <c r="H2868" s="1245" t="s">
        <v>8658</v>
      </c>
      <c r="I2868" s="1147"/>
      <c r="J2868" s="943"/>
      <c r="K2868" s="944"/>
      <c r="L2868" s="1249"/>
      <c r="M2868" s="899"/>
      <c r="N2868" s="898">
        <v>652</v>
      </c>
      <c r="O2868" s="1249"/>
      <c r="P2868" s="1246">
        <v>1200</v>
      </c>
    </row>
    <row r="2869" spans="1:16" x14ac:dyDescent="0.2">
      <c r="A2869" s="916"/>
      <c r="B2869" s="898"/>
      <c r="C2869" s="916"/>
      <c r="D2869" s="898"/>
      <c r="E2869" s="1144"/>
      <c r="F2869" s="943">
        <v>42383584</v>
      </c>
      <c r="G2869" s="1245" t="s">
        <v>8195</v>
      </c>
      <c r="H2869" s="1245" t="s">
        <v>8663</v>
      </c>
      <c r="I2869" s="1147"/>
      <c r="J2869" s="943"/>
      <c r="K2869" s="944"/>
      <c r="L2869" s="1249"/>
      <c r="M2869" s="899"/>
      <c r="N2869" s="898">
        <v>710</v>
      </c>
      <c r="O2869" s="1249"/>
      <c r="P2869" s="1246">
        <v>280</v>
      </c>
    </row>
    <row r="2870" spans="1:16" x14ac:dyDescent="0.2">
      <c r="A2870" s="1248"/>
      <c r="B2870" s="1247"/>
      <c r="C2870" s="1248"/>
      <c r="D2870" s="898"/>
      <c r="E2870" s="1144"/>
      <c r="F2870" s="1247"/>
      <c r="G2870" s="898"/>
      <c r="H2870" s="898"/>
      <c r="I2870" s="943"/>
      <c r="J2870" s="943"/>
      <c r="K2870" s="944"/>
      <c r="L2870" s="1249"/>
      <c r="M2870" s="899"/>
      <c r="N2870" s="1249"/>
      <c r="O2870" s="1249"/>
      <c r="P2870" s="899">
        <f>SUM(P2799:P2869)</f>
        <v>97766.67</v>
      </c>
    </row>
    <row r="2871" spans="1:16" x14ac:dyDescent="0.2">
      <c r="A2871" s="1231"/>
      <c r="B2871" s="1230"/>
      <c r="C2871" s="1231"/>
      <c r="D2871" s="1230"/>
      <c r="E2871" s="1232"/>
      <c r="F2871" s="1230"/>
      <c r="G2871" s="1230"/>
      <c r="H2871" s="1230"/>
      <c r="I2871" s="1233"/>
      <c r="J2871" s="1233"/>
      <c r="K2871" s="1368"/>
      <c r="L2871" s="1234"/>
      <c r="M2871" s="1235"/>
      <c r="N2871" s="1230"/>
      <c r="O2871" s="1230"/>
      <c r="P2871" s="1235">
        <f>P2797+P2870</f>
        <v>950843.67</v>
      </c>
    </row>
    <row r="2872" spans="1:16" x14ac:dyDescent="0.2">
      <c r="A2872" s="63"/>
      <c r="C2872" s="63"/>
      <c r="E2872" s="63"/>
      <c r="I2872" s="63"/>
      <c r="J2872" s="63"/>
      <c r="L2872" s="63"/>
      <c r="M2872" s="63"/>
      <c r="P2872" s="63"/>
    </row>
    <row r="2873" spans="1:16" x14ac:dyDescent="0.2">
      <c r="A2873" s="63"/>
      <c r="C2873" s="63"/>
      <c r="E2873" s="63"/>
      <c r="I2873" s="63"/>
      <c r="J2873" s="63"/>
      <c r="L2873" s="63"/>
      <c r="M2873" s="63"/>
      <c r="P2873" s="63"/>
    </row>
    <row r="2874" spans="1:16" ht="24" x14ac:dyDescent="0.2">
      <c r="A2874" s="869" t="s">
        <v>8677</v>
      </c>
      <c r="B2874" s="1176"/>
      <c r="C2874" s="851"/>
      <c r="D2874" s="1176"/>
      <c r="E2874" s="1177"/>
      <c r="F2874" s="1176"/>
      <c r="G2874" s="1176"/>
      <c r="H2874" s="1176"/>
      <c r="I2874" s="1178"/>
      <c r="J2874" s="1178"/>
      <c r="K2874" s="1358"/>
      <c r="L2874" s="1179"/>
      <c r="M2874" s="1180"/>
      <c r="N2874" s="1176"/>
      <c r="O2874" s="1176"/>
      <c r="P2874" s="1180"/>
    </row>
    <row r="2875" spans="1:16" x14ac:dyDescent="0.2">
      <c r="A2875" s="1529" t="s">
        <v>3075</v>
      </c>
      <c r="B2875" s="1529"/>
      <c r="C2875" s="1529"/>
      <c r="D2875" s="1529"/>
      <c r="E2875" s="1529"/>
      <c r="F2875" s="1529" t="s">
        <v>3076</v>
      </c>
      <c r="G2875" s="1529"/>
      <c r="H2875" s="1529"/>
      <c r="I2875" s="1529"/>
      <c r="J2875" s="1529"/>
      <c r="K2875" s="1387"/>
      <c r="L2875" s="1528" t="s">
        <v>3077</v>
      </c>
      <c r="M2875" s="1528"/>
      <c r="N2875" s="1528"/>
      <c r="O2875" s="1528"/>
      <c r="P2875" s="1528"/>
    </row>
    <row r="2876" spans="1:16" ht="90" customHeight="1" x14ac:dyDescent="0.2">
      <c r="A2876" s="869" t="s">
        <v>2829</v>
      </c>
      <c r="B2876" s="433" t="s">
        <v>3079</v>
      </c>
      <c r="C2876" s="869" t="s">
        <v>3080</v>
      </c>
      <c r="D2876" s="433" t="s">
        <v>3081</v>
      </c>
      <c r="E2876" s="699" t="s">
        <v>3082</v>
      </c>
      <c r="F2876" s="433" t="s">
        <v>3083</v>
      </c>
      <c r="G2876" s="433" t="s">
        <v>3084</v>
      </c>
      <c r="H2876" s="433" t="s">
        <v>3085</v>
      </c>
      <c r="I2876" s="433" t="s">
        <v>3086</v>
      </c>
      <c r="J2876" s="433" t="s">
        <v>3087</v>
      </c>
      <c r="K2876" s="1387" t="s">
        <v>8678</v>
      </c>
      <c r="L2876" s="1157" t="s">
        <v>3088</v>
      </c>
      <c r="M2876" s="698" t="s">
        <v>3089</v>
      </c>
      <c r="N2876" s="1157" t="s">
        <v>3090</v>
      </c>
      <c r="O2876" s="1157" t="s">
        <v>3089</v>
      </c>
      <c r="P2876" s="698" t="s">
        <v>3090</v>
      </c>
    </row>
    <row r="2877" spans="1:16" ht="36" x14ac:dyDescent="0.2">
      <c r="A2877" s="1336">
        <v>403</v>
      </c>
      <c r="B2877" s="1335" t="s">
        <v>3782</v>
      </c>
      <c r="C2877" s="1336" t="s">
        <v>8679</v>
      </c>
      <c r="D2877" s="1335" t="s">
        <v>3100</v>
      </c>
      <c r="E2877" s="1337">
        <v>2000</v>
      </c>
      <c r="F2877" s="1338" t="s">
        <v>8680</v>
      </c>
      <c r="G2877" s="1335" t="s">
        <v>8681</v>
      </c>
      <c r="H2877" s="1335" t="s">
        <v>3134</v>
      </c>
      <c r="I2877" s="1338" t="s">
        <v>8682</v>
      </c>
      <c r="J2877" s="1338" t="s">
        <v>3134</v>
      </c>
      <c r="K2877" s="954">
        <v>40422</v>
      </c>
      <c r="L2877" s="416">
        <v>6</v>
      </c>
      <c r="M2877" s="1120">
        <v>12</v>
      </c>
      <c r="N2877" s="1339">
        <f t="shared" ref="N2877:N2940" si="78">E2877*M2877</f>
        <v>24000</v>
      </c>
      <c r="O2877" s="416">
        <v>9</v>
      </c>
      <c r="P2877" s="1340">
        <f t="shared" ref="P2877:P2940" si="79">E2877*O2877</f>
        <v>18000</v>
      </c>
    </row>
    <row r="2878" spans="1:16" ht="48" x14ac:dyDescent="0.2">
      <c r="A2878" s="1336">
        <v>403</v>
      </c>
      <c r="B2878" s="1335" t="s">
        <v>8683</v>
      </c>
      <c r="C2878" s="1336" t="s">
        <v>8679</v>
      </c>
      <c r="D2878" s="1335" t="s">
        <v>8684</v>
      </c>
      <c r="E2878" s="1337">
        <v>1500</v>
      </c>
      <c r="F2878" s="1338" t="s">
        <v>8685</v>
      </c>
      <c r="G2878" s="1335" t="s">
        <v>8686</v>
      </c>
      <c r="H2878" s="1335" t="s">
        <v>8684</v>
      </c>
      <c r="I2878" s="1338" t="s">
        <v>8687</v>
      </c>
      <c r="J2878" s="1338" t="s">
        <v>8684</v>
      </c>
      <c r="K2878" s="954">
        <v>43922</v>
      </c>
      <c r="L2878" s="416">
        <v>4</v>
      </c>
      <c r="M2878" s="1120">
        <v>9</v>
      </c>
      <c r="N2878" s="1339">
        <f t="shared" si="78"/>
        <v>13500</v>
      </c>
      <c r="O2878" s="416">
        <v>9</v>
      </c>
      <c r="P2878" s="1340">
        <f t="shared" si="79"/>
        <v>13500</v>
      </c>
    </row>
    <row r="2879" spans="1:16" ht="36" x14ac:dyDescent="0.2">
      <c r="A2879" s="1336">
        <v>403</v>
      </c>
      <c r="B2879" s="1335" t="s">
        <v>3782</v>
      </c>
      <c r="C2879" s="1336" t="s">
        <v>8679</v>
      </c>
      <c r="D2879" s="1335" t="s">
        <v>3112</v>
      </c>
      <c r="E2879" s="1337">
        <v>1100</v>
      </c>
      <c r="F2879" s="1338" t="s">
        <v>8688</v>
      </c>
      <c r="G2879" s="1335" t="s">
        <v>8689</v>
      </c>
      <c r="H2879" s="1335" t="s">
        <v>3112</v>
      </c>
      <c r="I2879" s="1338" t="s">
        <v>8687</v>
      </c>
      <c r="J2879" s="1338" t="s">
        <v>3112</v>
      </c>
      <c r="K2879" s="954">
        <v>43922</v>
      </c>
      <c r="L2879" s="416">
        <v>4</v>
      </c>
      <c r="M2879" s="1120">
        <v>9</v>
      </c>
      <c r="N2879" s="1339">
        <f t="shared" si="78"/>
        <v>9900</v>
      </c>
      <c r="O2879" s="416">
        <v>9</v>
      </c>
      <c r="P2879" s="1340">
        <f t="shared" si="79"/>
        <v>9900</v>
      </c>
    </row>
    <row r="2880" spans="1:16" ht="48" x14ac:dyDescent="0.2">
      <c r="A2880" s="1336">
        <v>403</v>
      </c>
      <c r="B2880" s="1335" t="s">
        <v>8683</v>
      </c>
      <c r="C2880" s="1336" t="s">
        <v>8679</v>
      </c>
      <c r="D2880" s="1335" t="s">
        <v>7759</v>
      </c>
      <c r="E2880" s="1337">
        <v>11000</v>
      </c>
      <c r="F2880" s="1338" t="s">
        <v>8690</v>
      </c>
      <c r="G2880" s="1335" t="s">
        <v>8691</v>
      </c>
      <c r="H2880" s="1335" t="s">
        <v>7759</v>
      </c>
      <c r="I2880" s="1338" t="s">
        <v>8692</v>
      </c>
      <c r="J2880" s="1338" t="s">
        <v>7759</v>
      </c>
      <c r="K2880" s="954">
        <v>44075</v>
      </c>
      <c r="L2880" s="416">
        <v>2</v>
      </c>
      <c r="M2880" s="1120">
        <v>4</v>
      </c>
      <c r="N2880" s="1339">
        <f t="shared" si="78"/>
        <v>44000</v>
      </c>
      <c r="O2880" s="416">
        <v>9</v>
      </c>
      <c r="P2880" s="1340">
        <f t="shared" si="79"/>
        <v>99000</v>
      </c>
    </row>
    <row r="2881" spans="1:16" ht="48" x14ac:dyDescent="0.2">
      <c r="A2881" s="1336">
        <v>403</v>
      </c>
      <c r="B2881" s="1335" t="s">
        <v>8683</v>
      </c>
      <c r="C2881" s="1336" t="s">
        <v>8679</v>
      </c>
      <c r="D2881" s="1335" t="s">
        <v>8693</v>
      </c>
      <c r="E2881" s="1337">
        <v>2000</v>
      </c>
      <c r="F2881" s="1338" t="s">
        <v>8694</v>
      </c>
      <c r="G2881" s="1335" t="s">
        <v>8695</v>
      </c>
      <c r="H2881" s="1335" t="s">
        <v>8693</v>
      </c>
      <c r="I2881" s="1338" t="s">
        <v>8687</v>
      </c>
      <c r="J2881" s="1338" t="s">
        <v>8693</v>
      </c>
      <c r="K2881" s="954">
        <v>44075</v>
      </c>
      <c r="L2881" s="416">
        <v>2</v>
      </c>
      <c r="M2881" s="1120">
        <v>4</v>
      </c>
      <c r="N2881" s="1339">
        <f t="shared" si="78"/>
        <v>8000</v>
      </c>
      <c r="O2881" s="416">
        <v>9</v>
      </c>
      <c r="P2881" s="1340">
        <f t="shared" si="79"/>
        <v>18000</v>
      </c>
    </row>
    <row r="2882" spans="1:16" ht="36" x14ac:dyDescent="0.2">
      <c r="A2882" s="1336">
        <v>403</v>
      </c>
      <c r="B2882" s="1335" t="s">
        <v>3782</v>
      </c>
      <c r="C2882" s="1336" t="s">
        <v>8679</v>
      </c>
      <c r="D2882" s="1335" t="s">
        <v>3100</v>
      </c>
      <c r="E2882" s="1337">
        <v>1300</v>
      </c>
      <c r="F2882" s="1338" t="s">
        <v>8696</v>
      </c>
      <c r="G2882" s="1335" t="s">
        <v>8697</v>
      </c>
      <c r="H2882" s="1335" t="s">
        <v>6998</v>
      </c>
      <c r="I2882" s="1338" t="s">
        <v>8682</v>
      </c>
      <c r="J2882" s="1338" t="s">
        <v>6998</v>
      </c>
      <c r="K2882" s="954">
        <v>39904</v>
      </c>
      <c r="L2882" s="416">
        <v>6</v>
      </c>
      <c r="M2882" s="1120">
        <v>12</v>
      </c>
      <c r="N2882" s="1339">
        <f t="shared" si="78"/>
        <v>15600</v>
      </c>
      <c r="O2882" s="416">
        <v>9</v>
      </c>
      <c r="P2882" s="1340">
        <f t="shared" si="79"/>
        <v>11700</v>
      </c>
    </row>
    <row r="2883" spans="1:16" ht="36" x14ac:dyDescent="0.2">
      <c r="A2883" s="1336">
        <v>403</v>
      </c>
      <c r="B2883" s="1335" t="s">
        <v>3782</v>
      </c>
      <c r="C2883" s="1336" t="s">
        <v>8679</v>
      </c>
      <c r="D2883" s="1335" t="s">
        <v>5043</v>
      </c>
      <c r="E2883" s="1337">
        <v>1200</v>
      </c>
      <c r="F2883" s="1338" t="s">
        <v>8698</v>
      </c>
      <c r="G2883" s="1335" t="s">
        <v>8699</v>
      </c>
      <c r="H2883" s="1335" t="s">
        <v>5043</v>
      </c>
      <c r="I2883" s="1338" t="s">
        <v>8682</v>
      </c>
      <c r="J2883" s="1338" t="s">
        <v>5043</v>
      </c>
      <c r="K2883" s="954">
        <v>43497</v>
      </c>
      <c r="L2883" s="416">
        <v>6</v>
      </c>
      <c r="M2883" s="1120">
        <v>12</v>
      </c>
      <c r="N2883" s="1339">
        <f t="shared" si="78"/>
        <v>14400</v>
      </c>
      <c r="O2883" s="416">
        <v>9</v>
      </c>
      <c r="P2883" s="1340">
        <f t="shared" si="79"/>
        <v>10800</v>
      </c>
    </row>
    <row r="2884" spans="1:16" ht="48" x14ac:dyDescent="0.2">
      <c r="A2884" s="1336">
        <v>403</v>
      </c>
      <c r="B2884" s="1335" t="s">
        <v>8683</v>
      </c>
      <c r="C2884" s="1336" t="s">
        <v>8679</v>
      </c>
      <c r="D2884" s="1335" t="s">
        <v>5106</v>
      </c>
      <c r="E2884" s="1337">
        <v>5000</v>
      </c>
      <c r="F2884" s="1338" t="s">
        <v>8700</v>
      </c>
      <c r="G2884" s="1335" t="s">
        <v>8701</v>
      </c>
      <c r="H2884" s="1335" t="s">
        <v>5106</v>
      </c>
      <c r="I2884" s="1338" t="s">
        <v>8692</v>
      </c>
      <c r="J2884" s="1338" t="s">
        <v>5043</v>
      </c>
      <c r="K2884" s="954">
        <v>44075</v>
      </c>
      <c r="L2884" s="416">
        <v>2</v>
      </c>
      <c r="M2884" s="1120">
        <v>4</v>
      </c>
      <c r="N2884" s="1339">
        <f t="shared" si="78"/>
        <v>20000</v>
      </c>
      <c r="O2884" s="416">
        <v>9</v>
      </c>
      <c r="P2884" s="1340">
        <f t="shared" si="79"/>
        <v>45000</v>
      </c>
    </row>
    <row r="2885" spans="1:16" ht="36" x14ac:dyDescent="0.2">
      <c r="A2885" s="1336">
        <v>403</v>
      </c>
      <c r="B2885" s="1335" t="s">
        <v>3782</v>
      </c>
      <c r="C2885" s="1336" t="s">
        <v>8679</v>
      </c>
      <c r="D2885" s="1335" t="s">
        <v>3112</v>
      </c>
      <c r="E2885" s="1337">
        <v>1200</v>
      </c>
      <c r="F2885" s="1338" t="s">
        <v>8702</v>
      </c>
      <c r="G2885" s="1335" t="s">
        <v>8703</v>
      </c>
      <c r="H2885" s="1335" t="s">
        <v>5043</v>
      </c>
      <c r="I2885" s="1338" t="s">
        <v>8682</v>
      </c>
      <c r="J2885" s="1338" t="s">
        <v>8704</v>
      </c>
      <c r="K2885" s="954">
        <v>44166</v>
      </c>
      <c r="L2885" s="416">
        <v>1</v>
      </c>
      <c r="M2885" s="1120">
        <v>1</v>
      </c>
      <c r="N2885" s="1339">
        <f t="shared" si="78"/>
        <v>1200</v>
      </c>
      <c r="O2885" s="416">
        <v>9</v>
      </c>
      <c r="P2885" s="1340">
        <f t="shared" si="79"/>
        <v>10800</v>
      </c>
    </row>
    <row r="2886" spans="1:16" ht="48" x14ac:dyDescent="0.2">
      <c r="A2886" s="1336">
        <v>403</v>
      </c>
      <c r="B2886" s="1335" t="s">
        <v>8683</v>
      </c>
      <c r="C2886" s="1336" t="s">
        <v>8679</v>
      </c>
      <c r="D2886" s="1335" t="s">
        <v>5043</v>
      </c>
      <c r="E2886" s="1337">
        <v>2500</v>
      </c>
      <c r="F2886" s="1338" t="s">
        <v>8705</v>
      </c>
      <c r="G2886" s="1335" t="s">
        <v>8706</v>
      </c>
      <c r="H2886" s="1335" t="s">
        <v>5043</v>
      </c>
      <c r="I2886" s="1338" t="s">
        <v>8682</v>
      </c>
      <c r="J2886" s="1338" t="s">
        <v>5043</v>
      </c>
      <c r="K2886" s="954">
        <v>44046</v>
      </c>
      <c r="L2886" s="416">
        <v>3</v>
      </c>
      <c r="M2886" s="1120">
        <v>5</v>
      </c>
      <c r="N2886" s="1339">
        <f t="shared" si="78"/>
        <v>12500</v>
      </c>
      <c r="O2886" s="416">
        <v>9</v>
      </c>
      <c r="P2886" s="1340">
        <f t="shared" si="79"/>
        <v>22500</v>
      </c>
    </row>
    <row r="2887" spans="1:16" ht="36" x14ac:dyDescent="0.2">
      <c r="A2887" s="1336">
        <v>403</v>
      </c>
      <c r="B2887" s="1335" t="s">
        <v>3782</v>
      </c>
      <c r="C2887" s="1336" t="s">
        <v>8679</v>
      </c>
      <c r="D2887" s="1335" t="s">
        <v>5084</v>
      </c>
      <c r="E2887" s="1337">
        <v>1500</v>
      </c>
      <c r="F2887" s="1338" t="s">
        <v>8707</v>
      </c>
      <c r="G2887" s="1335" t="s">
        <v>8708</v>
      </c>
      <c r="H2887" s="1335" t="s">
        <v>3976</v>
      </c>
      <c r="I2887" s="1338" t="s">
        <v>8682</v>
      </c>
      <c r="J2887" s="1338" t="s">
        <v>5043</v>
      </c>
      <c r="K2887" s="954">
        <v>44075</v>
      </c>
      <c r="L2887" s="416">
        <v>2</v>
      </c>
      <c r="M2887" s="1120">
        <v>4</v>
      </c>
      <c r="N2887" s="1339">
        <f t="shared" si="78"/>
        <v>6000</v>
      </c>
      <c r="O2887" s="416">
        <v>9</v>
      </c>
      <c r="P2887" s="1340">
        <f t="shared" si="79"/>
        <v>13500</v>
      </c>
    </row>
    <row r="2888" spans="1:16" ht="36" x14ac:dyDescent="0.2">
      <c r="A2888" s="1336">
        <v>403</v>
      </c>
      <c r="B2888" s="1335" t="s">
        <v>3782</v>
      </c>
      <c r="C2888" s="1336" t="s">
        <v>8679</v>
      </c>
      <c r="D2888" s="1335" t="s">
        <v>5043</v>
      </c>
      <c r="E2888" s="1337">
        <v>1300</v>
      </c>
      <c r="F2888" s="1338" t="s">
        <v>8709</v>
      </c>
      <c r="G2888" s="1335" t="s">
        <v>8710</v>
      </c>
      <c r="H2888" s="1335" t="s">
        <v>8704</v>
      </c>
      <c r="I2888" s="1338" t="s">
        <v>8682</v>
      </c>
      <c r="J2888" s="1338" t="s">
        <v>5043</v>
      </c>
      <c r="K2888" s="954">
        <v>43922</v>
      </c>
      <c r="L2888" s="416">
        <v>4</v>
      </c>
      <c r="M2888" s="1120">
        <v>9</v>
      </c>
      <c r="N2888" s="1339">
        <f t="shared" si="78"/>
        <v>11700</v>
      </c>
      <c r="O2888" s="416">
        <v>9</v>
      </c>
      <c r="P2888" s="1340">
        <f t="shared" si="79"/>
        <v>11700</v>
      </c>
    </row>
    <row r="2889" spans="1:16" ht="36" x14ac:dyDescent="0.2">
      <c r="A2889" s="1336">
        <v>403</v>
      </c>
      <c r="B2889" s="1335" t="s">
        <v>3782</v>
      </c>
      <c r="C2889" s="1336" t="s">
        <v>8679</v>
      </c>
      <c r="D2889" s="1335" t="s">
        <v>8711</v>
      </c>
      <c r="E2889" s="1337">
        <v>2400</v>
      </c>
      <c r="F2889" s="1338" t="s">
        <v>8712</v>
      </c>
      <c r="G2889" s="1335" t="s">
        <v>8713</v>
      </c>
      <c r="H2889" s="1335" t="s">
        <v>4935</v>
      </c>
      <c r="I2889" s="1338" t="s">
        <v>8714</v>
      </c>
      <c r="J2889" s="1338" t="s">
        <v>5043</v>
      </c>
      <c r="K2889" s="954">
        <v>43952</v>
      </c>
      <c r="L2889" s="416">
        <v>4</v>
      </c>
      <c r="M2889" s="1120">
        <v>8</v>
      </c>
      <c r="N2889" s="1339">
        <f t="shared" si="78"/>
        <v>19200</v>
      </c>
      <c r="O2889" s="416">
        <v>9</v>
      </c>
      <c r="P2889" s="1340">
        <f t="shared" si="79"/>
        <v>21600</v>
      </c>
    </row>
    <row r="2890" spans="1:16" ht="36" x14ac:dyDescent="0.2">
      <c r="A2890" s="1336">
        <v>403</v>
      </c>
      <c r="B2890" s="1335" t="s">
        <v>3782</v>
      </c>
      <c r="C2890" s="1336" t="s">
        <v>8679</v>
      </c>
      <c r="D2890" s="1335" t="s">
        <v>3112</v>
      </c>
      <c r="E2890" s="1337">
        <v>1300</v>
      </c>
      <c r="F2890" s="1338" t="s">
        <v>8715</v>
      </c>
      <c r="G2890" s="1335" t="s">
        <v>8716</v>
      </c>
      <c r="H2890" s="1335" t="s">
        <v>3134</v>
      </c>
      <c r="I2890" s="1338" t="s">
        <v>8682</v>
      </c>
      <c r="J2890" s="1338" t="s">
        <v>5043</v>
      </c>
      <c r="K2890" s="954">
        <v>44075</v>
      </c>
      <c r="L2890" s="416">
        <v>2</v>
      </c>
      <c r="M2890" s="1120">
        <v>4</v>
      </c>
      <c r="N2890" s="1339">
        <f t="shared" si="78"/>
        <v>5200</v>
      </c>
      <c r="O2890" s="416">
        <v>9</v>
      </c>
      <c r="P2890" s="1340">
        <f t="shared" si="79"/>
        <v>11700</v>
      </c>
    </row>
    <row r="2891" spans="1:16" ht="48" x14ac:dyDescent="0.2">
      <c r="A2891" s="1336">
        <v>403</v>
      </c>
      <c r="B2891" s="1335" t="s">
        <v>8683</v>
      </c>
      <c r="C2891" s="1336" t="s">
        <v>8679</v>
      </c>
      <c r="D2891" s="1335" t="s">
        <v>5043</v>
      </c>
      <c r="E2891" s="1337">
        <v>2500</v>
      </c>
      <c r="F2891" s="1338" t="s">
        <v>8717</v>
      </c>
      <c r="G2891" s="1335" t="s">
        <v>8718</v>
      </c>
      <c r="H2891" s="1335" t="s">
        <v>5043</v>
      </c>
      <c r="I2891" s="1338" t="s">
        <v>8682</v>
      </c>
      <c r="J2891" s="1338" t="s">
        <v>5043</v>
      </c>
      <c r="K2891" s="954">
        <v>44005</v>
      </c>
      <c r="L2891" s="416">
        <v>3</v>
      </c>
      <c r="M2891" s="1120">
        <v>7</v>
      </c>
      <c r="N2891" s="1339">
        <f t="shared" si="78"/>
        <v>17500</v>
      </c>
      <c r="O2891" s="416">
        <v>9</v>
      </c>
      <c r="P2891" s="1340">
        <f t="shared" si="79"/>
        <v>22500</v>
      </c>
    </row>
    <row r="2892" spans="1:16" ht="36" x14ac:dyDescent="0.2">
      <c r="A2892" s="1336">
        <v>403</v>
      </c>
      <c r="B2892" s="1335" t="s">
        <v>3782</v>
      </c>
      <c r="C2892" s="1336" t="s">
        <v>8679</v>
      </c>
      <c r="D2892" s="1335" t="s">
        <v>5043</v>
      </c>
      <c r="E2892" s="1337">
        <v>1300</v>
      </c>
      <c r="F2892" s="1338" t="s">
        <v>8719</v>
      </c>
      <c r="G2892" s="1335" t="s">
        <v>8720</v>
      </c>
      <c r="H2892" s="1335" t="s">
        <v>5043</v>
      </c>
      <c r="I2892" s="1338" t="s">
        <v>8682</v>
      </c>
      <c r="J2892" s="1338" t="s">
        <v>5043</v>
      </c>
      <c r="K2892" s="954">
        <v>43497</v>
      </c>
      <c r="L2892" s="416">
        <v>6</v>
      </c>
      <c r="M2892" s="1120">
        <v>12</v>
      </c>
      <c r="N2892" s="1339">
        <f t="shared" si="78"/>
        <v>15600</v>
      </c>
      <c r="O2892" s="416">
        <v>9</v>
      </c>
      <c r="P2892" s="1340">
        <f t="shared" si="79"/>
        <v>11700</v>
      </c>
    </row>
    <row r="2893" spans="1:16" ht="48" x14ac:dyDescent="0.2">
      <c r="A2893" s="1336">
        <v>403</v>
      </c>
      <c r="B2893" s="1335" t="s">
        <v>8683</v>
      </c>
      <c r="C2893" s="1336" t="s">
        <v>8679</v>
      </c>
      <c r="D2893" s="1335" t="s">
        <v>8693</v>
      </c>
      <c r="E2893" s="1337">
        <v>2000</v>
      </c>
      <c r="F2893" s="1338" t="s">
        <v>8721</v>
      </c>
      <c r="G2893" s="1335" t="s">
        <v>8722</v>
      </c>
      <c r="H2893" s="1335" t="s">
        <v>8693</v>
      </c>
      <c r="I2893" s="1338" t="s">
        <v>8687</v>
      </c>
      <c r="J2893" s="1338" t="s">
        <v>5043</v>
      </c>
      <c r="K2893" s="954">
        <v>44044</v>
      </c>
      <c r="L2893" s="416">
        <v>3</v>
      </c>
      <c r="M2893" s="1120">
        <v>5</v>
      </c>
      <c r="N2893" s="1339">
        <f t="shared" si="78"/>
        <v>10000</v>
      </c>
      <c r="O2893" s="416">
        <v>9</v>
      </c>
      <c r="P2893" s="1340">
        <f t="shared" si="79"/>
        <v>18000</v>
      </c>
    </row>
    <row r="2894" spans="1:16" ht="36" x14ac:dyDescent="0.2">
      <c r="A2894" s="1336">
        <v>403</v>
      </c>
      <c r="B2894" s="1335" t="s">
        <v>3782</v>
      </c>
      <c r="C2894" s="1336" t="s">
        <v>8679</v>
      </c>
      <c r="D2894" s="1335" t="s">
        <v>3112</v>
      </c>
      <c r="E2894" s="1337">
        <v>2000</v>
      </c>
      <c r="F2894" s="1338" t="s">
        <v>8723</v>
      </c>
      <c r="G2894" s="1335" t="s">
        <v>8724</v>
      </c>
      <c r="H2894" s="1335" t="s">
        <v>4877</v>
      </c>
      <c r="I2894" s="1338" t="s">
        <v>8682</v>
      </c>
      <c r="J2894" s="1338" t="s">
        <v>8725</v>
      </c>
      <c r="K2894" s="954">
        <v>44044</v>
      </c>
      <c r="L2894" s="416">
        <v>3</v>
      </c>
      <c r="M2894" s="1120">
        <v>5</v>
      </c>
      <c r="N2894" s="1339">
        <f t="shared" si="78"/>
        <v>10000</v>
      </c>
      <c r="O2894" s="416">
        <v>9</v>
      </c>
      <c r="P2894" s="1340">
        <f t="shared" si="79"/>
        <v>18000</v>
      </c>
    </row>
    <row r="2895" spans="1:16" ht="36" x14ac:dyDescent="0.2">
      <c r="A2895" s="1336">
        <v>403</v>
      </c>
      <c r="B2895" s="1335" t="s">
        <v>3782</v>
      </c>
      <c r="C2895" s="1336" t="s">
        <v>8679</v>
      </c>
      <c r="D2895" s="1335" t="s">
        <v>5043</v>
      </c>
      <c r="E2895" s="1337">
        <v>1300</v>
      </c>
      <c r="F2895" s="1338" t="s">
        <v>8726</v>
      </c>
      <c r="G2895" s="1335" t="s">
        <v>8727</v>
      </c>
      <c r="H2895" s="1335" t="s">
        <v>5043</v>
      </c>
      <c r="I2895" s="1338" t="s">
        <v>8682</v>
      </c>
      <c r="J2895" s="1338" t="s">
        <v>5043</v>
      </c>
      <c r="K2895" s="954">
        <v>44002</v>
      </c>
      <c r="L2895" s="416">
        <v>3</v>
      </c>
      <c r="M2895" s="1120">
        <v>7</v>
      </c>
      <c r="N2895" s="1339">
        <f t="shared" si="78"/>
        <v>9100</v>
      </c>
      <c r="O2895" s="416">
        <v>9</v>
      </c>
      <c r="P2895" s="1340">
        <f t="shared" si="79"/>
        <v>11700</v>
      </c>
    </row>
    <row r="2896" spans="1:16" ht="36" x14ac:dyDescent="0.2">
      <c r="A2896" s="1336">
        <v>403</v>
      </c>
      <c r="B2896" s="1335" t="s">
        <v>3782</v>
      </c>
      <c r="C2896" s="1336" t="s">
        <v>8679</v>
      </c>
      <c r="D2896" s="1335" t="s">
        <v>3387</v>
      </c>
      <c r="E2896" s="1337">
        <v>2400</v>
      </c>
      <c r="F2896" s="1338" t="s">
        <v>8728</v>
      </c>
      <c r="G2896" s="1335" t="s">
        <v>8729</v>
      </c>
      <c r="H2896" s="1335" t="s">
        <v>561</v>
      </c>
      <c r="I2896" s="1338" t="s">
        <v>8692</v>
      </c>
      <c r="J2896" s="1338" t="s">
        <v>5043</v>
      </c>
      <c r="K2896" s="954">
        <v>42370</v>
      </c>
      <c r="L2896" s="416">
        <v>6</v>
      </c>
      <c r="M2896" s="1120">
        <v>12</v>
      </c>
      <c r="N2896" s="1339">
        <f t="shared" si="78"/>
        <v>28800</v>
      </c>
      <c r="O2896" s="416">
        <v>9</v>
      </c>
      <c r="P2896" s="1340">
        <f t="shared" si="79"/>
        <v>21600</v>
      </c>
    </row>
    <row r="2897" spans="1:16" ht="36" x14ac:dyDescent="0.2">
      <c r="A2897" s="1336">
        <v>403</v>
      </c>
      <c r="B2897" s="1335" t="s">
        <v>3782</v>
      </c>
      <c r="C2897" s="1336" t="s">
        <v>8679</v>
      </c>
      <c r="D2897" s="1335" t="s">
        <v>3112</v>
      </c>
      <c r="E2897" s="1337">
        <v>1200</v>
      </c>
      <c r="F2897" s="1338" t="s">
        <v>8730</v>
      </c>
      <c r="G2897" s="1335" t="s">
        <v>8731</v>
      </c>
      <c r="H2897" s="1335" t="s">
        <v>8732</v>
      </c>
      <c r="I2897" s="1338" t="s">
        <v>8682</v>
      </c>
      <c r="J2897" s="1338" t="s">
        <v>5043</v>
      </c>
      <c r="K2897" s="954">
        <v>43922</v>
      </c>
      <c r="L2897" s="416">
        <v>4</v>
      </c>
      <c r="M2897" s="1120">
        <v>9</v>
      </c>
      <c r="N2897" s="1339">
        <f t="shared" si="78"/>
        <v>10800</v>
      </c>
      <c r="O2897" s="416">
        <v>9</v>
      </c>
      <c r="P2897" s="1340">
        <f t="shared" si="79"/>
        <v>10800</v>
      </c>
    </row>
    <row r="2898" spans="1:16" ht="48" x14ac:dyDescent="0.2">
      <c r="A2898" s="1336">
        <v>403</v>
      </c>
      <c r="B2898" s="1335" t="s">
        <v>8683</v>
      </c>
      <c r="C2898" s="1336" t="s">
        <v>8679</v>
      </c>
      <c r="D2898" s="1335" t="s">
        <v>5106</v>
      </c>
      <c r="E2898" s="1337">
        <v>1333.33</v>
      </c>
      <c r="F2898" s="1338" t="s">
        <v>8733</v>
      </c>
      <c r="G2898" s="1335" t="s">
        <v>8734</v>
      </c>
      <c r="H2898" s="1335" t="s">
        <v>5106</v>
      </c>
      <c r="I2898" s="1338" t="s">
        <v>8692</v>
      </c>
      <c r="J2898" s="1338" t="s">
        <v>5043</v>
      </c>
      <c r="K2898" s="954">
        <v>44046</v>
      </c>
      <c r="L2898" s="416">
        <v>3</v>
      </c>
      <c r="M2898" s="1120">
        <v>5</v>
      </c>
      <c r="N2898" s="1339">
        <f t="shared" si="78"/>
        <v>6666.65</v>
      </c>
      <c r="O2898" s="416">
        <v>9</v>
      </c>
      <c r="P2898" s="1340">
        <f t="shared" si="79"/>
        <v>11999.97</v>
      </c>
    </row>
    <row r="2899" spans="1:16" ht="36" x14ac:dyDescent="0.2">
      <c r="A2899" s="1336">
        <v>403</v>
      </c>
      <c r="B2899" s="1335" t="s">
        <v>3782</v>
      </c>
      <c r="C2899" s="1336" t="s">
        <v>8679</v>
      </c>
      <c r="D2899" s="1335" t="s">
        <v>5043</v>
      </c>
      <c r="E2899" s="1337">
        <v>1200</v>
      </c>
      <c r="F2899" s="1338" t="s">
        <v>8735</v>
      </c>
      <c r="G2899" s="1335" t="s">
        <v>8736</v>
      </c>
      <c r="H2899" s="1335" t="s">
        <v>5043</v>
      </c>
      <c r="I2899" s="1338" t="s">
        <v>8682</v>
      </c>
      <c r="J2899" s="1338" t="s">
        <v>5043</v>
      </c>
      <c r="K2899" s="954">
        <v>44015</v>
      </c>
      <c r="L2899" s="416">
        <v>3</v>
      </c>
      <c r="M2899" s="1120">
        <v>6</v>
      </c>
      <c r="N2899" s="1339">
        <f t="shared" si="78"/>
        <v>7200</v>
      </c>
      <c r="O2899" s="416">
        <v>9</v>
      </c>
      <c r="P2899" s="1340">
        <f t="shared" si="79"/>
        <v>10800</v>
      </c>
    </row>
    <row r="2900" spans="1:16" ht="48" x14ac:dyDescent="0.2">
      <c r="A2900" s="1336">
        <v>403</v>
      </c>
      <c r="B2900" s="1335" t="s">
        <v>8683</v>
      </c>
      <c r="C2900" s="1336" t="s">
        <v>8679</v>
      </c>
      <c r="D2900" s="1335" t="s">
        <v>566</v>
      </c>
      <c r="E2900" s="1337">
        <v>5000</v>
      </c>
      <c r="F2900" s="1338" t="s">
        <v>8737</v>
      </c>
      <c r="G2900" s="1335" t="s">
        <v>8738</v>
      </c>
      <c r="H2900" s="1335" t="s">
        <v>566</v>
      </c>
      <c r="I2900" s="1338" t="s">
        <v>8692</v>
      </c>
      <c r="J2900" s="1338" t="s">
        <v>5043</v>
      </c>
      <c r="K2900" s="954">
        <v>44137</v>
      </c>
      <c r="L2900" s="416">
        <v>1</v>
      </c>
      <c r="M2900" s="1120">
        <v>2</v>
      </c>
      <c r="N2900" s="1339">
        <f t="shared" si="78"/>
        <v>10000</v>
      </c>
      <c r="O2900" s="416">
        <v>9</v>
      </c>
      <c r="P2900" s="1340">
        <f t="shared" si="79"/>
        <v>45000</v>
      </c>
    </row>
    <row r="2901" spans="1:16" ht="36" x14ac:dyDescent="0.2">
      <c r="A2901" s="1336">
        <v>403</v>
      </c>
      <c r="B2901" s="1335" t="s">
        <v>3782</v>
      </c>
      <c r="C2901" s="1336" t="s">
        <v>8679</v>
      </c>
      <c r="D2901" s="1335" t="s">
        <v>3100</v>
      </c>
      <c r="E2901" s="1337">
        <v>1100</v>
      </c>
      <c r="F2901" s="1338" t="s">
        <v>8739</v>
      </c>
      <c r="G2901" s="1335" t="s">
        <v>8740</v>
      </c>
      <c r="H2901" s="1335" t="s">
        <v>3134</v>
      </c>
      <c r="I2901" s="1338" t="s">
        <v>8682</v>
      </c>
      <c r="J2901" s="1338" t="s">
        <v>5043</v>
      </c>
      <c r="K2901" s="954">
        <v>43922</v>
      </c>
      <c r="L2901" s="416">
        <v>4</v>
      </c>
      <c r="M2901" s="1120">
        <v>9</v>
      </c>
      <c r="N2901" s="1339">
        <f t="shared" si="78"/>
        <v>9900</v>
      </c>
      <c r="O2901" s="416">
        <v>9</v>
      </c>
      <c r="P2901" s="1340">
        <f t="shared" si="79"/>
        <v>9900</v>
      </c>
    </row>
    <row r="2902" spans="1:16" ht="36" x14ac:dyDescent="0.2">
      <c r="A2902" s="1336">
        <v>403</v>
      </c>
      <c r="B2902" s="1335" t="s">
        <v>3782</v>
      </c>
      <c r="C2902" s="1336" t="s">
        <v>8679</v>
      </c>
      <c r="D2902" s="1335" t="s">
        <v>5106</v>
      </c>
      <c r="E2902" s="1337">
        <v>2300</v>
      </c>
      <c r="F2902" s="1338" t="s">
        <v>8741</v>
      </c>
      <c r="G2902" s="1335" t="s">
        <v>8742</v>
      </c>
      <c r="H2902" s="1335" t="s">
        <v>5106</v>
      </c>
      <c r="I2902" s="1338" t="s">
        <v>8692</v>
      </c>
      <c r="J2902" s="1338" t="s">
        <v>5043</v>
      </c>
      <c r="K2902" s="954">
        <v>42560</v>
      </c>
      <c r="L2902" s="416">
        <v>6</v>
      </c>
      <c r="M2902" s="1120">
        <v>12</v>
      </c>
      <c r="N2902" s="1339">
        <f t="shared" si="78"/>
        <v>27600</v>
      </c>
      <c r="O2902" s="416">
        <v>9</v>
      </c>
      <c r="P2902" s="1340">
        <f t="shared" si="79"/>
        <v>20700</v>
      </c>
    </row>
    <row r="2903" spans="1:16" ht="48" x14ac:dyDescent="0.2">
      <c r="A2903" s="1336">
        <v>403</v>
      </c>
      <c r="B2903" s="1335" t="s">
        <v>8683</v>
      </c>
      <c r="C2903" s="1336" t="s">
        <v>8679</v>
      </c>
      <c r="D2903" s="1335" t="s">
        <v>8743</v>
      </c>
      <c r="E2903" s="1337">
        <v>5000</v>
      </c>
      <c r="F2903" s="1338" t="s">
        <v>8744</v>
      </c>
      <c r="G2903" s="1335" t="s">
        <v>8745</v>
      </c>
      <c r="H2903" s="1335" t="s">
        <v>8743</v>
      </c>
      <c r="I2903" s="1338" t="s">
        <v>8692</v>
      </c>
      <c r="J2903" s="1338" t="s">
        <v>5043</v>
      </c>
      <c r="K2903" s="954">
        <v>43922</v>
      </c>
      <c r="L2903" s="416">
        <v>4</v>
      </c>
      <c r="M2903" s="1120">
        <v>9</v>
      </c>
      <c r="N2903" s="1339">
        <f t="shared" si="78"/>
        <v>45000</v>
      </c>
      <c r="O2903" s="416">
        <v>9</v>
      </c>
      <c r="P2903" s="1340">
        <f t="shared" si="79"/>
        <v>45000</v>
      </c>
    </row>
    <row r="2904" spans="1:16" ht="48" x14ac:dyDescent="0.2">
      <c r="A2904" s="1336">
        <v>403</v>
      </c>
      <c r="B2904" s="1335" t="s">
        <v>8683</v>
      </c>
      <c r="C2904" s="1336" t="s">
        <v>8679</v>
      </c>
      <c r="D2904" s="1335" t="s">
        <v>580</v>
      </c>
      <c r="E2904" s="1337">
        <v>2500</v>
      </c>
      <c r="F2904" s="1338" t="s">
        <v>8746</v>
      </c>
      <c r="G2904" s="1335" t="s">
        <v>8747</v>
      </c>
      <c r="H2904" s="1335" t="s">
        <v>580</v>
      </c>
      <c r="I2904" s="1338" t="s">
        <v>8682</v>
      </c>
      <c r="J2904" s="1338" t="s">
        <v>580</v>
      </c>
      <c r="K2904" s="954">
        <v>44004</v>
      </c>
      <c r="L2904" s="416">
        <v>3</v>
      </c>
      <c r="M2904" s="1120">
        <v>7</v>
      </c>
      <c r="N2904" s="1339">
        <f t="shared" si="78"/>
        <v>17500</v>
      </c>
      <c r="O2904" s="416">
        <v>9</v>
      </c>
      <c r="P2904" s="1340">
        <f t="shared" si="79"/>
        <v>22500</v>
      </c>
    </row>
    <row r="2905" spans="1:16" ht="36" x14ac:dyDescent="0.2">
      <c r="A2905" s="1336">
        <v>403</v>
      </c>
      <c r="B2905" s="1335" t="s">
        <v>3782</v>
      </c>
      <c r="C2905" s="1336" t="s">
        <v>8679</v>
      </c>
      <c r="D2905" s="1335" t="s">
        <v>3164</v>
      </c>
      <c r="E2905" s="1337">
        <v>1100</v>
      </c>
      <c r="F2905" s="1338" t="s">
        <v>8748</v>
      </c>
      <c r="G2905" s="1335" t="s">
        <v>8749</v>
      </c>
      <c r="H2905" s="1335" t="s">
        <v>3164</v>
      </c>
      <c r="I2905" s="1338" t="s">
        <v>8687</v>
      </c>
      <c r="J2905" s="1338" t="s">
        <v>5043</v>
      </c>
      <c r="K2905" s="954">
        <v>43922</v>
      </c>
      <c r="L2905" s="416">
        <v>4</v>
      </c>
      <c r="M2905" s="1120">
        <v>9</v>
      </c>
      <c r="N2905" s="1339">
        <f t="shared" si="78"/>
        <v>9900</v>
      </c>
      <c r="O2905" s="416">
        <v>9</v>
      </c>
      <c r="P2905" s="1340">
        <f t="shared" si="79"/>
        <v>9900</v>
      </c>
    </row>
    <row r="2906" spans="1:16" ht="36" x14ac:dyDescent="0.2">
      <c r="A2906" s="1336">
        <v>403</v>
      </c>
      <c r="B2906" s="1335" t="s">
        <v>3782</v>
      </c>
      <c r="C2906" s="1336" t="s">
        <v>8679</v>
      </c>
      <c r="D2906" s="1335" t="s">
        <v>5433</v>
      </c>
      <c r="E2906" s="1337">
        <v>2800</v>
      </c>
      <c r="F2906" s="1338" t="s">
        <v>8750</v>
      </c>
      <c r="G2906" s="1335" t="s">
        <v>8751</v>
      </c>
      <c r="H2906" s="1335" t="s">
        <v>5433</v>
      </c>
      <c r="I2906" s="1338" t="s">
        <v>8692</v>
      </c>
      <c r="J2906" s="1338" t="s">
        <v>5043</v>
      </c>
      <c r="K2906" s="954">
        <v>44105</v>
      </c>
      <c r="L2906" s="416">
        <v>2</v>
      </c>
      <c r="M2906" s="1120">
        <v>3</v>
      </c>
      <c r="N2906" s="1339">
        <f t="shared" si="78"/>
        <v>8400</v>
      </c>
      <c r="O2906" s="416">
        <v>9</v>
      </c>
      <c r="P2906" s="1340">
        <f t="shared" si="79"/>
        <v>25200</v>
      </c>
    </row>
    <row r="2907" spans="1:16" ht="48" x14ac:dyDescent="0.2">
      <c r="A2907" s="1336">
        <v>403</v>
      </c>
      <c r="B2907" s="1335" t="s">
        <v>8683</v>
      </c>
      <c r="C2907" s="1336" t="s">
        <v>8679</v>
      </c>
      <c r="D2907" s="1335" t="s">
        <v>5043</v>
      </c>
      <c r="E2907" s="1337">
        <v>2500</v>
      </c>
      <c r="F2907" s="1338" t="s">
        <v>8752</v>
      </c>
      <c r="G2907" s="1335" t="s">
        <v>8753</v>
      </c>
      <c r="H2907" s="1335" t="s">
        <v>5043</v>
      </c>
      <c r="I2907" s="1338" t="s">
        <v>8682</v>
      </c>
      <c r="J2907" s="1338" t="s">
        <v>5043</v>
      </c>
      <c r="K2907" s="954">
        <v>43922</v>
      </c>
      <c r="L2907" s="416">
        <v>4</v>
      </c>
      <c r="M2907" s="1120">
        <v>9</v>
      </c>
      <c r="N2907" s="1339">
        <f t="shared" si="78"/>
        <v>22500</v>
      </c>
      <c r="O2907" s="416">
        <v>9</v>
      </c>
      <c r="P2907" s="1340">
        <f t="shared" si="79"/>
        <v>22500</v>
      </c>
    </row>
    <row r="2908" spans="1:16" ht="48" x14ac:dyDescent="0.2">
      <c r="A2908" s="1336">
        <v>403</v>
      </c>
      <c r="B2908" s="1335" t="s">
        <v>8683</v>
      </c>
      <c r="C2908" s="1336" t="s">
        <v>8679</v>
      </c>
      <c r="D2908" s="1335" t="s">
        <v>8693</v>
      </c>
      <c r="E2908" s="1337">
        <v>2000</v>
      </c>
      <c r="F2908" s="1338" t="s">
        <v>8754</v>
      </c>
      <c r="G2908" s="1335" t="s">
        <v>8755</v>
      </c>
      <c r="H2908" s="1335" t="s">
        <v>8693</v>
      </c>
      <c r="I2908" s="1338" t="s">
        <v>8687</v>
      </c>
      <c r="J2908" s="1338" t="s">
        <v>5043</v>
      </c>
      <c r="K2908" s="954">
        <v>43922</v>
      </c>
      <c r="L2908" s="416">
        <v>4</v>
      </c>
      <c r="M2908" s="1120">
        <v>9</v>
      </c>
      <c r="N2908" s="1339">
        <f t="shared" si="78"/>
        <v>18000</v>
      </c>
      <c r="O2908" s="416">
        <v>9</v>
      </c>
      <c r="P2908" s="1340">
        <f t="shared" si="79"/>
        <v>18000</v>
      </c>
    </row>
    <row r="2909" spans="1:16" ht="36" x14ac:dyDescent="0.2">
      <c r="A2909" s="1336">
        <v>403</v>
      </c>
      <c r="B2909" s="1335" t="s">
        <v>3782</v>
      </c>
      <c r="C2909" s="1336" t="s">
        <v>8679</v>
      </c>
      <c r="D2909" s="1335" t="s">
        <v>5084</v>
      </c>
      <c r="E2909" s="1337">
        <v>1200</v>
      </c>
      <c r="F2909" s="1338" t="s">
        <v>8756</v>
      </c>
      <c r="G2909" s="1335" t="s">
        <v>8757</v>
      </c>
      <c r="H2909" s="1335" t="s">
        <v>5084</v>
      </c>
      <c r="I2909" s="1338" t="s">
        <v>8687</v>
      </c>
      <c r="J2909" s="1338" t="s">
        <v>8704</v>
      </c>
      <c r="K2909" s="954">
        <v>43709</v>
      </c>
      <c r="L2909" s="416">
        <v>6</v>
      </c>
      <c r="M2909" s="1120">
        <v>12</v>
      </c>
      <c r="N2909" s="1339">
        <f t="shared" si="78"/>
        <v>14400</v>
      </c>
      <c r="O2909" s="416">
        <v>9</v>
      </c>
      <c r="P2909" s="1340">
        <f t="shared" si="79"/>
        <v>10800</v>
      </c>
    </row>
    <row r="2910" spans="1:16" ht="36" x14ac:dyDescent="0.2">
      <c r="A2910" s="1336">
        <v>403</v>
      </c>
      <c r="B2910" s="1335" t="s">
        <v>3782</v>
      </c>
      <c r="C2910" s="1336" t="s">
        <v>8679</v>
      </c>
      <c r="D2910" s="1335" t="s">
        <v>3112</v>
      </c>
      <c r="E2910" s="1337">
        <v>240</v>
      </c>
      <c r="F2910" s="1338" t="s">
        <v>8758</v>
      </c>
      <c r="G2910" s="1335" t="s">
        <v>8759</v>
      </c>
      <c r="H2910" s="1335" t="s">
        <v>3112</v>
      </c>
      <c r="I2910" s="1338" t="s">
        <v>8687</v>
      </c>
      <c r="J2910" s="1338" t="s">
        <v>5043</v>
      </c>
      <c r="K2910" s="954">
        <v>44151</v>
      </c>
      <c r="L2910" s="416">
        <v>1</v>
      </c>
      <c r="M2910" s="1120">
        <v>2</v>
      </c>
      <c r="N2910" s="1339">
        <f t="shared" si="78"/>
        <v>480</v>
      </c>
      <c r="O2910" s="416">
        <v>9</v>
      </c>
      <c r="P2910" s="1340">
        <f t="shared" si="79"/>
        <v>2160</v>
      </c>
    </row>
    <row r="2911" spans="1:16" ht="48" x14ac:dyDescent="0.2">
      <c r="A2911" s="1336">
        <v>403</v>
      </c>
      <c r="B2911" s="1335" t="s">
        <v>8683</v>
      </c>
      <c r="C2911" s="1336" t="s">
        <v>8679</v>
      </c>
      <c r="D2911" s="1335" t="s">
        <v>5043</v>
      </c>
      <c r="E2911" s="1337">
        <v>2500</v>
      </c>
      <c r="F2911" s="1338" t="s">
        <v>8760</v>
      </c>
      <c r="G2911" s="1335" t="s">
        <v>8761</v>
      </c>
      <c r="H2911" s="1335" t="s">
        <v>5043</v>
      </c>
      <c r="I2911" s="1338" t="s">
        <v>8682</v>
      </c>
      <c r="J2911" s="1338" t="s">
        <v>5043</v>
      </c>
      <c r="K2911" s="954">
        <v>44022</v>
      </c>
      <c r="L2911" s="416">
        <v>3</v>
      </c>
      <c r="M2911" s="1120">
        <v>6</v>
      </c>
      <c r="N2911" s="1339">
        <f t="shared" si="78"/>
        <v>15000</v>
      </c>
      <c r="O2911" s="416">
        <v>9</v>
      </c>
      <c r="P2911" s="1340">
        <f t="shared" si="79"/>
        <v>22500</v>
      </c>
    </row>
    <row r="2912" spans="1:16" ht="36" x14ac:dyDescent="0.2">
      <c r="A2912" s="1336">
        <v>403</v>
      </c>
      <c r="B2912" s="1335" t="s">
        <v>3782</v>
      </c>
      <c r="C2912" s="1336" t="s">
        <v>8679</v>
      </c>
      <c r="D2912" s="1335" t="s">
        <v>3112</v>
      </c>
      <c r="E2912" s="1337">
        <v>1800</v>
      </c>
      <c r="F2912" s="1338" t="s">
        <v>8762</v>
      </c>
      <c r="G2912" s="1335" t="s">
        <v>8763</v>
      </c>
      <c r="H2912" s="1335" t="s">
        <v>8764</v>
      </c>
      <c r="I2912" s="1338" t="s">
        <v>8692</v>
      </c>
      <c r="J2912" s="1338" t="s">
        <v>5043</v>
      </c>
      <c r="K2912" s="954">
        <v>44028</v>
      </c>
      <c r="L2912" s="416">
        <v>3</v>
      </c>
      <c r="M2912" s="1120">
        <v>6</v>
      </c>
      <c r="N2912" s="1339">
        <f t="shared" si="78"/>
        <v>10800</v>
      </c>
      <c r="O2912" s="416">
        <v>9</v>
      </c>
      <c r="P2912" s="1340">
        <f t="shared" si="79"/>
        <v>16200</v>
      </c>
    </row>
    <row r="2913" spans="1:16" ht="48" x14ac:dyDescent="0.2">
      <c r="A2913" s="1336">
        <v>403</v>
      </c>
      <c r="B2913" s="1335" t="s">
        <v>8683</v>
      </c>
      <c r="C2913" s="1336" t="s">
        <v>8679</v>
      </c>
      <c r="D2913" s="1335" t="s">
        <v>5043</v>
      </c>
      <c r="E2913" s="1337">
        <v>2500</v>
      </c>
      <c r="F2913" s="1338" t="s">
        <v>8765</v>
      </c>
      <c r="G2913" s="1335" t="s">
        <v>8766</v>
      </c>
      <c r="H2913" s="1335" t="s">
        <v>5043</v>
      </c>
      <c r="I2913" s="1338" t="s">
        <v>8682</v>
      </c>
      <c r="J2913" s="1338" t="s">
        <v>5043</v>
      </c>
      <c r="K2913" s="954">
        <v>43709</v>
      </c>
      <c r="L2913" s="416">
        <v>6</v>
      </c>
      <c r="M2913" s="1120">
        <v>12</v>
      </c>
      <c r="N2913" s="1339">
        <f t="shared" si="78"/>
        <v>30000</v>
      </c>
      <c r="O2913" s="416">
        <v>9</v>
      </c>
      <c r="P2913" s="1340">
        <f t="shared" si="79"/>
        <v>22500</v>
      </c>
    </row>
    <row r="2914" spans="1:16" ht="36" x14ac:dyDescent="0.2">
      <c r="A2914" s="1336">
        <v>403</v>
      </c>
      <c r="B2914" s="1335" t="s">
        <v>3782</v>
      </c>
      <c r="C2914" s="1336" t="s">
        <v>8679</v>
      </c>
      <c r="D2914" s="1335" t="s">
        <v>5043</v>
      </c>
      <c r="E2914" s="1337">
        <v>1300</v>
      </c>
      <c r="F2914" s="1338" t="s">
        <v>8767</v>
      </c>
      <c r="G2914" s="1335" t="s">
        <v>8768</v>
      </c>
      <c r="H2914" s="1335" t="s">
        <v>5043</v>
      </c>
      <c r="I2914" s="1338" t="s">
        <v>8682</v>
      </c>
      <c r="J2914" s="1338" t="s">
        <v>5043</v>
      </c>
      <c r="K2914" s="954">
        <v>44075</v>
      </c>
      <c r="L2914" s="416">
        <v>2</v>
      </c>
      <c r="M2914" s="1120">
        <v>4</v>
      </c>
      <c r="N2914" s="1339">
        <f t="shared" si="78"/>
        <v>5200</v>
      </c>
      <c r="O2914" s="416">
        <v>9</v>
      </c>
      <c r="P2914" s="1340">
        <f t="shared" si="79"/>
        <v>11700</v>
      </c>
    </row>
    <row r="2915" spans="1:16" ht="36" x14ac:dyDescent="0.2">
      <c r="A2915" s="1336">
        <v>403</v>
      </c>
      <c r="B2915" s="1335" t="s">
        <v>3782</v>
      </c>
      <c r="C2915" s="1336" t="s">
        <v>8679</v>
      </c>
      <c r="D2915" s="1335" t="s">
        <v>7759</v>
      </c>
      <c r="E2915" s="1337">
        <v>4800</v>
      </c>
      <c r="F2915" s="1338" t="s">
        <v>8769</v>
      </c>
      <c r="G2915" s="1335" t="s">
        <v>8770</v>
      </c>
      <c r="H2915" s="1335" t="s">
        <v>7759</v>
      </c>
      <c r="I2915" s="1338" t="s">
        <v>8692</v>
      </c>
      <c r="J2915" s="1338" t="s">
        <v>5043</v>
      </c>
      <c r="K2915" s="954">
        <v>41883</v>
      </c>
      <c r="L2915" s="416">
        <v>6</v>
      </c>
      <c r="M2915" s="1120">
        <v>12</v>
      </c>
      <c r="N2915" s="1339">
        <f t="shared" si="78"/>
        <v>57600</v>
      </c>
      <c r="O2915" s="416">
        <v>9</v>
      </c>
      <c r="P2915" s="1340">
        <f t="shared" si="79"/>
        <v>43200</v>
      </c>
    </row>
    <row r="2916" spans="1:16" ht="36" x14ac:dyDescent="0.2">
      <c r="A2916" s="1336">
        <v>403</v>
      </c>
      <c r="B2916" s="1335" t="s">
        <v>3782</v>
      </c>
      <c r="C2916" s="1336" t="s">
        <v>8679</v>
      </c>
      <c r="D2916" s="1335" t="s">
        <v>8743</v>
      </c>
      <c r="E2916" s="1337">
        <v>2300</v>
      </c>
      <c r="F2916" s="1338" t="s">
        <v>8771</v>
      </c>
      <c r="G2916" s="1335" t="s">
        <v>8772</v>
      </c>
      <c r="H2916" s="1335" t="s">
        <v>8743</v>
      </c>
      <c r="I2916" s="1338" t="s">
        <v>8692</v>
      </c>
      <c r="J2916" s="1338" t="s">
        <v>5043</v>
      </c>
      <c r="K2916" s="954">
        <v>42522</v>
      </c>
      <c r="L2916" s="416">
        <v>6</v>
      </c>
      <c r="M2916" s="1120">
        <v>12</v>
      </c>
      <c r="N2916" s="1339">
        <f t="shared" si="78"/>
        <v>27600</v>
      </c>
      <c r="O2916" s="416">
        <v>9</v>
      </c>
      <c r="P2916" s="1340">
        <f t="shared" si="79"/>
        <v>20700</v>
      </c>
    </row>
    <row r="2917" spans="1:16" ht="36" x14ac:dyDescent="0.2">
      <c r="A2917" s="1336">
        <v>403</v>
      </c>
      <c r="B2917" s="1335" t="s">
        <v>3782</v>
      </c>
      <c r="C2917" s="1336" t="s">
        <v>8679</v>
      </c>
      <c r="D2917" s="1335" t="s">
        <v>3187</v>
      </c>
      <c r="E2917" s="1337">
        <v>1100</v>
      </c>
      <c r="F2917" s="1338" t="s">
        <v>8773</v>
      </c>
      <c r="G2917" s="1335" t="s">
        <v>8774</v>
      </c>
      <c r="H2917" s="1335" t="s">
        <v>3187</v>
      </c>
      <c r="I2917" s="1338" t="s">
        <v>8687</v>
      </c>
      <c r="J2917" s="1338" t="s">
        <v>3187</v>
      </c>
      <c r="K2917" s="954">
        <v>43922</v>
      </c>
      <c r="L2917" s="416">
        <v>4</v>
      </c>
      <c r="M2917" s="1120">
        <v>9</v>
      </c>
      <c r="N2917" s="1339">
        <f t="shared" si="78"/>
        <v>9900</v>
      </c>
      <c r="O2917" s="416">
        <v>9</v>
      </c>
      <c r="P2917" s="1340">
        <f t="shared" si="79"/>
        <v>9900</v>
      </c>
    </row>
    <row r="2918" spans="1:16" ht="36" x14ac:dyDescent="0.2">
      <c r="A2918" s="1336">
        <v>403</v>
      </c>
      <c r="B2918" s="1335" t="s">
        <v>3782</v>
      </c>
      <c r="C2918" s="1336" t="s">
        <v>8679</v>
      </c>
      <c r="D2918" s="1335" t="s">
        <v>3100</v>
      </c>
      <c r="E2918" s="1337">
        <v>1300</v>
      </c>
      <c r="F2918" s="1338" t="s">
        <v>8775</v>
      </c>
      <c r="G2918" s="1335" t="s">
        <v>8776</v>
      </c>
      <c r="H2918" s="1335" t="s">
        <v>3112</v>
      </c>
      <c r="I2918" s="1338" t="s">
        <v>8687</v>
      </c>
      <c r="J2918" s="1338" t="s">
        <v>8725</v>
      </c>
      <c r="K2918" s="954">
        <v>43922</v>
      </c>
      <c r="L2918" s="416">
        <v>4</v>
      </c>
      <c r="M2918" s="1120">
        <v>9</v>
      </c>
      <c r="N2918" s="1339">
        <f t="shared" si="78"/>
        <v>11700</v>
      </c>
      <c r="O2918" s="416">
        <v>9</v>
      </c>
      <c r="P2918" s="1340">
        <f t="shared" si="79"/>
        <v>11700</v>
      </c>
    </row>
    <row r="2919" spans="1:16" ht="36" x14ac:dyDescent="0.2">
      <c r="A2919" s="1336">
        <v>403</v>
      </c>
      <c r="B2919" s="1335" t="s">
        <v>3782</v>
      </c>
      <c r="C2919" s="1336" t="s">
        <v>8679</v>
      </c>
      <c r="D2919" s="1335" t="s">
        <v>8777</v>
      </c>
      <c r="E2919" s="1337">
        <v>1400</v>
      </c>
      <c r="F2919" s="1338" t="s">
        <v>8778</v>
      </c>
      <c r="G2919" s="1335" t="s">
        <v>8779</v>
      </c>
      <c r="H2919" s="1335" t="s">
        <v>3621</v>
      </c>
      <c r="I2919" s="1338" t="s">
        <v>8692</v>
      </c>
      <c r="J2919" s="1338" t="s">
        <v>5043</v>
      </c>
      <c r="K2919" s="954">
        <v>43709</v>
      </c>
      <c r="L2919" s="416">
        <v>6</v>
      </c>
      <c r="M2919" s="1120">
        <v>12</v>
      </c>
      <c r="N2919" s="1339">
        <f t="shared" si="78"/>
        <v>16800</v>
      </c>
      <c r="O2919" s="416">
        <v>9</v>
      </c>
      <c r="P2919" s="1340">
        <f t="shared" si="79"/>
        <v>12600</v>
      </c>
    </row>
    <row r="2920" spans="1:16" ht="36" x14ac:dyDescent="0.2">
      <c r="A2920" s="1336">
        <v>403</v>
      </c>
      <c r="B2920" s="1335" t="s">
        <v>3782</v>
      </c>
      <c r="C2920" s="1336" t="s">
        <v>8679</v>
      </c>
      <c r="D2920" s="1335" t="s">
        <v>3100</v>
      </c>
      <c r="E2920" s="1337">
        <v>1100</v>
      </c>
      <c r="F2920" s="1338" t="s">
        <v>8780</v>
      </c>
      <c r="G2920" s="1335" t="s">
        <v>8781</v>
      </c>
      <c r="H2920" s="1335" t="s">
        <v>8782</v>
      </c>
      <c r="I2920" s="1338" t="s">
        <v>8682</v>
      </c>
      <c r="J2920" s="1338" t="s">
        <v>5043</v>
      </c>
      <c r="K2920" s="954">
        <v>41183</v>
      </c>
      <c r="L2920" s="416">
        <v>6</v>
      </c>
      <c r="M2920" s="1120">
        <v>12</v>
      </c>
      <c r="N2920" s="1339">
        <f t="shared" si="78"/>
        <v>13200</v>
      </c>
      <c r="O2920" s="416">
        <v>9</v>
      </c>
      <c r="P2920" s="1340">
        <f t="shared" si="79"/>
        <v>9900</v>
      </c>
    </row>
    <row r="2921" spans="1:16" ht="36" x14ac:dyDescent="0.2">
      <c r="A2921" s="1336">
        <v>403</v>
      </c>
      <c r="B2921" s="1335" t="s">
        <v>3782</v>
      </c>
      <c r="C2921" s="1336" t="s">
        <v>8679</v>
      </c>
      <c r="D2921" s="1335" t="s">
        <v>3100</v>
      </c>
      <c r="E2921" s="1337">
        <v>1800</v>
      </c>
      <c r="F2921" s="1338" t="s">
        <v>8783</v>
      </c>
      <c r="G2921" s="1335" t="s">
        <v>8784</v>
      </c>
      <c r="H2921" s="1335" t="s">
        <v>3603</v>
      </c>
      <c r="I2921" s="1338" t="s">
        <v>8714</v>
      </c>
      <c r="J2921" s="1338" t="s">
        <v>5043</v>
      </c>
      <c r="K2921" s="954">
        <v>43987</v>
      </c>
      <c r="L2921" s="416">
        <v>3</v>
      </c>
      <c r="M2921" s="1120">
        <v>7</v>
      </c>
      <c r="N2921" s="1339">
        <f t="shared" si="78"/>
        <v>12600</v>
      </c>
      <c r="O2921" s="416">
        <v>9</v>
      </c>
      <c r="P2921" s="1340">
        <f t="shared" si="79"/>
        <v>16200</v>
      </c>
    </row>
    <row r="2922" spans="1:16" ht="36" x14ac:dyDescent="0.2">
      <c r="A2922" s="1336">
        <v>403</v>
      </c>
      <c r="B2922" s="1335" t="s">
        <v>3782</v>
      </c>
      <c r="C2922" s="1336" t="s">
        <v>8679</v>
      </c>
      <c r="D2922" s="1335" t="s">
        <v>8785</v>
      </c>
      <c r="E2922" s="1337">
        <v>2000</v>
      </c>
      <c r="F2922" s="1338" t="s">
        <v>8786</v>
      </c>
      <c r="G2922" s="1335" t="s">
        <v>8787</v>
      </c>
      <c r="H2922" s="1335" t="s">
        <v>7579</v>
      </c>
      <c r="I2922" s="1338" t="s">
        <v>8682</v>
      </c>
      <c r="J2922" s="1338" t="s">
        <v>7579</v>
      </c>
      <c r="K2922" s="954">
        <v>41276</v>
      </c>
      <c r="L2922" s="416">
        <v>6</v>
      </c>
      <c r="M2922" s="1120">
        <v>12</v>
      </c>
      <c r="N2922" s="1339">
        <f t="shared" si="78"/>
        <v>24000</v>
      </c>
      <c r="O2922" s="416">
        <v>9</v>
      </c>
      <c r="P2922" s="1340">
        <f t="shared" si="79"/>
        <v>18000</v>
      </c>
    </row>
    <row r="2923" spans="1:16" ht="48" x14ac:dyDescent="0.2">
      <c r="A2923" s="1336">
        <v>403</v>
      </c>
      <c r="B2923" s="1335" t="s">
        <v>8683</v>
      </c>
      <c r="C2923" s="1336" t="s">
        <v>8679</v>
      </c>
      <c r="D2923" s="1335" t="s">
        <v>580</v>
      </c>
      <c r="E2923" s="1337">
        <v>2500</v>
      </c>
      <c r="F2923" s="1338" t="s">
        <v>8788</v>
      </c>
      <c r="G2923" s="1335" t="s">
        <v>8789</v>
      </c>
      <c r="H2923" s="1335" t="s">
        <v>580</v>
      </c>
      <c r="I2923" s="1338" t="s">
        <v>8682</v>
      </c>
      <c r="J2923" s="1338" t="s">
        <v>580</v>
      </c>
      <c r="K2923" s="954">
        <v>44060</v>
      </c>
      <c r="L2923" s="416">
        <v>3</v>
      </c>
      <c r="M2923" s="1120">
        <v>5</v>
      </c>
      <c r="N2923" s="1339">
        <f t="shared" si="78"/>
        <v>12500</v>
      </c>
      <c r="O2923" s="416">
        <v>9</v>
      </c>
      <c r="P2923" s="1340">
        <f t="shared" si="79"/>
        <v>22500</v>
      </c>
    </row>
    <row r="2924" spans="1:16" ht="48" x14ac:dyDescent="0.2">
      <c r="A2924" s="1336">
        <v>403</v>
      </c>
      <c r="B2924" s="1335" t="s">
        <v>8683</v>
      </c>
      <c r="C2924" s="1336" t="s">
        <v>8679</v>
      </c>
      <c r="D2924" s="1335" t="s">
        <v>5043</v>
      </c>
      <c r="E2924" s="1337">
        <v>2500</v>
      </c>
      <c r="F2924" s="1338" t="s">
        <v>8790</v>
      </c>
      <c r="G2924" s="1335" t="s">
        <v>8791</v>
      </c>
      <c r="H2924" s="1335" t="s">
        <v>8725</v>
      </c>
      <c r="I2924" s="1338" t="s">
        <v>8682</v>
      </c>
      <c r="J2924" s="1338" t="s">
        <v>5043</v>
      </c>
      <c r="K2924" s="954">
        <v>44003</v>
      </c>
      <c r="L2924" s="416">
        <v>3</v>
      </c>
      <c r="M2924" s="1120">
        <v>7</v>
      </c>
      <c r="N2924" s="1339">
        <f t="shared" si="78"/>
        <v>17500</v>
      </c>
      <c r="O2924" s="416">
        <v>9</v>
      </c>
      <c r="P2924" s="1340">
        <f t="shared" si="79"/>
        <v>22500</v>
      </c>
    </row>
    <row r="2925" spans="1:16" ht="48" x14ac:dyDescent="0.2">
      <c r="A2925" s="1336">
        <v>403</v>
      </c>
      <c r="B2925" s="1335" t="s">
        <v>8683</v>
      </c>
      <c r="C2925" s="1336" t="s">
        <v>8679</v>
      </c>
      <c r="D2925" s="1335" t="s">
        <v>8693</v>
      </c>
      <c r="E2925" s="1337">
        <v>2000</v>
      </c>
      <c r="F2925" s="1338" t="s">
        <v>8792</v>
      </c>
      <c r="G2925" s="1335" t="s">
        <v>8793</v>
      </c>
      <c r="H2925" s="1335" t="s">
        <v>8693</v>
      </c>
      <c r="I2925" s="1338" t="s">
        <v>8687</v>
      </c>
      <c r="J2925" s="1338" t="s">
        <v>5043</v>
      </c>
      <c r="K2925" s="954">
        <v>44020</v>
      </c>
      <c r="L2925" s="416">
        <v>3</v>
      </c>
      <c r="M2925" s="1120">
        <v>6</v>
      </c>
      <c r="N2925" s="1339">
        <f t="shared" si="78"/>
        <v>12000</v>
      </c>
      <c r="O2925" s="416">
        <v>9</v>
      </c>
      <c r="P2925" s="1340">
        <f t="shared" si="79"/>
        <v>18000</v>
      </c>
    </row>
    <row r="2926" spans="1:16" ht="36" x14ac:dyDescent="0.2">
      <c r="A2926" s="1336">
        <v>403</v>
      </c>
      <c r="B2926" s="1335" t="s">
        <v>3782</v>
      </c>
      <c r="C2926" s="1336" t="s">
        <v>8679</v>
      </c>
      <c r="D2926" s="1335" t="s">
        <v>5068</v>
      </c>
      <c r="E2926" s="1337">
        <v>1400</v>
      </c>
      <c r="F2926" s="1338" t="s">
        <v>8794</v>
      </c>
      <c r="G2926" s="1335" t="s">
        <v>8795</v>
      </c>
      <c r="H2926" s="1335" t="s">
        <v>5068</v>
      </c>
      <c r="I2926" s="1338" t="s">
        <v>8687</v>
      </c>
      <c r="J2926" s="1338" t="s">
        <v>5043</v>
      </c>
      <c r="K2926" s="954">
        <v>43862</v>
      </c>
      <c r="L2926" s="416">
        <v>6</v>
      </c>
      <c r="M2926" s="1120">
        <v>12</v>
      </c>
      <c r="N2926" s="1339">
        <f t="shared" si="78"/>
        <v>16800</v>
      </c>
      <c r="O2926" s="416">
        <v>9</v>
      </c>
      <c r="P2926" s="1340">
        <f t="shared" si="79"/>
        <v>12600</v>
      </c>
    </row>
    <row r="2927" spans="1:16" ht="36" x14ac:dyDescent="0.2">
      <c r="A2927" s="1336">
        <v>403</v>
      </c>
      <c r="B2927" s="1335" t="s">
        <v>3782</v>
      </c>
      <c r="C2927" s="1336" t="s">
        <v>8679</v>
      </c>
      <c r="D2927" s="1335" t="s">
        <v>3112</v>
      </c>
      <c r="E2927" s="1337">
        <v>1200</v>
      </c>
      <c r="F2927" s="1338" t="s">
        <v>8796</v>
      </c>
      <c r="G2927" s="1335" t="s">
        <v>8797</v>
      </c>
      <c r="H2927" s="1335" t="s">
        <v>3112</v>
      </c>
      <c r="I2927" s="1338" t="s">
        <v>8687</v>
      </c>
      <c r="J2927" s="1338" t="s">
        <v>5043</v>
      </c>
      <c r="K2927" s="954">
        <v>44075</v>
      </c>
      <c r="L2927" s="416">
        <v>2</v>
      </c>
      <c r="M2927" s="1120">
        <v>4</v>
      </c>
      <c r="N2927" s="1339">
        <f t="shared" si="78"/>
        <v>4800</v>
      </c>
      <c r="O2927" s="416">
        <v>9</v>
      </c>
      <c r="P2927" s="1340">
        <f t="shared" si="79"/>
        <v>10800</v>
      </c>
    </row>
    <row r="2928" spans="1:16" ht="48" x14ac:dyDescent="0.2">
      <c r="A2928" s="1336">
        <v>403</v>
      </c>
      <c r="B2928" s="1335" t="s">
        <v>8683</v>
      </c>
      <c r="C2928" s="1336" t="s">
        <v>8679</v>
      </c>
      <c r="D2928" s="1335" t="s">
        <v>5043</v>
      </c>
      <c r="E2928" s="1337">
        <v>2500</v>
      </c>
      <c r="F2928" s="1338" t="s">
        <v>8798</v>
      </c>
      <c r="G2928" s="1335" t="s">
        <v>8799</v>
      </c>
      <c r="H2928" s="1335" t="s">
        <v>5043</v>
      </c>
      <c r="I2928" s="1338" t="s">
        <v>8682</v>
      </c>
      <c r="J2928" s="1338" t="s">
        <v>5043</v>
      </c>
      <c r="K2928" s="954">
        <v>44062</v>
      </c>
      <c r="L2928" s="416">
        <v>3</v>
      </c>
      <c r="M2928" s="1120">
        <v>5</v>
      </c>
      <c r="N2928" s="1339">
        <f t="shared" si="78"/>
        <v>12500</v>
      </c>
      <c r="O2928" s="416">
        <v>9</v>
      </c>
      <c r="P2928" s="1340">
        <f t="shared" si="79"/>
        <v>22500</v>
      </c>
    </row>
    <row r="2929" spans="1:16" ht="36" x14ac:dyDescent="0.2">
      <c r="A2929" s="1336">
        <v>403</v>
      </c>
      <c r="B2929" s="1335" t="s">
        <v>3782</v>
      </c>
      <c r="C2929" s="1336" t="s">
        <v>8679</v>
      </c>
      <c r="D2929" s="1335" t="s">
        <v>3112</v>
      </c>
      <c r="E2929" s="1337">
        <v>1300</v>
      </c>
      <c r="F2929" s="1338" t="s">
        <v>8800</v>
      </c>
      <c r="G2929" s="1335" t="s">
        <v>8801</v>
      </c>
      <c r="H2929" s="1335" t="s">
        <v>3112</v>
      </c>
      <c r="I2929" s="1338" t="s">
        <v>8687</v>
      </c>
      <c r="J2929" s="1338" t="s">
        <v>5043</v>
      </c>
      <c r="K2929" s="954">
        <v>44075</v>
      </c>
      <c r="L2929" s="416">
        <v>2</v>
      </c>
      <c r="M2929" s="1120">
        <v>4</v>
      </c>
      <c r="N2929" s="1339">
        <f t="shared" si="78"/>
        <v>5200</v>
      </c>
      <c r="O2929" s="416">
        <v>9</v>
      </c>
      <c r="P2929" s="1340">
        <f t="shared" si="79"/>
        <v>11700</v>
      </c>
    </row>
    <row r="2930" spans="1:16" ht="48" x14ac:dyDescent="0.2">
      <c r="A2930" s="1336">
        <v>403</v>
      </c>
      <c r="B2930" s="1335" t="s">
        <v>8683</v>
      </c>
      <c r="C2930" s="1336" t="s">
        <v>8679</v>
      </c>
      <c r="D2930" s="1335" t="s">
        <v>486</v>
      </c>
      <c r="E2930" s="1337">
        <v>6000</v>
      </c>
      <c r="F2930" s="1338" t="s">
        <v>8802</v>
      </c>
      <c r="G2930" s="1335" t="s">
        <v>8803</v>
      </c>
      <c r="H2930" s="1335" t="s">
        <v>486</v>
      </c>
      <c r="I2930" s="1338" t="s">
        <v>8692</v>
      </c>
      <c r="J2930" s="1338" t="s">
        <v>5043</v>
      </c>
      <c r="K2930" s="954">
        <v>43709</v>
      </c>
      <c r="L2930" s="416">
        <v>6</v>
      </c>
      <c r="M2930" s="1120">
        <v>12</v>
      </c>
      <c r="N2930" s="1339">
        <f t="shared" si="78"/>
        <v>72000</v>
      </c>
      <c r="O2930" s="416">
        <v>9</v>
      </c>
      <c r="P2930" s="1340">
        <f t="shared" si="79"/>
        <v>54000</v>
      </c>
    </row>
    <row r="2931" spans="1:16" ht="36" x14ac:dyDescent="0.2">
      <c r="A2931" s="1336">
        <v>403</v>
      </c>
      <c r="B2931" s="1335" t="s">
        <v>3782</v>
      </c>
      <c r="C2931" s="1336" t="s">
        <v>8679</v>
      </c>
      <c r="D2931" s="1335" t="s">
        <v>5106</v>
      </c>
      <c r="E2931" s="1337">
        <v>2300</v>
      </c>
      <c r="F2931" s="1338" t="s">
        <v>8804</v>
      </c>
      <c r="G2931" s="1335" t="s">
        <v>8805</v>
      </c>
      <c r="H2931" s="1335" t="s">
        <v>5106</v>
      </c>
      <c r="I2931" s="1338" t="s">
        <v>8692</v>
      </c>
      <c r="J2931" s="1338" t="s">
        <v>5106</v>
      </c>
      <c r="K2931" s="954">
        <v>43160</v>
      </c>
      <c r="L2931" s="416">
        <v>6</v>
      </c>
      <c r="M2931" s="1120">
        <v>12</v>
      </c>
      <c r="N2931" s="1339">
        <f t="shared" si="78"/>
        <v>27600</v>
      </c>
      <c r="O2931" s="416">
        <v>9</v>
      </c>
      <c r="P2931" s="1340">
        <f t="shared" si="79"/>
        <v>20700</v>
      </c>
    </row>
    <row r="2932" spans="1:16" ht="48" x14ac:dyDescent="0.2">
      <c r="A2932" s="1336">
        <v>403</v>
      </c>
      <c r="B2932" s="1335" t="s">
        <v>8683</v>
      </c>
      <c r="C2932" s="1336" t="s">
        <v>8679</v>
      </c>
      <c r="D2932" s="1335" t="s">
        <v>5043</v>
      </c>
      <c r="E2932" s="1337">
        <v>2500</v>
      </c>
      <c r="F2932" s="1338" t="s">
        <v>8806</v>
      </c>
      <c r="G2932" s="1335" t="s">
        <v>8807</v>
      </c>
      <c r="H2932" s="1335" t="s">
        <v>5043</v>
      </c>
      <c r="I2932" s="1338" t="s">
        <v>8682</v>
      </c>
      <c r="J2932" s="1338" t="s">
        <v>5043</v>
      </c>
      <c r="K2932" s="954">
        <v>43922</v>
      </c>
      <c r="L2932" s="416">
        <v>4</v>
      </c>
      <c r="M2932" s="1120">
        <v>9</v>
      </c>
      <c r="N2932" s="1339">
        <f t="shared" si="78"/>
        <v>22500</v>
      </c>
      <c r="O2932" s="416">
        <v>9</v>
      </c>
      <c r="P2932" s="1340">
        <f t="shared" si="79"/>
        <v>22500</v>
      </c>
    </row>
    <row r="2933" spans="1:16" ht="48" x14ac:dyDescent="0.2">
      <c r="A2933" s="1336">
        <v>403</v>
      </c>
      <c r="B2933" s="1335" t="s">
        <v>8683</v>
      </c>
      <c r="C2933" s="1336" t="s">
        <v>8679</v>
      </c>
      <c r="D2933" s="1335" t="s">
        <v>5657</v>
      </c>
      <c r="E2933" s="1337">
        <v>1500</v>
      </c>
      <c r="F2933" s="1338" t="s">
        <v>8808</v>
      </c>
      <c r="G2933" s="1335" t="s">
        <v>8809</v>
      </c>
      <c r="H2933" s="1335" t="s">
        <v>5657</v>
      </c>
      <c r="I2933" s="1338" t="s">
        <v>8687</v>
      </c>
      <c r="J2933" s="1338" t="s">
        <v>5043</v>
      </c>
      <c r="K2933" s="954">
        <v>43922</v>
      </c>
      <c r="L2933" s="416">
        <v>4</v>
      </c>
      <c r="M2933" s="1120">
        <v>9</v>
      </c>
      <c r="N2933" s="1339">
        <f t="shared" si="78"/>
        <v>13500</v>
      </c>
      <c r="O2933" s="416">
        <v>9</v>
      </c>
      <c r="P2933" s="1340">
        <f t="shared" si="79"/>
        <v>13500</v>
      </c>
    </row>
    <row r="2934" spans="1:16" ht="36" x14ac:dyDescent="0.2">
      <c r="A2934" s="1336">
        <v>403</v>
      </c>
      <c r="B2934" s="1335" t="s">
        <v>3782</v>
      </c>
      <c r="C2934" s="1336" t="s">
        <v>8679</v>
      </c>
      <c r="D2934" s="1335" t="s">
        <v>3187</v>
      </c>
      <c r="E2934" s="1337">
        <v>1100</v>
      </c>
      <c r="F2934" s="1338" t="s">
        <v>8810</v>
      </c>
      <c r="G2934" s="1335" t="s">
        <v>8811</v>
      </c>
      <c r="H2934" s="1335" t="s">
        <v>3187</v>
      </c>
      <c r="I2934" s="1338" t="s">
        <v>8687</v>
      </c>
      <c r="J2934" s="1338" t="s">
        <v>3187</v>
      </c>
      <c r="K2934" s="954">
        <v>43922</v>
      </c>
      <c r="L2934" s="416">
        <v>4</v>
      </c>
      <c r="M2934" s="1120">
        <v>9</v>
      </c>
      <c r="N2934" s="1339">
        <f t="shared" si="78"/>
        <v>9900</v>
      </c>
      <c r="O2934" s="416">
        <v>9</v>
      </c>
      <c r="P2934" s="1340">
        <f t="shared" si="79"/>
        <v>9900</v>
      </c>
    </row>
    <row r="2935" spans="1:16" ht="36" x14ac:dyDescent="0.2">
      <c r="A2935" s="1336">
        <v>403</v>
      </c>
      <c r="B2935" s="1335" t="s">
        <v>3782</v>
      </c>
      <c r="C2935" s="1336" t="s">
        <v>8679</v>
      </c>
      <c r="D2935" s="1335" t="s">
        <v>3187</v>
      </c>
      <c r="E2935" s="1337">
        <v>1100</v>
      </c>
      <c r="F2935" s="1338" t="s">
        <v>8812</v>
      </c>
      <c r="G2935" s="1335" t="s">
        <v>8813</v>
      </c>
      <c r="H2935" s="1335" t="s">
        <v>3187</v>
      </c>
      <c r="I2935" s="1338" t="s">
        <v>8687</v>
      </c>
      <c r="J2935" s="1338" t="s">
        <v>3187</v>
      </c>
      <c r="K2935" s="954">
        <v>43922</v>
      </c>
      <c r="L2935" s="416">
        <v>4</v>
      </c>
      <c r="M2935" s="1120">
        <v>9</v>
      </c>
      <c r="N2935" s="1339">
        <f t="shared" si="78"/>
        <v>9900</v>
      </c>
      <c r="O2935" s="416">
        <v>9</v>
      </c>
      <c r="P2935" s="1340">
        <f t="shared" si="79"/>
        <v>9900</v>
      </c>
    </row>
    <row r="2936" spans="1:16" ht="48" x14ac:dyDescent="0.2">
      <c r="A2936" s="1336">
        <v>403</v>
      </c>
      <c r="B2936" s="1335" t="s">
        <v>8683</v>
      </c>
      <c r="C2936" s="1336" t="s">
        <v>8679</v>
      </c>
      <c r="D2936" s="1335" t="s">
        <v>5043</v>
      </c>
      <c r="E2936" s="1337">
        <v>2500</v>
      </c>
      <c r="F2936" s="1338" t="s">
        <v>8814</v>
      </c>
      <c r="G2936" s="1335" t="s">
        <v>8815</v>
      </c>
      <c r="H2936" s="1335" t="s">
        <v>5043</v>
      </c>
      <c r="I2936" s="1338" t="s">
        <v>8682</v>
      </c>
      <c r="J2936" s="1338" t="s">
        <v>5043</v>
      </c>
      <c r="K2936" s="954">
        <v>43922</v>
      </c>
      <c r="L2936" s="416">
        <v>4</v>
      </c>
      <c r="M2936" s="1120">
        <v>9</v>
      </c>
      <c r="N2936" s="1339">
        <f t="shared" si="78"/>
        <v>22500</v>
      </c>
      <c r="O2936" s="416">
        <v>9</v>
      </c>
      <c r="P2936" s="1340">
        <f t="shared" si="79"/>
        <v>22500</v>
      </c>
    </row>
    <row r="2937" spans="1:16" ht="36" x14ac:dyDescent="0.2">
      <c r="A2937" s="1336">
        <v>403</v>
      </c>
      <c r="B2937" s="1335" t="s">
        <v>3782</v>
      </c>
      <c r="C2937" s="1336" t="s">
        <v>8679</v>
      </c>
      <c r="D2937" s="1335" t="s">
        <v>3100</v>
      </c>
      <c r="E2937" s="1337">
        <v>1500</v>
      </c>
      <c r="F2937" s="1338" t="s">
        <v>8816</v>
      </c>
      <c r="G2937" s="1335" t="s">
        <v>8817</v>
      </c>
      <c r="H2937" s="1335" t="s">
        <v>3603</v>
      </c>
      <c r="I2937" s="1338" t="s">
        <v>8714</v>
      </c>
      <c r="J2937" s="1338" t="s">
        <v>5043</v>
      </c>
      <c r="K2937" s="954">
        <v>44075</v>
      </c>
      <c r="L2937" s="416">
        <v>2</v>
      </c>
      <c r="M2937" s="1120">
        <v>4</v>
      </c>
      <c r="N2937" s="1339">
        <f t="shared" si="78"/>
        <v>6000</v>
      </c>
      <c r="O2937" s="416">
        <v>9</v>
      </c>
      <c r="P2937" s="1340">
        <f t="shared" si="79"/>
        <v>13500</v>
      </c>
    </row>
    <row r="2938" spans="1:16" ht="48" x14ac:dyDescent="0.2">
      <c r="A2938" s="1336">
        <v>403</v>
      </c>
      <c r="B2938" s="1335" t="s">
        <v>8683</v>
      </c>
      <c r="C2938" s="1336" t="s">
        <v>8679</v>
      </c>
      <c r="D2938" s="1335" t="s">
        <v>7759</v>
      </c>
      <c r="E2938" s="1337">
        <v>12000</v>
      </c>
      <c r="F2938" s="1338" t="s">
        <v>8818</v>
      </c>
      <c r="G2938" s="1335" t="s">
        <v>8819</v>
      </c>
      <c r="H2938" s="1335" t="s">
        <v>7759</v>
      </c>
      <c r="I2938" s="1338" t="s">
        <v>8692</v>
      </c>
      <c r="J2938" s="1338" t="s">
        <v>5043</v>
      </c>
      <c r="K2938" s="954">
        <v>43784</v>
      </c>
      <c r="L2938" s="416">
        <v>6</v>
      </c>
      <c r="M2938" s="1120">
        <v>12</v>
      </c>
      <c r="N2938" s="1339">
        <f t="shared" si="78"/>
        <v>144000</v>
      </c>
      <c r="O2938" s="416">
        <v>9</v>
      </c>
      <c r="P2938" s="1340">
        <f t="shared" si="79"/>
        <v>108000</v>
      </c>
    </row>
    <row r="2939" spans="1:16" ht="48" x14ac:dyDescent="0.2">
      <c r="A2939" s="1336">
        <v>403</v>
      </c>
      <c r="B2939" s="1335" t="s">
        <v>8683</v>
      </c>
      <c r="C2939" s="1336" t="s">
        <v>8679</v>
      </c>
      <c r="D2939" s="1335" t="s">
        <v>8743</v>
      </c>
      <c r="E2939" s="1337">
        <v>5000</v>
      </c>
      <c r="F2939" s="1338" t="s">
        <v>8820</v>
      </c>
      <c r="G2939" s="1335" t="s">
        <v>8821</v>
      </c>
      <c r="H2939" s="1335" t="s">
        <v>8743</v>
      </c>
      <c r="I2939" s="1338" t="s">
        <v>8692</v>
      </c>
      <c r="J2939" s="1338" t="s">
        <v>5043</v>
      </c>
      <c r="K2939" s="954">
        <v>43999</v>
      </c>
      <c r="L2939" s="416">
        <v>3</v>
      </c>
      <c r="M2939" s="1120">
        <v>7</v>
      </c>
      <c r="N2939" s="1339">
        <f t="shared" si="78"/>
        <v>35000</v>
      </c>
      <c r="O2939" s="416">
        <v>9</v>
      </c>
      <c r="P2939" s="1340">
        <f t="shared" si="79"/>
        <v>45000</v>
      </c>
    </row>
    <row r="2940" spans="1:16" ht="48" x14ac:dyDescent="0.2">
      <c r="A2940" s="1336">
        <v>403</v>
      </c>
      <c r="B2940" s="1335" t="s">
        <v>8683</v>
      </c>
      <c r="C2940" s="1336" t="s">
        <v>8679</v>
      </c>
      <c r="D2940" s="1335" t="s">
        <v>5043</v>
      </c>
      <c r="E2940" s="1337">
        <v>2500</v>
      </c>
      <c r="F2940" s="1338" t="s">
        <v>8822</v>
      </c>
      <c r="G2940" s="1335" t="s">
        <v>8823</v>
      </c>
      <c r="H2940" s="1335" t="s">
        <v>5043</v>
      </c>
      <c r="I2940" s="1338" t="s">
        <v>8682</v>
      </c>
      <c r="J2940" s="1338" t="s">
        <v>5043</v>
      </c>
      <c r="K2940" s="954">
        <v>43922</v>
      </c>
      <c r="L2940" s="416">
        <v>4</v>
      </c>
      <c r="M2940" s="1120">
        <v>9</v>
      </c>
      <c r="N2940" s="1339">
        <f t="shared" si="78"/>
        <v>22500</v>
      </c>
      <c r="O2940" s="416">
        <v>9</v>
      </c>
      <c r="P2940" s="1340">
        <f t="shared" si="79"/>
        <v>22500</v>
      </c>
    </row>
    <row r="2941" spans="1:16" ht="48" x14ac:dyDescent="0.2">
      <c r="A2941" s="1336">
        <v>403</v>
      </c>
      <c r="B2941" s="1335" t="s">
        <v>8683</v>
      </c>
      <c r="C2941" s="1336" t="s">
        <v>8679</v>
      </c>
      <c r="D2941" s="1335" t="s">
        <v>8684</v>
      </c>
      <c r="E2941" s="1337">
        <v>1500</v>
      </c>
      <c r="F2941" s="1338" t="s">
        <v>8824</v>
      </c>
      <c r="G2941" s="1335" t="s">
        <v>8825</v>
      </c>
      <c r="H2941" s="1335" t="s">
        <v>8684</v>
      </c>
      <c r="I2941" s="1338" t="s">
        <v>8687</v>
      </c>
      <c r="J2941" s="1338" t="s">
        <v>5043</v>
      </c>
      <c r="K2941" s="954">
        <v>43922</v>
      </c>
      <c r="L2941" s="416">
        <v>4</v>
      </c>
      <c r="M2941" s="1120">
        <v>9</v>
      </c>
      <c r="N2941" s="1339">
        <f t="shared" ref="N2941:N2975" si="80">E2941*M2941</f>
        <v>13500</v>
      </c>
      <c r="O2941" s="416">
        <v>9</v>
      </c>
      <c r="P2941" s="1340">
        <f t="shared" ref="P2941:P3004" si="81">E2941*O2941</f>
        <v>13500</v>
      </c>
    </row>
    <row r="2942" spans="1:16" ht="48" x14ac:dyDescent="0.2">
      <c r="A2942" s="1336">
        <v>403</v>
      </c>
      <c r="B2942" s="1335" t="s">
        <v>8683</v>
      </c>
      <c r="C2942" s="1336" t="s">
        <v>8679</v>
      </c>
      <c r="D2942" s="1335" t="s">
        <v>5657</v>
      </c>
      <c r="E2942" s="1337">
        <v>1500</v>
      </c>
      <c r="F2942" s="1338" t="s">
        <v>8826</v>
      </c>
      <c r="G2942" s="1335" t="s">
        <v>8827</v>
      </c>
      <c r="H2942" s="1335" t="s">
        <v>5657</v>
      </c>
      <c r="I2942" s="1338" t="s">
        <v>8687</v>
      </c>
      <c r="J2942" s="1338" t="s">
        <v>5043</v>
      </c>
      <c r="K2942" s="954">
        <v>43922</v>
      </c>
      <c r="L2942" s="416">
        <v>4</v>
      </c>
      <c r="M2942" s="1120">
        <v>9</v>
      </c>
      <c r="N2942" s="1339">
        <f t="shared" si="80"/>
        <v>13500</v>
      </c>
      <c r="O2942" s="416">
        <v>9</v>
      </c>
      <c r="P2942" s="1340">
        <f t="shared" si="81"/>
        <v>13500</v>
      </c>
    </row>
    <row r="2943" spans="1:16" ht="36" x14ac:dyDescent="0.2">
      <c r="A2943" s="1336">
        <v>403</v>
      </c>
      <c r="B2943" s="1335" t="s">
        <v>3782</v>
      </c>
      <c r="C2943" s="1336" t="s">
        <v>8679</v>
      </c>
      <c r="D2943" s="1335" t="s">
        <v>8828</v>
      </c>
      <c r="E2943" s="1337">
        <v>1500</v>
      </c>
      <c r="F2943" s="1338" t="s">
        <v>8829</v>
      </c>
      <c r="G2943" s="1335" t="s">
        <v>8830</v>
      </c>
      <c r="H2943" s="1335" t="s">
        <v>4877</v>
      </c>
      <c r="I2943" s="1338" t="s">
        <v>8682</v>
      </c>
      <c r="J2943" s="1338" t="s">
        <v>8725</v>
      </c>
      <c r="K2943" s="954">
        <v>43472</v>
      </c>
      <c r="L2943" s="416">
        <v>6</v>
      </c>
      <c r="M2943" s="1120">
        <v>12</v>
      </c>
      <c r="N2943" s="1339">
        <f t="shared" si="80"/>
        <v>18000</v>
      </c>
      <c r="O2943" s="416">
        <v>9</v>
      </c>
      <c r="P2943" s="1340">
        <f t="shared" si="81"/>
        <v>13500</v>
      </c>
    </row>
    <row r="2944" spans="1:16" ht="48" x14ac:dyDescent="0.2">
      <c r="A2944" s="1336">
        <v>403</v>
      </c>
      <c r="B2944" s="1335" t="s">
        <v>8683</v>
      </c>
      <c r="C2944" s="1336" t="s">
        <v>8679</v>
      </c>
      <c r="D2944" s="1335" t="s">
        <v>5043</v>
      </c>
      <c r="E2944" s="1337">
        <v>2500</v>
      </c>
      <c r="F2944" s="1338" t="s">
        <v>8831</v>
      </c>
      <c r="G2944" s="1335" t="s">
        <v>8832</v>
      </c>
      <c r="H2944" s="1335" t="s">
        <v>5043</v>
      </c>
      <c r="I2944" s="1338" t="s">
        <v>8682</v>
      </c>
      <c r="J2944" s="1338" t="s">
        <v>5043</v>
      </c>
      <c r="K2944" s="954">
        <v>43922</v>
      </c>
      <c r="L2944" s="416">
        <v>4</v>
      </c>
      <c r="M2944" s="1120">
        <v>9</v>
      </c>
      <c r="N2944" s="1339">
        <f t="shared" si="80"/>
        <v>22500</v>
      </c>
      <c r="O2944" s="416">
        <v>9</v>
      </c>
      <c r="P2944" s="1340">
        <f t="shared" si="81"/>
        <v>22500</v>
      </c>
    </row>
    <row r="2945" spans="1:16" ht="36" x14ac:dyDescent="0.2">
      <c r="A2945" s="1336">
        <v>403</v>
      </c>
      <c r="B2945" s="1335" t="s">
        <v>3782</v>
      </c>
      <c r="C2945" s="1336" t="s">
        <v>8679</v>
      </c>
      <c r="D2945" s="1335" t="s">
        <v>5084</v>
      </c>
      <c r="E2945" s="1337">
        <v>1200</v>
      </c>
      <c r="F2945" s="1338" t="s">
        <v>8833</v>
      </c>
      <c r="G2945" s="1335" t="s">
        <v>8834</v>
      </c>
      <c r="H2945" s="1335" t="s">
        <v>5084</v>
      </c>
      <c r="I2945" s="1338" t="s">
        <v>8687</v>
      </c>
      <c r="J2945" s="1338" t="s">
        <v>5043</v>
      </c>
      <c r="K2945" s="954">
        <v>44044</v>
      </c>
      <c r="L2945" s="416">
        <v>3</v>
      </c>
      <c r="M2945" s="1120">
        <v>5</v>
      </c>
      <c r="N2945" s="1339">
        <f t="shared" si="80"/>
        <v>6000</v>
      </c>
      <c r="O2945" s="416">
        <v>9</v>
      </c>
      <c r="P2945" s="1340">
        <f t="shared" si="81"/>
        <v>10800</v>
      </c>
    </row>
    <row r="2946" spans="1:16" ht="36" x14ac:dyDescent="0.2">
      <c r="A2946" s="1336">
        <v>403</v>
      </c>
      <c r="B2946" s="1335" t="s">
        <v>3782</v>
      </c>
      <c r="C2946" s="1336" t="s">
        <v>8679</v>
      </c>
      <c r="D2946" s="1335" t="s">
        <v>3100</v>
      </c>
      <c r="E2946" s="1337">
        <v>1500</v>
      </c>
      <c r="F2946" s="1338" t="s">
        <v>8835</v>
      </c>
      <c r="G2946" s="1335" t="s">
        <v>8836</v>
      </c>
      <c r="H2946" s="1335" t="s">
        <v>8837</v>
      </c>
      <c r="I2946" s="1338" t="s">
        <v>8682</v>
      </c>
      <c r="J2946" s="1338" t="s">
        <v>5043</v>
      </c>
      <c r="K2946" s="954">
        <v>40909</v>
      </c>
      <c r="L2946" s="416">
        <v>6</v>
      </c>
      <c r="M2946" s="1120">
        <v>12</v>
      </c>
      <c r="N2946" s="1339">
        <f t="shared" si="80"/>
        <v>18000</v>
      </c>
      <c r="O2946" s="416">
        <v>9</v>
      </c>
      <c r="P2946" s="1340">
        <f t="shared" si="81"/>
        <v>13500</v>
      </c>
    </row>
    <row r="2947" spans="1:16" ht="36" x14ac:dyDescent="0.2">
      <c r="A2947" s="1336">
        <v>403</v>
      </c>
      <c r="B2947" s="1335" t="s">
        <v>3782</v>
      </c>
      <c r="C2947" s="1336" t="s">
        <v>8679</v>
      </c>
      <c r="D2947" s="1335" t="s">
        <v>8743</v>
      </c>
      <c r="E2947" s="1337">
        <v>2400</v>
      </c>
      <c r="F2947" s="1338" t="s">
        <v>8838</v>
      </c>
      <c r="G2947" s="1335" t="s">
        <v>8839</v>
      </c>
      <c r="H2947" s="1335" t="s">
        <v>8743</v>
      </c>
      <c r="I2947" s="1338" t="s">
        <v>8692</v>
      </c>
      <c r="J2947" s="1338" t="s">
        <v>5043</v>
      </c>
      <c r="K2947" s="954">
        <v>42036</v>
      </c>
      <c r="L2947" s="416">
        <v>6</v>
      </c>
      <c r="M2947" s="1120">
        <v>12</v>
      </c>
      <c r="N2947" s="1339">
        <f t="shared" si="80"/>
        <v>28800</v>
      </c>
      <c r="O2947" s="416">
        <v>9</v>
      </c>
      <c r="P2947" s="1340">
        <f t="shared" si="81"/>
        <v>21600</v>
      </c>
    </row>
    <row r="2948" spans="1:16" ht="48" x14ac:dyDescent="0.2">
      <c r="A2948" s="1336">
        <v>403</v>
      </c>
      <c r="B2948" s="1335" t="s">
        <v>8683</v>
      </c>
      <c r="C2948" s="1336" t="s">
        <v>8679</v>
      </c>
      <c r="D2948" s="1335" t="s">
        <v>5043</v>
      </c>
      <c r="E2948" s="1337">
        <v>2500</v>
      </c>
      <c r="F2948" s="1338" t="s">
        <v>8840</v>
      </c>
      <c r="G2948" s="1335" t="s">
        <v>8841</v>
      </c>
      <c r="H2948" s="1335" t="s">
        <v>5043</v>
      </c>
      <c r="I2948" s="1338" t="s">
        <v>8682</v>
      </c>
      <c r="J2948" s="1338" t="s">
        <v>5043</v>
      </c>
      <c r="K2948" s="954">
        <v>44025</v>
      </c>
      <c r="L2948" s="416">
        <v>3</v>
      </c>
      <c r="M2948" s="1120">
        <v>6</v>
      </c>
      <c r="N2948" s="1339">
        <f t="shared" si="80"/>
        <v>15000</v>
      </c>
      <c r="O2948" s="416">
        <v>9</v>
      </c>
      <c r="P2948" s="1340">
        <f t="shared" si="81"/>
        <v>22500</v>
      </c>
    </row>
    <row r="2949" spans="1:16" ht="48" x14ac:dyDescent="0.2">
      <c r="A2949" s="1336">
        <v>403</v>
      </c>
      <c r="B2949" s="1335" t="s">
        <v>8683</v>
      </c>
      <c r="C2949" s="1336" t="s">
        <v>8679</v>
      </c>
      <c r="D2949" s="1335" t="s">
        <v>5043</v>
      </c>
      <c r="E2949" s="1337">
        <v>2500</v>
      </c>
      <c r="F2949" s="1338" t="s">
        <v>8842</v>
      </c>
      <c r="G2949" s="1335" t="s">
        <v>8843</v>
      </c>
      <c r="H2949" s="1335" t="s">
        <v>5043</v>
      </c>
      <c r="I2949" s="1338" t="s">
        <v>8682</v>
      </c>
      <c r="J2949" s="1338" t="s">
        <v>5043</v>
      </c>
      <c r="K2949" s="954">
        <v>44075</v>
      </c>
      <c r="L2949" s="416">
        <v>2</v>
      </c>
      <c r="M2949" s="1120">
        <v>4</v>
      </c>
      <c r="N2949" s="1339">
        <f t="shared" si="80"/>
        <v>10000</v>
      </c>
      <c r="O2949" s="416">
        <v>9</v>
      </c>
      <c r="P2949" s="1340">
        <f t="shared" si="81"/>
        <v>22500</v>
      </c>
    </row>
    <row r="2950" spans="1:16" ht="48" x14ac:dyDescent="0.2">
      <c r="A2950" s="1336">
        <v>403</v>
      </c>
      <c r="B2950" s="1335" t="s">
        <v>8683</v>
      </c>
      <c r="C2950" s="1336" t="s">
        <v>8679</v>
      </c>
      <c r="D2950" s="1335" t="s">
        <v>5043</v>
      </c>
      <c r="E2950" s="1337">
        <v>2500</v>
      </c>
      <c r="F2950" s="1338" t="s">
        <v>8844</v>
      </c>
      <c r="G2950" s="1335" t="s">
        <v>8845</v>
      </c>
      <c r="H2950" s="1335" t="s">
        <v>5043</v>
      </c>
      <c r="I2950" s="1338" t="s">
        <v>8682</v>
      </c>
      <c r="J2950" s="1338" t="s">
        <v>5043</v>
      </c>
      <c r="K2950" s="954">
        <v>44004</v>
      </c>
      <c r="L2950" s="416">
        <v>3</v>
      </c>
      <c r="M2950" s="1120">
        <v>7</v>
      </c>
      <c r="N2950" s="1339">
        <f t="shared" si="80"/>
        <v>17500</v>
      </c>
      <c r="O2950" s="416">
        <v>9</v>
      </c>
      <c r="P2950" s="1340">
        <f t="shared" si="81"/>
        <v>22500</v>
      </c>
    </row>
    <row r="2951" spans="1:16" ht="36" x14ac:dyDescent="0.2">
      <c r="A2951" s="1336">
        <v>403</v>
      </c>
      <c r="B2951" s="1335" t="s">
        <v>3782</v>
      </c>
      <c r="C2951" s="1336" t="s">
        <v>8679</v>
      </c>
      <c r="D2951" s="1335" t="s">
        <v>5043</v>
      </c>
      <c r="E2951" s="1337">
        <v>1400</v>
      </c>
      <c r="F2951" s="1338" t="s">
        <v>8846</v>
      </c>
      <c r="G2951" s="1335" t="s">
        <v>8847</v>
      </c>
      <c r="H2951" s="1335" t="s">
        <v>5043</v>
      </c>
      <c r="I2951" s="1338" t="s">
        <v>8682</v>
      </c>
      <c r="J2951" s="1338" t="s">
        <v>5043</v>
      </c>
      <c r="K2951" s="954">
        <v>43922</v>
      </c>
      <c r="L2951" s="416">
        <v>4</v>
      </c>
      <c r="M2951" s="1120">
        <v>9</v>
      </c>
      <c r="N2951" s="1339">
        <f t="shared" si="80"/>
        <v>12600</v>
      </c>
      <c r="O2951" s="416">
        <v>9</v>
      </c>
      <c r="P2951" s="1340">
        <f t="shared" si="81"/>
        <v>12600</v>
      </c>
    </row>
    <row r="2952" spans="1:16" ht="48" x14ac:dyDescent="0.2">
      <c r="A2952" s="1336">
        <v>403</v>
      </c>
      <c r="B2952" s="1335" t="s">
        <v>8683</v>
      </c>
      <c r="C2952" s="1336" t="s">
        <v>8679</v>
      </c>
      <c r="D2952" s="1335" t="s">
        <v>5043</v>
      </c>
      <c r="E2952" s="1337">
        <v>2500</v>
      </c>
      <c r="F2952" s="1338" t="s">
        <v>8848</v>
      </c>
      <c r="G2952" s="1335" t="s">
        <v>8849</v>
      </c>
      <c r="H2952" s="1335" t="s">
        <v>5043</v>
      </c>
      <c r="I2952" s="1338" t="s">
        <v>8682</v>
      </c>
      <c r="J2952" s="1338" t="s">
        <v>5043</v>
      </c>
      <c r="K2952" s="954">
        <v>44044</v>
      </c>
      <c r="L2952" s="416">
        <v>3</v>
      </c>
      <c r="M2952" s="1120">
        <v>5</v>
      </c>
      <c r="N2952" s="1339">
        <f t="shared" si="80"/>
        <v>12500</v>
      </c>
      <c r="O2952" s="416">
        <v>9</v>
      </c>
      <c r="P2952" s="1340">
        <f t="shared" si="81"/>
        <v>22500</v>
      </c>
    </row>
    <row r="2953" spans="1:16" ht="48" x14ac:dyDescent="0.2">
      <c r="A2953" s="1336">
        <v>403</v>
      </c>
      <c r="B2953" s="1335" t="s">
        <v>8683</v>
      </c>
      <c r="C2953" s="1336" t="s">
        <v>8679</v>
      </c>
      <c r="D2953" s="1335" t="s">
        <v>5106</v>
      </c>
      <c r="E2953" s="1337">
        <v>5000</v>
      </c>
      <c r="F2953" s="1338" t="s">
        <v>8850</v>
      </c>
      <c r="G2953" s="1335" t="s">
        <v>8851</v>
      </c>
      <c r="H2953" s="1335" t="s">
        <v>5106</v>
      </c>
      <c r="I2953" s="1338" t="s">
        <v>8692</v>
      </c>
      <c r="J2953" s="1338" t="s">
        <v>5043</v>
      </c>
      <c r="K2953" s="954">
        <v>44075</v>
      </c>
      <c r="L2953" s="416">
        <v>2</v>
      </c>
      <c r="M2953" s="1120">
        <v>4</v>
      </c>
      <c r="N2953" s="1339">
        <f t="shared" si="80"/>
        <v>20000</v>
      </c>
      <c r="O2953" s="416">
        <v>9</v>
      </c>
      <c r="P2953" s="1340">
        <f t="shared" si="81"/>
        <v>45000</v>
      </c>
    </row>
    <row r="2954" spans="1:16" ht="48" x14ac:dyDescent="0.2">
      <c r="A2954" s="1336">
        <v>403</v>
      </c>
      <c r="B2954" s="1335" t="s">
        <v>8683</v>
      </c>
      <c r="C2954" s="1336" t="s">
        <v>8679</v>
      </c>
      <c r="D2954" s="1335" t="s">
        <v>5043</v>
      </c>
      <c r="E2954" s="1337">
        <v>2500</v>
      </c>
      <c r="F2954" s="1338" t="s">
        <v>8852</v>
      </c>
      <c r="G2954" s="1335" t="s">
        <v>8853</v>
      </c>
      <c r="H2954" s="1335" t="s">
        <v>5043</v>
      </c>
      <c r="I2954" s="1338" t="s">
        <v>8682</v>
      </c>
      <c r="J2954" s="1338" t="s">
        <v>5043</v>
      </c>
      <c r="K2954" s="954">
        <v>44075</v>
      </c>
      <c r="L2954" s="416">
        <v>2</v>
      </c>
      <c r="M2954" s="1120">
        <v>4</v>
      </c>
      <c r="N2954" s="1339">
        <f t="shared" si="80"/>
        <v>10000</v>
      </c>
      <c r="O2954" s="416">
        <v>9</v>
      </c>
      <c r="P2954" s="1340">
        <f t="shared" si="81"/>
        <v>22500</v>
      </c>
    </row>
    <row r="2955" spans="1:16" ht="48" x14ac:dyDescent="0.2">
      <c r="A2955" s="1336">
        <v>403</v>
      </c>
      <c r="B2955" s="1335" t="s">
        <v>8683</v>
      </c>
      <c r="C2955" s="1336" t="s">
        <v>8679</v>
      </c>
      <c r="D2955" s="1335" t="s">
        <v>5043</v>
      </c>
      <c r="E2955" s="1337">
        <v>2500</v>
      </c>
      <c r="F2955" s="1338" t="s">
        <v>8854</v>
      </c>
      <c r="G2955" s="1335" t="s">
        <v>8855</v>
      </c>
      <c r="H2955" s="1335" t="s">
        <v>5043</v>
      </c>
      <c r="I2955" s="1338" t="s">
        <v>8682</v>
      </c>
      <c r="J2955" s="1338" t="s">
        <v>5043</v>
      </c>
      <c r="K2955" s="954">
        <v>44075</v>
      </c>
      <c r="L2955" s="416">
        <v>2</v>
      </c>
      <c r="M2955" s="1120">
        <v>4</v>
      </c>
      <c r="N2955" s="1339">
        <f t="shared" si="80"/>
        <v>10000</v>
      </c>
      <c r="O2955" s="416">
        <v>9</v>
      </c>
      <c r="P2955" s="1340">
        <f t="shared" si="81"/>
        <v>22500</v>
      </c>
    </row>
    <row r="2956" spans="1:16" ht="36" x14ac:dyDescent="0.2">
      <c r="A2956" s="1336">
        <v>403</v>
      </c>
      <c r="B2956" s="1335" t="s">
        <v>3782</v>
      </c>
      <c r="C2956" s="1336" t="s">
        <v>8679</v>
      </c>
      <c r="D2956" s="1335" t="s">
        <v>8743</v>
      </c>
      <c r="E2956" s="1337">
        <v>2400</v>
      </c>
      <c r="F2956" s="1338" t="s">
        <v>8856</v>
      </c>
      <c r="G2956" s="1335" t="s">
        <v>8857</v>
      </c>
      <c r="H2956" s="1335" t="s">
        <v>8743</v>
      </c>
      <c r="I2956" s="1338" t="s">
        <v>8692</v>
      </c>
      <c r="J2956" s="1338" t="s">
        <v>8743</v>
      </c>
      <c r="K2956" s="954">
        <v>42583</v>
      </c>
      <c r="L2956" s="416">
        <v>6</v>
      </c>
      <c r="M2956" s="1120">
        <v>12</v>
      </c>
      <c r="N2956" s="1339">
        <f t="shared" si="80"/>
        <v>28800</v>
      </c>
      <c r="O2956" s="416">
        <v>9</v>
      </c>
      <c r="P2956" s="1340">
        <f t="shared" si="81"/>
        <v>21600</v>
      </c>
    </row>
    <row r="2957" spans="1:16" ht="48" x14ac:dyDescent="0.2">
      <c r="A2957" s="1336">
        <v>403</v>
      </c>
      <c r="B2957" s="1335" t="s">
        <v>8683</v>
      </c>
      <c r="C2957" s="1336" t="s">
        <v>8679</v>
      </c>
      <c r="D2957" s="1335" t="s">
        <v>5657</v>
      </c>
      <c r="E2957" s="1337">
        <v>1500</v>
      </c>
      <c r="F2957" s="1338" t="s">
        <v>8858</v>
      </c>
      <c r="G2957" s="1335" t="s">
        <v>8859</v>
      </c>
      <c r="H2957" s="1335" t="s">
        <v>5657</v>
      </c>
      <c r="I2957" s="1338" t="s">
        <v>8687</v>
      </c>
      <c r="J2957" s="1338" t="s">
        <v>5657</v>
      </c>
      <c r="K2957" s="954">
        <v>44044</v>
      </c>
      <c r="L2957" s="416">
        <v>3</v>
      </c>
      <c r="M2957" s="1120">
        <v>5</v>
      </c>
      <c r="N2957" s="1339">
        <f t="shared" si="80"/>
        <v>7500</v>
      </c>
      <c r="O2957" s="416">
        <v>9</v>
      </c>
      <c r="P2957" s="1340">
        <f t="shared" si="81"/>
        <v>13500</v>
      </c>
    </row>
    <row r="2958" spans="1:16" ht="36" x14ac:dyDescent="0.2">
      <c r="A2958" s="1336">
        <v>403</v>
      </c>
      <c r="B2958" s="1335" t="s">
        <v>3782</v>
      </c>
      <c r="C2958" s="1336" t="s">
        <v>8679</v>
      </c>
      <c r="D2958" s="1335" t="s">
        <v>580</v>
      </c>
      <c r="E2958" s="1337">
        <v>1300</v>
      </c>
      <c r="F2958" s="1338" t="s">
        <v>8860</v>
      </c>
      <c r="G2958" s="1335" t="s">
        <v>8861</v>
      </c>
      <c r="H2958" s="1335" t="s">
        <v>580</v>
      </c>
      <c r="I2958" s="1338" t="s">
        <v>8682</v>
      </c>
      <c r="J2958" s="1338" t="s">
        <v>580</v>
      </c>
      <c r="K2958" s="954">
        <v>43101</v>
      </c>
      <c r="L2958" s="416">
        <v>6</v>
      </c>
      <c r="M2958" s="1120">
        <v>12</v>
      </c>
      <c r="N2958" s="1339">
        <f t="shared" si="80"/>
        <v>15600</v>
      </c>
      <c r="O2958" s="416">
        <v>9</v>
      </c>
      <c r="P2958" s="1340">
        <f t="shared" si="81"/>
        <v>11700</v>
      </c>
    </row>
    <row r="2959" spans="1:16" ht="48" x14ac:dyDescent="0.2">
      <c r="A2959" s="1336">
        <v>403</v>
      </c>
      <c r="B2959" s="1335" t="s">
        <v>8683</v>
      </c>
      <c r="C2959" s="1336" t="s">
        <v>8679</v>
      </c>
      <c r="D2959" s="1335" t="s">
        <v>5043</v>
      </c>
      <c r="E2959" s="1337">
        <v>2500</v>
      </c>
      <c r="F2959" s="1338" t="s">
        <v>8862</v>
      </c>
      <c r="G2959" s="1335" t="s">
        <v>8863</v>
      </c>
      <c r="H2959" s="1335" t="s">
        <v>5043</v>
      </c>
      <c r="I2959" s="1338" t="s">
        <v>8682</v>
      </c>
      <c r="J2959" s="1338" t="s">
        <v>5043</v>
      </c>
      <c r="K2959" s="954">
        <v>43647</v>
      </c>
      <c r="L2959" s="416">
        <v>6</v>
      </c>
      <c r="M2959" s="1120">
        <v>12</v>
      </c>
      <c r="N2959" s="1339">
        <f t="shared" si="80"/>
        <v>30000</v>
      </c>
      <c r="O2959" s="416">
        <v>9</v>
      </c>
      <c r="P2959" s="1340">
        <f t="shared" si="81"/>
        <v>22500</v>
      </c>
    </row>
    <row r="2960" spans="1:16" ht="48" x14ac:dyDescent="0.2">
      <c r="A2960" s="1336">
        <v>403</v>
      </c>
      <c r="B2960" s="1335" t="s">
        <v>8683</v>
      </c>
      <c r="C2960" s="1336" t="s">
        <v>8679</v>
      </c>
      <c r="D2960" s="1335" t="s">
        <v>581</v>
      </c>
      <c r="E2960" s="1337">
        <v>2500</v>
      </c>
      <c r="F2960" s="1338" t="s">
        <v>8864</v>
      </c>
      <c r="G2960" s="1335" t="s">
        <v>8865</v>
      </c>
      <c r="H2960" s="1335" t="s">
        <v>581</v>
      </c>
      <c r="I2960" s="1338" t="s">
        <v>8682</v>
      </c>
      <c r="J2960" s="1338" t="s">
        <v>581</v>
      </c>
      <c r="K2960" s="954">
        <v>42795</v>
      </c>
      <c r="L2960" s="416">
        <v>6</v>
      </c>
      <c r="M2960" s="1120">
        <v>12</v>
      </c>
      <c r="N2960" s="1339">
        <f t="shared" si="80"/>
        <v>30000</v>
      </c>
      <c r="O2960" s="416">
        <v>9</v>
      </c>
      <c r="P2960" s="1340">
        <f t="shared" si="81"/>
        <v>22500</v>
      </c>
    </row>
    <row r="2961" spans="1:16" ht="36" x14ac:dyDescent="0.2">
      <c r="A2961" s="1336">
        <v>403</v>
      </c>
      <c r="B2961" s="1335" t="s">
        <v>3782</v>
      </c>
      <c r="C2961" s="1336" t="s">
        <v>8679</v>
      </c>
      <c r="D2961" s="1335" t="s">
        <v>5106</v>
      </c>
      <c r="E2961" s="1337">
        <v>2400</v>
      </c>
      <c r="F2961" s="1338" t="s">
        <v>8866</v>
      </c>
      <c r="G2961" s="1335" t="s">
        <v>8867</v>
      </c>
      <c r="H2961" s="1335" t="s">
        <v>5106</v>
      </c>
      <c r="I2961" s="1338" t="s">
        <v>8692</v>
      </c>
      <c r="J2961" s="1338" t="s">
        <v>5106</v>
      </c>
      <c r="K2961" s="954">
        <v>43497</v>
      </c>
      <c r="L2961" s="416">
        <v>6</v>
      </c>
      <c r="M2961" s="1120">
        <v>12</v>
      </c>
      <c r="N2961" s="1339">
        <f t="shared" si="80"/>
        <v>28800</v>
      </c>
      <c r="O2961" s="416">
        <v>9</v>
      </c>
      <c r="P2961" s="1340">
        <f t="shared" si="81"/>
        <v>21600</v>
      </c>
    </row>
    <row r="2962" spans="1:16" ht="48" x14ac:dyDescent="0.2">
      <c r="A2962" s="1336">
        <v>403</v>
      </c>
      <c r="B2962" s="1335" t="s">
        <v>8683</v>
      </c>
      <c r="C2962" s="1336" t="s">
        <v>8679</v>
      </c>
      <c r="D2962" s="1335" t="s">
        <v>5043</v>
      </c>
      <c r="E2962" s="1337">
        <v>2500</v>
      </c>
      <c r="F2962" s="1338" t="s">
        <v>8868</v>
      </c>
      <c r="G2962" s="1335" t="s">
        <v>8869</v>
      </c>
      <c r="H2962" s="1335" t="s">
        <v>5043</v>
      </c>
      <c r="I2962" s="1338" t="s">
        <v>8682</v>
      </c>
      <c r="J2962" s="1338" t="s">
        <v>5043</v>
      </c>
      <c r="K2962" s="954">
        <v>44049</v>
      </c>
      <c r="L2962" s="416">
        <v>3</v>
      </c>
      <c r="M2962" s="1120">
        <v>5</v>
      </c>
      <c r="N2962" s="1339">
        <f t="shared" si="80"/>
        <v>12500</v>
      </c>
      <c r="O2962" s="416">
        <v>9</v>
      </c>
      <c r="P2962" s="1340">
        <f t="shared" si="81"/>
        <v>22500</v>
      </c>
    </row>
    <row r="2963" spans="1:16" ht="36" x14ac:dyDescent="0.2">
      <c r="A2963" s="1336">
        <v>403</v>
      </c>
      <c r="B2963" s="1335" t="s">
        <v>3782</v>
      </c>
      <c r="C2963" s="1336" t="s">
        <v>8679</v>
      </c>
      <c r="D2963" s="1335" t="s">
        <v>5106</v>
      </c>
      <c r="E2963" s="1337">
        <v>2400</v>
      </c>
      <c r="F2963" s="1338" t="s">
        <v>8870</v>
      </c>
      <c r="G2963" s="1335" t="s">
        <v>8871</v>
      </c>
      <c r="H2963" s="1335" t="s">
        <v>5106</v>
      </c>
      <c r="I2963" s="1338" t="s">
        <v>8692</v>
      </c>
      <c r="J2963" s="1338" t="s">
        <v>5106</v>
      </c>
      <c r="K2963" s="954">
        <v>43556</v>
      </c>
      <c r="L2963" s="416">
        <v>6</v>
      </c>
      <c r="M2963" s="1120">
        <v>12</v>
      </c>
      <c r="N2963" s="1339">
        <f t="shared" si="80"/>
        <v>28800</v>
      </c>
      <c r="O2963" s="416">
        <v>9</v>
      </c>
      <c r="P2963" s="1340">
        <f t="shared" si="81"/>
        <v>21600</v>
      </c>
    </row>
    <row r="2964" spans="1:16" ht="48" x14ac:dyDescent="0.2">
      <c r="A2964" s="1336">
        <v>403</v>
      </c>
      <c r="B2964" s="1335" t="s">
        <v>8683</v>
      </c>
      <c r="C2964" s="1336" t="s">
        <v>8679</v>
      </c>
      <c r="D2964" s="1335" t="s">
        <v>3389</v>
      </c>
      <c r="E2964" s="1337">
        <v>1500</v>
      </c>
      <c r="F2964" s="1338" t="s">
        <v>8872</v>
      </c>
      <c r="G2964" s="1335" t="s">
        <v>8873</v>
      </c>
      <c r="H2964" s="1335" t="s">
        <v>3389</v>
      </c>
      <c r="I2964" s="1338" t="s">
        <v>8687</v>
      </c>
      <c r="J2964" s="1338" t="s">
        <v>3389</v>
      </c>
      <c r="K2964" s="954">
        <v>44004</v>
      </c>
      <c r="L2964" s="416">
        <v>3</v>
      </c>
      <c r="M2964" s="1120">
        <v>7</v>
      </c>
      <c r="N2964" s="1339">
        <f t="shared" si="80"/>
        <v>10500</v>
      </c>
      <c r="O2964" s="416">
        <v>9</v>
      </c>
      <c r="P2964" s="1340">
        <f t="shared" si="81"/>
        <v>13500</v>
      </c>
    </row>
    <row r="2965" spans="1:16" ht="48" x14ac:dyDescent="0.2">
      <c r="A2965" s="1336">
        <v>403</v>
      </c>
      <c r="B2965" s="1335" t="s">
        <v>8683</v>
      </c>
      <c r="C2965" s="1336" t="s">
        <v>8679</v>
      </c>
      <c r="D2965" s="1335" t="s">
        <v>5043</v>
      </c>
      <c r="E2965" s="1337">
        <v>2500</v>
      </c>
      <c r="F2965" s="1338" t="s">
        <v>8874</v>
      </c>
      <c r="G2965" s="1335" t="s">
        <v>8875</v>
      </c>
      <c r="H2965" s="1335" t="s">
        <v>5043</v>
      </c>
      <c r="I2965" s="1338" t="s">
        <v>8682</v>
      </c>
      <c r="J2965" s="1338" t="s">
        <v>5043</v>
      </c>
      <c r="K2965" s="954">
        <v>44051</v>
      </c>
      <c r="L2965" s="416">
        <v>3</v>
      </c>
      <c r="M2965" s="1120">
        <v>5</v>
      </c>
      <c r="N2965" s="1339">
        <f t="shared" si="80"/>
        <v>12500</v>
      </c>
      <c r="O2965" s="416">
        <v>9</v>
      </c>
      <c r="P2965" s="1340">
        <f t="shared" si="81"/>
        <v>22500</v>
      </c>
    </row>
    <row r="2966" spans="1:16" ht="36" x14ac:dyDescent="0.2">
      <c r="A2966" s="1336">
        <v>403</v>
      </c>
      <c r="B2966" s="1335" t="s">
        <v>3782</v>
      </c>
      <c r="C2966" s="1336" t="s">
        <v>8679</v>
      </c>
      <c r="D2966" s="1335" t="s">
        <v>8743</v>
      </c>
      <c r="E2966" s="1337">
        <v>2400</v>
      </c>
      <c r="F2966" s="1338" t="s">
        <v>8876</v>
      </c>
      <c r="G2966" s="1335" t="s">
        <v>8877</v>
      </c>
      <c r="H2966" s="1335" t="s">
        <v>8743</v>
      </c>
      <c r="I2966" s="1338" t="s">
        <v>8692</v>
      </c>
      <c r="J2966" s="1338" t="s">
        <v>8743</v>
      </c>
      <c r="K2966" s="954">
        <v>43160</v>
      </c>
      <c r="L2966" s="416">
        <v>6</v>
      </c>
      <c r="M2966" s="1120">
        <v>12</v>
      </c>
      <c r="N2966" s="1339">
        <f t="shared" si="80"/>
        <v>28800</v>
      </c>
      <c r="O2966" s="416">
        <v>9</v>
      </c>
      <c r="P2966" s="1340">
        <f t="shared" si="81"/>
        <v>21600</v>
      </c>
    </row>
    <row r="2967" spans="1:16" ht="36" x14ac:dyDescent="0.2">
      <c r="A2967" s="1336">
        <v>403</v>
      </c>
      <c r="B2967" s="1335" t="s">
        <v>3782</v>
      </c>
      <c r="C2967" s="1336" t="s">
        <v>8679</v>
      </c>
      <c r="D2967" s="1335" t="s">
        <v>8743</v>
      </c>
      <c r="E2967" s="1337">
        <v>2400</v>
      </c>
      <c r="F2967" s="1338" t="s">
        <v>8878</v>
      </c>
      <c r="G2967" s="1335" t="s">
        <v>8879</v>
      </c>
      <c r="H2967" s="1335" t="s">
        <v>8743</v>
      </c>
      <c r="I2967" s="1338" t="s">
        <v>8692</v>
      </c>
      <c r="J2967" s="1338" t="s">
        <v>8743</v>
      </c>
      <c r="K2967" s="954">
        <v>43313</v>
      </c>
      <c r="L2967" s="416">
        <v>6</v>
      </c>
      <c r="M2967" s="1120">
        <v>12</v>
      </c>
      <c r="N2967" s="1339">
        <f t="shared" si="80"/>
        <v>28800</v>
      </c>
      <c r="O2967" s="416">
        <v>9</v>
      </c>
      <c r="P2967" s="1340">
        <f t="shared" si="81"/>
        <v>21600</v>
      </c>
    </row>
    <row r="2968" spans="1:16" ht="48" x14ac:dyDescent="0.2">
      <c r="A2968" s="1336">
        <v>403</v>
      </c>
      <c r="B2968" s="1335" t="s">
        <v>8683</v>
      </c>
      <c r="C2968" s="1336" t="s">
        <v>8679</v>
      </c>
      <c r="D2968" s="1335" t="s">
        <v>8743</v>
      </c>
      <c r="E2968" s="1337">
        <v>5000</v>
      </c>
      <c r="F2968" s="1338" t="s">
        <v>8880</v>
      </c>
      <c r="G2968" s="1335" t="s">
        <v>8881</v>
      </c>
      <c r="H2968" s="1335" t="s">
        <v>8743</v>
      </c>
      <c r="I2968" s="1338" t="s">
        <v>8692</v>
      </c>
      <c r="J2968" s="1338" t="s">
        <v>8743</v>
      </c>
      <c r="K2968" s="954">
        <v>44005</v>
      </c>
      <c r="L2968" s="416">
        <v>3</v>
      </c>
      <c r="M2968" s="1120">
        <v>7</v>
      </c>
      <c r="N2968" s="1339">
        <f t="shared" si="80"/>
        <v>35000</v>
      </c>
      <c r="O2968" s="416">
        <v>9</v>
      </c>
      <c r="P2968" s="1340">
        <f t="shared" si="81"/>
        <v>45000</v>
      </c>
    </row>
    <row r="2969" spans="1:16" ht="36" x14ac:dyDescent="0.2">
      <c r="A2969" s="1336">
        <v>403</v>
      </c>
      <c r="B2969" s="1335" t="s">
        <v>3782</v>
      </c>
      <c r="C2969" s="1336" t="s">
        <v>8679</v>
      </c>
      <c r="D2969" s="1335" t="s">
        <v>3100</v>
      </c>
      <c r="E2969" s="1337">
        <v>1200</v>
      </c>
      <c r="F2969" s="1338" t="s">
        <v>8882</v>
      </c>
      <c r="G2969" s="1335" t="s">
        <v>8883</v>
      </c>
      <c r="H2969" s="1335" t="s">
        <v>3112</v>
      </c>
      <c r="I2969" s="1338" t="s">
        <v>8687</v>
      </c>
      <c r="J2969" s="1338" t="s">
        <v>3112</v>
      </c>
      <c r="K2969" s="954">
        <v>44046</v>
      </c>
      <c r="L2969" s="416">
        <v>3</v>
      </c>
      <c r="M2969" s="1120">
        <v>5</v>
      </c>
      <c r="N2969" s="1339">
        <f t="shared" si="80"/>
        <v>6000</v>
      </c>
      <c r="O2969" s="416">
        <v>9</v>
      </c>
      <c r="P2969" s="1340">
        <f t="shared" si="81"/>
        <v>10800</v>
      </c>
    </row>
    <row r="2970" spans="1:16" ht="48" x14ac:dyDescent="0.2">
      <c r="A2970" s="1336">
        <v>403</v>
      </c>
      <c r="B2970" s="1335" t="s">
        <v>8683</v>
      </c>
      <c r="C2970" s="1336" t="s">
        <v>8679</v>
      </c>
      <c r="D2970" s="1335" t="s">
        <v>580</v>
      </c>
      <c r="E2970" s="1337">
        <v>2500</v>
      </c>
      <c r="F2970" s="1338" t="s">
        <v>8884</v>
      </c>
      <c r="G2970" s="1335" t="s">
        <v>8885</v>
      </c>
      <c r="H2970" s="1335" t="s">
        <v>580</v>
      </c>
      <c r="I2970" s="1338" t="s">
        <v>8682</v>
      </c>
      <c r="J2970" s="1338" t="s">
        <v>580</v>
      </c>
      <c r="K2970" s="954">
        <v>43999</v>
      </c>
      <c r="L2970" s="416">
        <v>3</v>
      </c>
      <c r="M2970" s="1120">
        <v>7</v>
      </c>
      <c r="N2970" s="1339">
        <f t="shared" si="80"/>
        <v>17500</v>
      </c>
      <c r="O2970" s="416">
        <v>9</v>
      </c>
      <c r="P2970" s="1340">
        <f t="shared" si="81"/>
        <v>22500</v>
      </c>
    </row>
    <row r="2971" spans="1:16" ht="36" x14ac:dyDescent="0.2">
      <c r="A2971" s="1336">
        <v>403</v>
      </c>
      <c r="B2971" s="1335" t="s">
        <v>3782</v>
      </c>
      <c r="C2971" s="1336" t="s">
        <v>8679</v>
      </c>
      <c r="D2971" s="1335" t="s">
        <v>5043</v>
      </c>
      <c r="E2971" s="1337">
        <v>1300</v>
      </c>
      <c r="F2971" s="1338" t="s">
        <v>8886</v>
      </c>
      <c r="G2971" s="1335" t="s">
        <v>8887</v>
      </c>
      <c r="H2971" s="1335" t="s">
        <v>5043</v>
      </c>
      <c r="I2971" s="1338" t="s">
        <v>8682</v>
      </c>
      <c r="J2971" s="1338" t="s">
        <v>5043</v>
      </c>
      <c r="K2971" s="954">
        <v>43525</v>
      </c>
      <c r="L2971" s="416">
        <v>6</v>
      </c>
      <c r="M2971" s="1120">
        <v>12</v>
      </c>
      <c r="N2971" s="1339">
        <f t="shared" si="80"/>
        <v>15600</v>
      </c>
      <c r="O2971" s="416">
        <v>9</v>
      </c>
      <c r="P2971" s="1340">
        <f t="shared" si="81"/>
        <v>11700</v>
      </c>
    </row>
    <row r="2972" spans="1:16" ht="36" x14ac:dyDescent="0.2">
      <c r="A2972" s="1336">
        <v>403</v>
      </c>
      <c r="B2972" s="1335" t="s">
        <v>3782</v>
      </c>
      <c r="C2972" s="1336" t="s">
        <v>8679</v>
      </c>
      <c r="D2972" s="1335" t="s">
        <v>5043</v>
      </c>
      <c r="E2972" s="1337">
        <v>1300</v>
      </c>
      <c r="F2972" s="1338" t="s">
        <v>8888</v>
      </c>
      <c r="G2972" s="1335" t="s">
        <v>8889</v>
      </c>
      <c r="H2972" s="1335" t="s">
        <v>5043</v>
      </c>
      <c r="I2972" s="1338" t="s">
        <v>8682</v>
      </c>
      <c r="J2972" s="1338" t="s">
        <v>5043</v>
      </c>
      <c r="K2972" s="954">
        <v>42060</v>
      </c>
      <c r="L2972" s="416">
        <v>6</v>
      </c>
      <c r="M2972" s="1120">
        <v>12</v>
      </c>
      <c r="N2972" s="1339">
        <f t="shared" si="80"/>
        <v>15600</v>
      </c>
      <c r="O2972" s="416">
        <v>9</v>
      </c>
      <c r="P2972" s="1340">
        <f t="shared" si="81"/>
        <v>11700</v>
      </c>
    </row>
    <row r="2973" spans="1:16" ht="48" x14ac:dyDescent="0.2">
      <c r="A2973" s="1336">
        <v>403</v>
      </c>
      <c r="B2973" s="1335" t="s">
        <v>8683</v>
      </c>
      <c r="C2973" s="1336" t="s">
        <v>8679</v>
      </c>
      <c r="D2973" s="1335" t="s">
        <v>5043</v>
      </c>
      <c r="E2973" s="1337">
        <v>2500</v>
      </c>
      <c r="F2973" s="1338" t="s">
        <v>8890</v>
      </c>
      <c r="G2973" s="1335" t="s">
        <v>8891</v>
      </c>
      <c r="H2973" s="1335" t="s">
        <v>5043</v>
      </c>
      <c r="I2973" s="1338" t="s">
        <v>8682</v>
      </c>
      <c r="J2973" s="1338" t="s">
        <v>5043</v>
      </c>
      <c r="K2973" s="954">
        <v>42036</v>
      </c>
      <c r="L2973" s="416">
        <v>6</v>
      </c>
      <c r="M2973" s="1120">
        <v>12</v>
      </c>
      <c r="N2973" s="1339">
        <f t="shared" si="80"/>
        <v>30000</v>
      </c>
      <c r="O2973" s="416">
        <v>9</v>
      </c>
      <c r="P2973" s="1340">
        <f t="shared" si="81"/>
        <v>22500</v>
      </c>
    </row>
    <row r="2974" spans="1:16" ht="48" x14ac:dyDescent="0.2">
      <c r="A2974" s="1336">
        <v>403</v>
      </c>
      <c r="B2974" s="1335" t="s">
        <v>8683</v>
      </c>
      <c r="C2974" s="1336" t="s">
        <v>8679</v>
      </c>
      <c r="D2974" s="1335" t="s">
        <v>5043</v>
      </c>
      <c r="E2974" s="1337">
        <v>2500</v>
      </c>
      <c r="F2974" s="1338" t="s">
        <v>8892</v>
      </c>
      <c r="G2974" s="1335" t="s">
        <v>8893</v>
      </c>
      <c r="H2974" s="1335" t="s">
        <v>5043</v>
      </c>
      <c r="I2974" s="1338" t="s">
        <v>8682</v>
      </c>
      <c r="J2974" s="1338" t="s">
        <v>5043</v>
      </c>
      <c r="K2974" s="954">
        <v>44004</v>
      </c>
      <c r="L2974" s="416">
        <v>3</v>
      </c>
      <c r="M2974" s="1120">
        <v>7</v>
      </c>
      <c r="N2974" s="1339">
        <f t="shared" si="80"/>
        <v>17500</v>
      </c>
      <c r="O2974" s="416">
        <v>9</v>
      </c>
      <c r="P2974" s="1340">
        <f t="shared" si="81"/>
        <v>22500</v>
      </c>
    </row>
    <row r="2975" spans="1:16" ht="48" x14ac:dyDescent="0.2">
      <c r="A2975" s="1342">
        <v>403</v>
      </c>
      <c r="B2975" s="1341" t="s">
        <v>8683</v>
      </c>
      <c r="C2975" s="1342" t="s">
        <v>8679</v>
      </c>
      <c r="D2975" s="1341" t="s">
        <v>5043</v>
      </c>
      <c r="E2975" s="1343">
        <v>2500</v>
      </c>
      <c r="F2975" s="1344" t="s">
        <v>8894</v>
      </c>
      <c r="G2975" s="1341" t="s">
        <v>8895</v>
      </c>
      <c r="H2975" s="1341" t="s">
        <v>5043</v>
      </c>
      <c r="I2975" s="1344" t="s">
        <v>8682</v>
      </c>
      <c r="J2975" s="1344" t="s">
        <v>5043</v>
      </c>
      <c r="K2975" s="956">
        <v>43313</v>
      </c>
      <c r="L2975" s="1103">
        <v>6</v>
      </c>
      <c r="M2975" s="1139">
        <v>12</v>
      </c>
      <c r="N2975" s="1345">
        <f t="shared" si="80"/>
        <v>30000</v>
      </c>
      <c r="O2975" s="416">
        <v>9</v>
      </c>
      <c r="P2975" s="1340">
        <f t="shared" si="81"/>
        <v>22500</v>
      </c>
    </row>
    <row r="2976" spans="1:16" ht="48" x14ac:dyDescent="0.2">
      <c r="A2976" s="1342">
        <v>403</v>
      </c>
      <c r="B2976" s="1341" t="s">
        <v>8683</v>
      </c>
      <c r="C2976" s="1342" t="s">
        <v>8679</v>
      </c>
      <c r="D2976" s="1341" t="s">
        <v>8743</v>
      </c>
      <c r="E2976" s="1343">
        <v>5000</v>
      </c>
      <c r="F2976" s="1344" t="s">
        <v>8896</v>
      </c>
      <c r="G2976" s="1341" t="s">
        <v>8897</v>
      </c>
      <c r="H2976" s="1341" t="s">
        <v>8743</v>
      </c>
      <c r="I2976" s="1344" t="s">
        <v>8692</v>
      </c>
      <c r="J2976" s="1344" t="s">
        <v>8743</v>
      </c>
      <c r="K2976" s="1346">
        <v>44382</v>
      </c>
      <c r="L2976" s="1103"/>
      <c r="M2976" s="1139"/>
      <c r="N2976" s="1345"/>
      <c r="O2976" s="1103">
        <v>2</v>
      </c>
      <c r="P2976" s="1347">
        <f t="shared" si="81"/>
        <v>10000</v>
      </c>
    </row>
    <row r="2977" spans="1:16" ht="48" x14ac:dyDescent="0.2">
      <c r="A2977" s="1342">
        <v>403</v>
      </c>
      <c r="B2977" s="1335" t="s">
        <v>8683</v>
      </c>
      <c r="C2977" s="1336" t="s">
        <v>8679</v>
      </c>
      <c r="D2977" s="1335" t="s">
        <v>8743</v>
      </c>
      <c r="E2977" s="1337">
        <v>5000</v>
      </c>
      <c r="F2977" s="1338" t="s">
        <v>8898</v>
      </c>
      <c r="G2977" s="1335" t="s">
        <v>8899</v>
      </c>
      <c r="H2977" s="1335" t="s">
        <v>8743</v>
      </c>
      <c r="I2977" s="1344" t="s">
        <v>8692</v>
      </c>
      <c r="J2977" s="1338" t="s">
        <v>8743</v>
      </c>
      <c r="K2977" s="1348">
        <v>44382</v>
      </c>
      <c r="L2977" s="1103"/>
      <c r="M2977" s="1139"/>
      <c r="N2977" s="1345"/>
      <c r="O2977" s="1103">
        <v>2</v>
      </c>
      <c r="P2977" s="1347">
        <f t="shared" si="81"/>
        <v>10000</v>
      </c>
    </row>
    <row r="2978" spans="1:16" ht="48" x14ac:dyDescent="0.2">
      <c r="A2978" s="1342">
        <v>403</v>
      </c>
      <c r="B2978" s="1335" t="s">
        <v>8683</v>
      </c>
      <c r="C2978" s="1336" t="s">
        <v>8679</v>
      </c>
      <c r="D2978" s="1335" t="s">
        <v>8743</v>
      </c>
      <c r="E2978" s="1337">
        <v>5000</v>
      </c>
      <c r="F2978" s="1338" t="s">
        <v>8900</v>
      </c>
      <c r="G2978" s="1335" t="s">
        <v>8901</v>
      </c>
      <c r="H2978" s="1335" t="s">
        <v>8743</v>
      </c>
      <c r="I2978" s="1344" t="s">
        <v>8692</v>
      </c>
      <c r="J2978" s="1338" t="s">
        <v>8743</v>
      </c>
      <c r="K2978" s="1348">
        <v>44381</v>
      </c>
      <c r="L2978" s="1103"/>
      <c r="M2978" s="1139"/>
      <c r="N2978" s="1345"/>
      <c r="O2978" s="1103">
        <v>2</v>
      </c>
      <c r="P2978" s="1347">
        <f t="shared" si="81"/>
        <v>10000</v>
      </c>
    </row>
    <row r="2979" spans="1:16" ht="36" x14ac:dyDescent="0.2">
      <c r="A2979" s="1342">
        <v>403</v>
      </c>
      <c r="B2979" s="1335" t="s">
        <v>3782</v>
      </c>
      <c r="C2979" s="1336" t="s">
        <v>8679</v>
      </c>
      <c r="D2979" s="1335" t="s">
        <v>3112</v>
      </c>
      <c r="E2979" s="1337">
        <v>1200</v>
      </c>
      <c r="F2979" s="1338" t="s">
        <v>8902</v>
      </c>
      <c r="G2979" s="1335" t="s">
        <v>8903</v>
      </c>
      <c r="H2979" s="1335" t="s">
        <v>3134</v>
      </c>
      <c r="I2979" s="1344" t="s">
        <v>8682</v>
      </c>
      <c r="J2979" s="1338" t="s">
        <v>3134</v>
      </c>
      <c r="K2979" s="1348">
        <v>44348</v>
      </c>
      <c r="L2979" s="1103"/>
      <c r="M2979" s="1139"/>
      <c r="N2979" s="1345"/>
      <c r="O2979" s="1103">
        <v>3</v>
      </c>
      <c r="P2979" s="1347">
        <f t="shared" si="81"/>
        <v>3600</v>
      </c>
    </row>
    <row r="2980" spans="1:16" ht="48" x14ac:dyDescent="0.2">
      <c r="A2980" s="1342">
        <v>403</v>
      </c>
      <c r="B2980" s="1335" t="s">
        <v>8683</v>
      </c>
      <c r="C2980" s="1336" t="s">
        <v>8679</v>
      </c>
      <c r="D2980" s="1335" t="s">
        <v>5043</v>
      </c>
      <c r="E2980" s="1337">
        <v>2500</v>
      </c>
      <c r="F2980" s="1338" t="s">
        <v>8904</v>
      </c>
      <c r="G2980" s="1335" t="s">
        <v>8905</v>
      </c>
      <c r="H2980" s="1335" t="s">
        <v>5043</v>
      </c>
      <c r="I2980" s="1344" t="s">
        <v>8682</v>
      </c>
      <c r="J2980" s="1338" t="s">
        <v>5043</v>
      </c>
      <c r="K2980" s="1348">
        <v>44221</v>
      </c>
      <c r="L2980" s="1103"/>
      <c r="M2980" s="1139"/>
      <c r="N2980" s="1345"/>
      <c r="O2980" s="1103">
        <v>9</v>
      </c>
      <c r="P2980" s="1347">
        <f t="shared" si="81"/>
        <v>22500</v>
      </c>
    </row>
    <row r="2981" spans="1:16" ht="36" x14ac:dyDescent="0.2">
      <c r="A2981" s="1342">
        <v>403</v>
      </c>
      <c r="B2981" s="1335" t="s">
        <v>3782</v>
      </c>
      <c r="C2981" s="1336" t="s">
        <v>8679</v>
      </c>
      <c r="D2981" s="1335" t="s">
        <v>5084</v>
      </c>
      <c r="E2981" s="1337">
        <v>1000</v>
      </c>
      <c r="F2981" s="1338" t="s">
        <v>8906</v>
      </c>
      <c r="G2981" s="1335" t="s">
        <v>8907</v>
      </c>
      <c r="H2981" s="1335" t="s">
        <v>5084</v>
      </c>
      <c r="I2981" s="1344" t="s">
        <v>8687</v>
      </c>
      <c r="J2981" s="1338" t="s">
        <v>5084</v>
      </c>
      <c r="K2981" s="1348">
        <v>44414</v>
      </c>
      <c r="L2981" s="1103"/>
      <c r="M2981" s="1139"/>
      <c r="N2981" s="1345"/>
      <c r="O2981" s="1103">
        <v>2</v>
      </c>
      <c r="P2981" s="1347">
        <f t="shared" si="81"/>
        <v>2000</v>
      </c>
    </row>
    <row r="2982" spans="1:16" ht="48" x14ac:dyDescent="0.2">
      <c r="A2982" s="1342">
        <v>403</v>
      </c>
      <c r="B2982" s="1335" t="s">
        <v>8683</v>
      </c>
      <c r="C2982" s="1336" t="s">
        <v>8679</v>
      </c>
      <c r="D2982" s="1335" t="s">
        <v>5043</v>
      </c>
      <c r="E2982" s="1337">
        <v>2500</v>
      </c>
      <c r="F2982" s="1338" t="s">
        <v>8908</v>
      </c>
      <c r="G2982" s="1335" t="s">
        <v>8909</v>
      </c>
      <c r="H2982" s="1335" t="s">
        <v>5043</v>
      </c>
      <c r="I2982" s="1344" t="s">
        <v>8682</v>
      </c>
      <c r="J2982" s="1338" t="s">
        <v>5043</v>
      </c>
      <c r="K2982" s="1348">
        <v>44221</v>
      </c>
      <c r="L2982" s="1103"/>
      <c r="M2982" s="1139"/>
      <c r="N2982" s="1345"/>
      <c r="O2982" s="1103">
        <v>9</v>
      </c>
      <c r="P2982" s="1347">
        <f t="shared" si="81"/>
        <v>22500</v>
      </c>
    </row>
    <row r="2983" spans="1:16" ht="48" x14ac:dyDescent="0.2">
      <c r="A2983" s="1342">
        <v>403</v>
      </c>
      <c r="B2983" s="1335" t="s">
        <v>8683</v>
      </c>
      <c r="C2983" s="1336" t="s">
        <v>8679</v>
      </c>
      <c r="D2983" s="1335" t="s">
        <v>7759</v>
      </c>
      <c r="E2983" s="1337">
        <v>12000</v>
      </c>
      <c r="F2983" s="1338" t="s">
        <v>8910</v>
      </c>
      <c r="G2983" s="1335" t="s">
        <v>8911</v>
      </c>
      <c r="H2983" s="1335" t="s">
        <v>7759</v>
      </c>
      <c r="I2983" s="1344" t="s">
        <v>8692</v>
      </c>
      <c r="J2983" s="1338" t="s">
        <v>7759</v>
      </c>
      <c r="K2983" s="1348">
        <v>44317</v>
      </c>
      <c r="L2983" s="1103"/>
      <c r="M2983" s="1139"/>
      <c r="N2983" s="1345"/>
      <c r="O2983" s="1103">
        <v>4</v>
      </c>
      <c r="P2983" s="1347">
        <f t="shared" si="81"/>
        <v>48000</v>
      </c>
    </row>
    <row r="2984" spans="1:16" ht="48" x14ac:dyDescent="0.2">
      <c r="A2984" s="1342">
        <v>403</v>
      </c>
      <c r="B2984" s="1335" t="s">
        <v>8683</v>
      </c>
      <c r="C2984" s="1336" t="s">
        <v>8679</v>
      </c>
      <c r="D2984" s="1335" t="s">
        <v>5043</v>
      </c>
      <c r="E2984" s="1337">
        <v>2500</v>
      </c>
      <c r="F2984" s="1338" t="s">
        <v>8912</v>
      </c>
      <c r="G2984" s="1335" t="s">
        <v>8913</v>
      </c>
      <c r="H2984" s="1335" t="s">
        <v>5043</v>
      </c>
      <c r="I2984" s="1344" t="s">
        <v>8682</v>
      </c>
      <c r="J2984" s="1338" t="s">
        <v>5043</v>
      </c>
      <c r="K2984" s="1348">
        <v>44211</v>
      </c>
      <c r="L2984" s="1103"/>
      <c r="M2984" s="1139"/>
      <c r="N2984" s="1345"/>
      <c r="O2984" s="1103">
        <v>9</v>
      </c>
      <c r="P2984" s="1347">
        <f t="shared" si="81"/>
        <v>22500</v>
      </c>
    </row>
    <row r="2985" spans="1:16" ht="36" x14ac:dyDescent="0.2">
      <c r="A2985" s="1342">
        <v>403</v>
      </c>
      <c r="B2985" s="1335" t="s">
        <v>3782</v>
      </c>
      <c r="C2985" s="1336" t="s">
        <v>8679</v>
      </c>
      <c r="D2985" s="1335" t="s">
        <v>3112</v>
      </c>
      <c r="E2985" s="1337">
        <v>1500</v>
      </c>
      <c r="F2985" s="1338" t="s">
        <v>8914</v>
      </c>
      <c r="G2985" s="1335" t="s">
        <v>8915</v>
      </c>
      <c r="H2985" s="1335" t="s">
        <v>8916</v>
      </c>
      <c r="I2985" s="1344" t="s">
        <v>8714</v>
      </c>
      <c r="J2985" s="1338" t="s">
        <v>8916</v>
      </c>
      <c r="K2985" s="1348">
        <v>44197</v>
      </c>
      <c r="L2985" s="1103"/>
      <c r="M2985" s="1139"/>
      <c r="N2985" s="1345"/>
      <c r="O2985" s="1103">
        <v>9</v>
      </c>
      <c r="P2985" s="1347">
        <f t="shared" si="81"/>
        <v>13500</v>
      </c>
    </row>
    <row r="2986" spans="1:16" ht="36" x14ac:dyDescent="0.2">
      <c r="A2986" s="1342">
        <v>403</v>
      </c>
      <c r="B2986" s="1335" t="s">
        <v>3782</v>
      </c>
      <c r="C2986" s="1336" t="s">
        <v>8679</v>
      </c>
      <c r="D2986" s="1335" t="s">
        <v>5084</v>
      </c>
      <c r="E2986" s="1337">
        <v>1200</v>
      </c>
      <c r="F2986" s="1338" t="s">
        <v>8917</v>
      </c>
      <c r="G2986" s="1335" t="s">
        <v>8918</v>
      </c>
      <c r="H2986" s="1335" t="s">
        <v>8837</v>
      </c>
      <c r="I2986" s="1344" t="s">
        <v>8682</v>
      </c>
      <c r="J2986" s="1338" t="s">
        <v>8837</v>
      </c>
      <c r="K2986" s="1348">
        <v>44256</v>
      </c>
      <c r="L2986" s="1103"/>
      <c r="M2986" s="1139"/>
      <c r="N2986" s="1345"/>
      <c r="O2986" s="1103">
        <v>7</v>
      </c>
      <c r="P2986" s="1347">
        <f t="shared" si="81"/>
        <v>8400</v>
      </c>
    </row>
    <row r="2987" spans="1:16" ht="48" x14ac:dyDescent="0.2">
      <c r="A2987" s="1342">
        <v>403</v>
      </c>
      <c r="B2987" s="1335" t="s">
        <v>8683</v>
      </c>
      <c r="C2987" s="1336" t="s">
        <v>8679</v>
      </c>
      <c r="D2987" s="1335" t="s">
        <v>5043</v>
      </c>
      <c r="E2987" s="1337">
        <v>2500</v>
      </c>
      <c r="F2987" s="1338" t="s">
        <v>8919</v>
      </c>
      <c r="G2987" s="1335" t="s">
        <v>8920</v>
      </c>
      <c r="H2987" s="1335" t="s">
        <v>5043</v>
      </c>
      <c r="I2987" s="1344" t="s">
        <v>8682</v>
      </c>
      <c r="J2987" s="1338" t="s">
        <v>5043</v>
      </c>
      <c r="K2987" s="1348">
        <v>44221</v>
      </c>
      <c r="L2987" s="1103"/>
      <c r="M2987" s="1139"/>
      <c r="N2987" s="1345"/>
      <c r="O2987" s="1103">
        <v>9</v>
      </c>
      <c r="P2987" s="1347">
        <f t="shared" si="81"/>
        <v>22500</v>
      </c>
    </row>
    <row r="2988" spans="1:16" ht="48" x14ac:dyDescent="0.2">
      <c r="A2988" s="1342">
        <v>403</v>
      </c>
      <c r="B2988" s="1335" t="s">
        <v>8683</v>
      </c>
      <c r="C2988" s="1336" t="s">
        <v>8679</v>
      </c>
      <c r="D2988" s="1335" t="s">
        <v>8743</v>
      </c>
      <c r="E2988" s="1337">
        <v>5000</v>
      </c>
      <c r="F2988" s="1338" t="s">
        <v>8921</v>
      </c>
      <c r="G2988" s="1335" t="s">
        <v>8922</v>
      </c>
      <c r="H2988" s="1335" t="s">
        <v>8743</v>
      </c>
      <c r="I2988" s="1344" t="s">
        <v>8692</v>
      </c>
      <c r="J2988" s="1338" t="s">
        <v>8743</v>
      </c>
      <c r="K2988" s="1348">
        <v>44382</v>
      </c>
      <c r="L2988" s="1103"/>
      <c r="M2988" s="1139"/>
      <c r="N2988" s="1345"/>
      <c r="O2988" s="1103">
        <v>2</v>
      </c>
      <c r="P2988" s="1347">
        <f t="shared" si="81"/>
        <v>10000</v>
      </c>
    </row>
    <row r="2989" spans="1:16" ht="48" x14ac:dyDescent="0.2">
      <c r="A2989" s="1342">
        <v>403</v>
      </c>
      <c r="B2989" s="1335" t="s">
        <v>8683</v>
      </c>
      <c r="C2989" s="1336" t="s">
        <v>8679</v>
      </c>
      <c r="D2989" s="1335" t="s">
        <v>5043</v>
      </c>
      <c r="E2989" s="1337">
        <v>2500</v>
      </c>
      <c r="F2989" s="1338" t="s">
        <v>8923</v>
      </c>
      <c r="G2989" s="1335" t="s">
        <v>8924</v>
      </c>
      <c r="H2989" s="1335" t="s">
        <v>5043</v>
      </c>
      <c r="I2989" s="1344" t="s">
        <v>8682</v>
      </c>
      <c r="J2989" s="1338" t="s">
        <v>5043</v>
      </c>
      <c r="K2989" s="1348">
        <v>44221</v>
      </c>
      <c r="L2989" s="1103"/>
      <c r="M2989" s="1139"/>
      <c r="N2989" s="1345"/>
      <c r="O2989" s="1103">
        <v>9</v>
      </c>
      <c r="P2989" s="1347">
        <f t="shared" si="81"/>
        <v>22500</v>
      </c>
    </row>
    <row r="2990" spans="1:16" ht="48" x14ac:dyDescent="0.2">
      <c r="A2990" s="1342">
        <v>403</v>
      </c>
      <c r="B2990" s="1335" t="s">
        <v>8683</v>
      </c>
      <c r="C2990" s="1336" t="s">
        <v>8679</v>
      </c>
      <c r="D2990" s="1335" t="s">
        <v>5043</v>
      </c>
      <c r="E2990" s="1337">
        <v>2500</v>
      </c>
      <c r="F2990" s="1338" t="s">
        <v>8925</v>
      </c>
      <c r="G2990" s="1335" t="s">
        <v>8926</v>
      </c>
      <c r="H2990" s="1335" t="s">
        <v>5043</v>
      </c>
      <c r="I2990" s="1344" t="s">
        <v>8682</v>
      </c>
      <c r="J2990" s="1338" t="s">
        <v>5043</v>
      </c>
      <c r="K2990" s="1348">
        <v>44216</v>
      </c>
      <c r="L2990" s="1103"/>
      <c r="M2990" s="1139"/>
      <c r="N2990" s="1345"/>
      <c r="O2990" s="1103">
        <v>9</v>
      </c>
      <c r="P2990" s="1347">
        <f t="shared" si="81"/>
        <v>22500</v>
      </c>
    </row>
    <row r="2991" spans="1:16" ht="48" x14ac:dyDescent="0.2">
      <c r="A2991" s="1342">
        <v>403</v>
      </c>
      <c r="B2991" s="1335" t="s">
        <v>8683</v>
      </c>
      <c r="C2991" s="1336" t="s">
        <v>8679</v>
      </c>
      <c r="D2991" s="1335" t="s">
        <v>5657</v>
      </c>
      <c r="E2991" s="1337">
        <v>1500</v>
      </c>
      <c r="F2991" s="1338" t="s">
        <v>8927</v>
      </c>
      <c r="G2991" s="1335" t="s">
        <v>8928</v>
      </c>
      <c r="H2991" s="1335" t="s">
        <v>5657</v>
      </c>
      <c r="I2991" s="1344" t="s">
        <v>8687</v>
      </c>
      <c r="J2991" s="1338" t="s">
        <v>5657</v>
      </c>
      <c r="K2991" s="1348">
        <v>44211</v>
      </c>
      <c r="L2991" s="1103"/>
      <c r="M2991" s="1139"/>
      <c r="N2991" s="1345"/>
      <c r="O2991" s="1103">
        <v>9</v>
      </c>
      <c r="P2991" s="1347">
        <f t="shared" si="81"/>
        <v>13500</v>
      </c>
    </row>
    <row r="2992" spans="1:16" ht="48" x14ac:dyDescent="0.2">
      <c r="A2992" s="1342">
        <v>403</v>
      </c>
      <c r="B2992" s="1335" t="s">
        <v>8683</v>
      </c>
      <c r="C2992" s="1336" t="s">
        <v>8679</v>
      </c>
      <c r="D2992" s="1335" t="s">
        <v>3164</v>
      </c>
      <c r="E2992" s="1337">
        <v>2000</v>
      </c>
      <c r="F2992" s="1338" t="s">
        <v>8929</v>
      </c>
      <c r="G2992" s="1335" t="s">
        <v>8930</v>
      </c>
      <c r="H2992" s="1335" t="s">
        <v>3164</v>
      </c>
      <c r="I2992" s="1344" t="s">
        <v>8687</v>
      </c>
      <c r="J2992" s="1338" t="s">
        <v>3164</v>
      </c>
      <c r="K2992" s="1348">
        <v>44378</v>
      </c>
      <c r="L2992" s="1103"/>
      <c r="M2992" s="1139"/>
      <c r="N2992" s="1345"/>
      <c r="O2992" s="1103">
        <v>2</v>
      </c>
      <c r="P2992" s="1347">
        <f t="shared" si="81"/>
        <v>4000</v>
      </c>
    </row>
    <row r="2993" spans="1:16" ht="48" x14ac:dyDescent="0.2">
      <c r="A2993" s="1342">
        <v>403</v>
      </c>
      <c r="B2993" s="1335" t="s">
        <v>8683</v>
      </c>
      <c r="C2993" s="1336" t="s">
        <v>8679</v>
      </c>
      <c r="D2993" s="1335" t="s">
        <v>8743</v>
      </c>
      <c r="E2993" s="1337">
        <v>5000</v>
      </c>
      <c r="F2993" s="1338" t="s">
        <v>8931</v>
      </c>
      <c r="G2993" s="1335" t="s">
        <v>8932</v>
      </c>
      <c r="H2993" s="1335" t="s">
        <v>8743</v>
      </c>
      <c r="I2993" s="1344" t="s">
        <v>8692</v>
      </c>
      <c r="J2993" s="1338" t="s">
        <v>8743</v>
      </c>
      <c r="K2993" s="1348">
        <v>44221</v>
      </c>
      <c r="L2993" s="1103"/>
      <c r="M2993" s="1139"/>
      <c r="N2993" s="1345"/>
      <c r="O2993" s="1103">
        <v>9</v>
      </c>
      <c r="P2993" s="1347">
        <f t="shared" si="81"/>
        <v>45000</v>
      </c>
    </row>
    <row r="2994" spans="1:16" ht="48" x14ac:dyDescent="0.2">
      <c r="A2994" s="1342">
        <v>403</v>
      </c>
      <c r="B2994" s="1335" t="s">
        <v>8683</v>
      </c>
      <c r="C2994" s="1336" t="s">
        <v>8679</v>
      </c>
      <c r="D2994" s="1335" t="s">
        <v>5657</v>
      </c>
      <c r="E2994" s="1337">
        <v>1500</v>
      </c>
      <c r="F2994" s="1338" t="s">
        <v>8933</v>
      </c>
      <c r="G2994" s="1335" t="s">
        <v>8934</v>
      </c>
      <c r="H2994" s="1335" t="s">
        <v>5657</v>
      </c>
      <c r="I2994" s="1344" t="s">
        <v>8687</v>
      </c>
      <c r="J2994" s="1338" t="s">
        <v>5657</v>
      </c>
      <c r="K2994" s="1348">
        <v>44229</v>
      </c>
      <c r="L2994" s="1103"/>
      <c r="M2994" s="1139"/>
      <c r="N2994" s="1345"/>
      <c r="O2994" s="1103">
        <v>8</v>
      </c>
      <c r="P2994" s="1347">
        <f t="shared" si="81"/>
        <v>12000</v>
      </c>
    </row>
    <row r="2995" spans="1:16" ht="48" x14ac:dyDescent="0.2">
      <c r="A2995" s="1342">
        <v>403</v>
      </c>
      <c r="B2995" s="1335" t="s">
        <v>8683</v>
      </c>
      <c r="C2995" s="1336" t="s">
        <v>8679</v>
      </c>
      <c r="D2995" s="1335" t="s">
        <v>5106</v>
      </c>
      <c r="E2995" s="1337">
        <v>5000</v>
      </c>
      <c r="F2995" s="1338" t="s">
        <v>8935</v>
      </c>
      <c r="G2995" s="1335" t="s">
        <v>8936</v>
      </c>
      <c r="H2995" s="1335" t="s">
        <v>5106</v>
      </c>
      <c r="I2995" s="1344" t="s">
        <v>8692</v>
      </c>
      <c r="J2995" s="1338" t="s">
        <v>5106</v>
      </c>
      <c r="K2995" s="1348">
        <v>44221</v>
      </c>
      <c r="L2995" s="1103"/>
      <c r="M2995" s="1139"/>
      <c r="N2995" s="1345"/>
      <c r="O2995" s="1103">
        <v>9</v>
      </c>
      <c r="P2995" s="1347">
        <f t="shared" si="81"/>
        <v>45000</v>
      </c>
    </row>
    <row r="2996" spans="1:16" ht="48" x14ac:dyDescent="0.2">
      <c r="A2996" s="1342">
        <v>403</v>
      </c>
      <c r="B2996" s="1335" t="s">
        <v>8683</v>
      </c>
      <c r="C2996" s="1336" t="s">
        <v>8679</v>
      </c>
      <c r="D2996" s="1335" t="s">
        <v>5112</v>
      </c>
      <c r="E2996" s="1337">
        <v>7000</v>
      </c>
      <c r="F2996" s="1338" t="s">
        <v>8937</v>
      </c>
      <c r="G2996" s="1335" t="s">
        <v>8938</v>
      </c>
      <c r="H2996" s="1335" t="s">
        <v>5112</v>
      </c>
      <c r="I2996" s="1344" t="s">
        <v>8692</v>
      </c>
      <c r="J2996" s="1338" t="s">
        <v>5112</v>
      </c>
      <c r="K2996" s="1348">
        <v>44378</v>
      </c>
      <c r="L2996" s="1103"/>
      <c r="M2996" s="1139"/>
      <c r="N2996" s="1345"/>
      <c r="O2996" s="1103">
        <v>2</v>
      </c>
      <c r="P2996" s="1347">
        <f t="shared" si="81"/>
        <v>14000</v>
      </c>
    </row>
    <row r="2997" spans="1:16" ht="36" x14ac:dyDescent="0.2">
      <c r="A2997" s="1342">
        <v>403</v>
      </c>
      <c r="B2997" s="1335" t="s">
        <v>3782</v>
      </c>
      <c r="C2997" s="1336" t="s">
        <v>8679</v>
      </c>
      <c r="D2997" s="1335" t="s">
        <v>3112</v>
      </c>
      <c r="E2997" s="1337">
        <v>1200</v>
      </c>
      <c r="F2997" s="1338" t="s">
        <v>8939</v>
      </c>
      <c r="G2997" s="1335" t="s">
        <v>8940</v>
      </c>
      <c r="H2997" s="1335" t="s">
        <v>8725</v>
      </c>
      <c r="I2997" s="1344" t="s">
        <v>8682</v>
      </c>
      <c r="J2997" s="1338" t="s">
        <v>8725</v>
      </c>
      <c r="K2997" s="1348">
        <v>44287</v>
      </c>
      <c r="L2997" s="1103"/>
      <c r="M2997" s="1139"/>
      <c r="N2997" s="1345"/>
      <c r="O2997" s="1103">
        <v>6</v>
      </c>
      <c r="P2997" s="1347">
        <f t="shared" si="81"/>
        <v>7200</v>
      </c>
    </row>
    <row r="2998" spans="1:16" ht="48" x14ac:dyDescent="0.2">
      <c r="A2998" s="1342">
        <v>403</v>
      </c>
      <c r="B2998" s="1335" t="s">
        <v>8683</v>
      </c>
      <c r="C2998" s="1336" t="s">
        <v>8679</v>
      </c>
      <c r="D2998" s="1335" t="s">
        <v>7759</v>
      </c>
      <c r="E2998" s="1337">
        <v>12000</v>
      </c>
      <c r="F2998" s="1338" t="s">
        <v>8941</v>
      </c>
      <c r="G2998" s="1335" t="s">
        <v>8942</v>
      </c>
      <c r="H2998" s="1335" t="s">
        <v>7759</v>
      </c>
      <c r="I2998" s="1344" t="s">
        <v>8692</v>
      </c>
      <c r="J2998" s="1338" t="s">
        <v>7759</v>
      </c>
      <c r="K2998" s="1348">
        <v>44325</v>
      </c>
      <c r="L2998" s="1103"/>
      <c r="M2998" s="1139"/>
      <c r="N2998" s="1345"/>
      <c r="O2998" s="1103">
        <v>4</v>
      </c>
      <c r="P2998" s="1347">
        <f t="shared" si="81"/>
        <v>48000</v>
      </c>
    </row>
    <row r="2999" spans="1:16" ht="48" x14ac:dyDescent="0.2">
      <c r="A2999" s="1342">
        <v>403</v>
      </c>
      <c r="B2999" s="1335" t="s">
        <v>8683</v>
      </c>
      <c r="C2999" s="1336" t="s">
        <v>8679</v>
      </c>
      <c r="D2999" s="1335" t="s">
        <v>8693</v>
      </c>
      <c r="E2999" s="1337">
        <v>1500</v>
      </c>
      <c r="F2999" s="1338" t="s">
        <v>8943</v>
      </c>
      <c r="G2999" s="1335" t="s">
        <v>8944</v>
      </c>
      <c r="H2999" s="1335" t="s">
        <v>8693</v>
      </c>
      <c r="I2999" s="1344" t="s">
        <v>8687</v>
      </c>
      <c r="J2999" s="1338" t="s">
        <v>8693</v>
      </c>
      <c r="K2999" s="1348">
        <v>44348</v>
      </c>
      <c r="L2999" s="1103"/>
      <c r="M2999" s="1139"/>
      <c r="N2999" s="1345"/>
      <c r="O2999" s="1103">
        <v>3</v>
      </c>
      <c r="P2999" s="1347">
        <f t="shared" si="81"/>
        <v>4500</v>
      </c>
    </row>
    <row r="3000" spans="1:16" ht="36" x14ac:dyDescent="0.2">
      <c r="A3000" s="1342">
        <v>403</v>
      </c>
      <c r="B3000" s="1335" t="s">
        <v>3782</v>
      </c>
      <c r="C3000" s="1336" t="s">
        <v>8679</v>
      </c>
      <c r="D3000" s="1335" t="s">
        <v>5084</v>
      </c>
      <c r="E3000" s="1337">
        <v>1200</v>
      </c>
      <c r="F3000" s="1338" t="s">
        <v>8945</v>
      </c>
      <c r="G3000" s="1335" t="s">
        <v>8946</v>
      </c>
      <c r="H3000" s="1335" t="s">
        <v>5084</v>
      </c>
      <c r="I3000" s="1344" t="s">
        <v>8687</v>
      </c>
      <c r="J3000" s="1338" t="s">
        <v>5084</v>
      </c>
      <c r="K3000" s="1348">
        <v>44378</v>
      </c>
      <c r="L3000" s="1103"/>
      <c r="M3000" s="1139"/>
      <c r="N3000" s="1345"/>
      <c r="O3000" s="1103">
        <v>2</v>
      </c>
      <c r="P3000" s="1347">
        <f t="shared" si="81"/>
        <v>2400</v>
      </c>
    </row>
    <row r="3001" spans="1:16" ht="36" x14ac:dyDescent="0.2">
      <c r="A3001" s="1342">
        <v>403</v>
      </c>
      <c r="B3001" s="1335" t="s">
        <v>3782</v>
      </c>
      <c r="C3001" s="1336" t="s">
        <v>8679</v>
      </c>
      <c r="D3001" s="1335" t="s">
        <v>3112</v>
      </c>
      <c r="E3001" s="1337">
        <v>1200</v>
      </c>
      <c r="F3001" s="1338" t="s">
        <v>8947</v>
      </c>
      <c r="G3001" s="1335" t="s">
        <v>8948</v>
      </c>
      <c r="H3001" s="1335" t="s">
        <v>5043</v>
      </c>
      <c r="I3001" s="1344" t="s">
        <v>8682</v>
      </c>
      <c r="J3001" s="1338" t="s">
        <v>5043</v>
      </c>
      <c r="K3001" s="1348">
        <v>44287</v>
      </c>
      <c r="L3001" s="1103"/>
      <c r="M3001" s="1139"/>
      <c r="N3001" s="1345"/>
      <c r="O3001" s="1103">
        <v>6</v>
      </c>
      <c r="P3001" s="1347">
        <f t="shared" si="81"/>
        <v>7200</v>
      </c>
    </row>
    <row r="3002" spans="1:16" ht="48" x14ac:dyDescent="0.2">
      <c r="A3002" s="1342">
        <v>403</v>
      </c>
      <c r="B3002" s="1335" t="s">
        <v>8683</v>
      </c>
      <c r="C3002" s="1336" t="s">
        <v>8679</v>
      </c>
      <c r="D3002" s="1335" t="s">
        <v>7759</v>
      </c>
      <c r="E3002" s="1337">
        <v>12000</v>
      </c>
      <c r="F3002" s="1338" t="s">
        <v>8949</v>
      </c>
      <c r="G3002" s="1335" t="s">
        <v>8950</v>
      </c>
      <c r="H3002" s="1335" t="s">
        <v>7759</v>
      </c>
      <c r="I3002" s="1344" t="s">
        <v>8692</v>
      </c>
      <c r="J3002" s="1338" t="s">
        <v>7759</v>
      </c>
      <c r="K3002" s="1348">
        <v>44372</v>
      </c>
      <c r="L3002" s="1103"/>
      <c r="M3002" s="1139"/>
      <c r="N3002" s="1345"/>
      <c r="O3002" s="1103">
        <v>3</v>
      </c>
      <c r="P3002" s="1347">
        <f t="shared" si="81"/>
        <v>36000</v>
      </c>
    </row>
    <row r="3003" spans="1:16" ht="36" x14ac:dyDescent="0.2">
      <c r="A3003" s="1342">
        <v>403</v>
      </c>
      <c r="B3003" s="1335" t="s">
        <v>3782</v>
      </c>
      <c r="C3003" s="1336" t="s">
        <v>8679</v>
      </c>
      <c r="D3003" s="1335" t="s">
        <v>8951</v>
      </c>
      <c r="E3003" s="1337">
        <v>2300</v>
      </c>
      <c r="F3003" s="1338" t="s">
        <v>8952</v>
      </c>
      <c r="G3003" s="1335" t="s">
        <v>8953</v>
      </c>
      <c r="H3003" s="1335" t="s">
        <v>8954</v>
      </c>
      <c r="I3003" s="1344" t="s">
        <v>8692</v>
      </c>
      <c r="J3003" s="1338" t="s">
        <v>8954</v>
      </c>
      <c r="K3003" s="1348">
        <v>44287</v>
      </c>
      <c r="L3003" s="1103"/>
      <c r="M3003" s="1139"/>
      <c r="N3003" s="1345"/>
      <c r="O3003" s="1103">
        <v>6</v>
      </c>
      <c r="P3003" s="1347">
        <f t="shared" si="81"/>
        <v>13800</v>
      </c>
    </row>
    <row r="3004" spans="1:16" ht="48" x14ac:dyDescent="0.2">
      <c r="A3004" s="1342">
        <v>403</v>
      </c>
      <c r="B3004" s="1335" t="s">
        <v>8683</v>
      </c>
      <c r="C3004" s="1336" t="s">
        <v>8679</v>
      </c>
      <c r="D3004" s="1335" t="s">
        <v>5043</v>
      </c>
      <c r="E3004" s="1337">
        <v>3500</v>
      </c>
      <c r="F3004" s="1338" t="s">
        <v>8955</v>
      </c>
      <c r="G3004" s="1335" t="s">
        <v>8956</v>
      </c>
      <c r="H3004" s="1335" t="s">
        <v>5043</v>
      </c>
      <c r="I3004" s="1344" t="s">
        <v>8682</v>
      </c>
      <c r="J3004" s="1338" t="s">
        <v>5043</v>
      </c>
      <c r="K3004" s="1348">
        <v>44382</v>
      </c>
      <c r="L3004" s="1103"/>
      <c r="M3004" s="1139"/>
      <c r="N3004" s="1345"/>
      <c r="O3004" s="1103">
        <v>2</v>
      </c>
      <c r="P3004" s="1347">
        <f t="shared" si="81"/>
        <v>7000</v>
      </c>
    </row>
    <row r="3005" spans="1:16" ht="36" x14ac:dyDescent="0.2">
      <c r="A3005" s="1342">
        <v>403</v>
      </c>
      <c r="B3005" s="1335" t="s">
        <v>3782</v>
      </c>
      <c r="C3005" s="1336" t="s">
        <v>8679</v>
      </c>
      <c r="D3005" s="1335" t="s">
        <v>3100</v>
      </c>
      <c r="E3005" s="1337">
        <v>1500</v>
      </c>
      <c r="F3005" s="1338" t="s">
        <v>8957</v>
      </c>
      <c r="G3005" s="1335" t="s">
        <v>8958</v>
      </c>
      <c r="H3005" s="1335" t="s">
        <v>3134</v>
      </c>
      <c r="I3005" s="1344" t="s">
        <v>8682</v>
      </c>
      <c r="J3005" s="1338" t="s">
        <v>3134</v>
      </c>
      <c r="K3005" s="1348">
        <v>44200</v>
      </c>
      <c r="L3005" s="1103"/>
      <c r="M3005" s="1139"/>
      <c r="N3005" s="1345"/>
      <c r="O3005" s="1103">
        <v>9</v>
      </c>
      <c r="P3005" s="1347">
        <f t="shared" ref="P3005:P3051" si="82">E3005*O3005</f>
        <v>13500</v>
      </c>
    </row>
    <row r="3006" spans="1:16" ht="36" x14ac:dyDescent="0.2">
      <c r="A3006" s="1342">
        <v>403</v>
      </c>
      <c r="B3006" s="1335" t="s">
        <v>3782</v>
      </c>
      <c r="C3006" s="1336" t="s">
        <v>8679</v>
      </c>
      <c r="D3006" s="1335" t="s">
        <v>3100</v>
      </c>
      <c r="E3006" s="1337">
        <v>1500</v>
      </c>
      <c r="F3006" s="1338" t="s">
        <v>8959</v>
      </c>
      <c r="G3006" s="1335" t="s">
        <v>8960</v>
      </c>
      <c r="H3006" s="1335" t="s">
        <v>3134</v>
      </c>
      <c r="I3006" s="1344" t="s">
        <v>8682</v>
      </c>
      <c r="J3006" s="1338" t="s">
        <v>3134</v>
      </c>
      <c r="K3006" s="1348">
        <v>44348</v>
      </c>
      <c r="L3006" s="1103"/>
      <c r="M3006" s="1139"/>
      <c r="N3006" s="1345"/>
      <c r="O3006" s="1103">
        <v>3</v>
      </c>
      <c r="P3006" s="1347">
        <f t="shared" si="82"/>
        <v>4500</v>
      </c>
    </row>
    <row r="3007" spans="1:16" ht="48" x14ac:dyDescent="0.2">
      <c r="A3007" s="1342">
        <v>403</v>
      </c>
      <c r="B3007" s="1335" t="s">
        <v>8683</v>
      </c>
      <c r="C3007" s="1336" t="s">
        <v>8679</v>
      </c>
      <c r="D3007" s="1335" t="s">
        <v>7759</v>
      </c>
      <c r="E3007" s="1337">
        <v>12000</v>
      </c>
      <c r="F3007" s="1338" t="s">
        <v>8961</v>
      </c>
      <c r="G3007" s="1335" t="s">
        <v>8962</v>
      </c>
      <c r="H3007" s="1335" t="s">
        <v>7759</v>
      </c>
      <c r="I3007" s="1344" t="s">
        <v>8692</v>
      </c>
      <c r="J3007" s="1338" t="s">
        <v>7759</v>
      </c>
      <c r="K3007" s="1348">
        <v>44317</v>
      </c>
      <c r="L3007" s="1103"/>
      <c r="M3007" s="1139"/>
      <c r="N3007" s="1345"/>
      <c r="O3007" s="1103">
        <v>4</v>
      </c>
      <c r="P3007" s="1347">
        <f t="shared" si="82"/>
        <v>48000</v>
      </c>
    </row>
    <row r="3008" spans="1:16" ht="48" x14ac:dyDescent="0.2">
      <c r="A3008" s="1342">
        <v>403</v>
      </c>
      <c r="B3008" s="1335" t="s">
        <v>8683</v>
      </c>
      <c r="C3008" s="1336" t="s">
        <v>8679</v>
      </c>
      <c r="D3008" s="1335" t="s">
        <v>5043</v>
      </c>
      <c r="E3008" s="1337">
        <v>3500</v>
      </c>
      <c r="F3008" s="1338" t="s">
        <v>8963</v>
      </c>
      <c r="G3008" s="1335" t="s">
        <v>8964</v>
      </c>
      <c r="H3008" s="1335" t="s">
        <v>5043</v>
      </c>
      <c r="I3008" s="1344" t="s">
        <v>8682</v>
      </c>
      <c r="J3008" s="1338" t="s">
        <v>5043</v>
      </c>
      <c r="K3008" s="1348">
        <v>44382</v>
      </c>
      <c r="L3008" s="1103"/>
      <c r="M3008" s="1139"/>
      <c r="N3008" s="1345"/>
      <c r="O3008" s="1103">
        <v>2</v>
      </c>
      <c r="P3008" s="1347">
        <f t="shared" si="82"/>
        <v>7000</v>
      </c>
    </row>
    <row r="3009" spans="1:16" ht="48" x14ac:dyDescent="0.2">
      <c r="A3009" s="1342">
        <v>403</v>
      </c>
      <c r="B3009" s="1335" t="s">
        <v>8683</v>
      </c>
      <c r="C3009" s="1336" t="s">
        <v>8679</v>
      </c>
      <c r="D3009" s="1335" t="s">
        <v>7759</v>
      </c>
      <c r="E3009" s="1337">
        <v>12000</v>
      </c>
      <c r="F3009" s="1338" t="s">
        <v>8965</v>
      </c>
      <c r="G3009" s="1335" t="s">
        <v>8966</v>
      </c>
      <c r="H3009" s="1335" t="s">
        <v>7759</v>
      </c>
      <c r="I3009" s="1344" t="s">
        <v>8692</v>
      </c>
      <c r="J3009" s="1338" t="s">
        <v>7759</v>
      </c>
      <c r="K3009" s="1348">
        <v>44348</v>
      </c>
      <c r="L3009" s="1103"/>
      <c r="M3009" s="1139"/>
      <c r="N3009" s="1345"/>
      <c r="O3009" s="1103">
        <v>3</v>
      </c>
      <c r="P3009" s="1347">
        <f t="shared" si="82"/>
        <v>36000</v>
      </c>
    </row>
    <row r="3010" spans="1:16" ht="36" x14ac:dyDescent="0.2">
      <c r="A3010" s="1342">
        <v>403</v>
      </c>
      <c r="B3010" s="1335" t="s">
        <v>3782</v>
      </c>
      <c r="C3010" s="1336" t="s">
        <v>8679</v>
      </c>
      <c r="D3010" s="1335" t="s">
        <v>3100</v>
      </c>
      <c r="E3010" s="1337">
        <v>1800</v>
      </c>
      <c r="F3010" s="1338" t="s">
        <v>8967</v>
      </c>
      <c r="G3010" s="1335" t="s">
        <v>8968</v>
      </c>
      <c r="H3010" s="1335" t="s">
        <v>5106</v>
      </c>
      <c r="I3010" s="1344" t="s">
        <v>8692</v>
      </c>
      <c r="J3010" s="1338" t="s">
        <v>5106</v>
      </c>
      <c r="K3010" s="1348">
        <v>44348</v>
      </c>
      <c r="L3010" s="1103"/>
      <c r="M3010" s="1139"/>
      <c r="N3010" s="1345"/>
      <c r="O3010" s="1103">
        <v>3</v>
      </c>
      <c r="P3010" s="1347">
        <f t="shared" si="82"/>
        <v>5400</v>
      </c>
    </row>
    <row r="3011" spans="1:16" ht="48" x14ac:dyDescent="0.2">
      <c r="A3011" s="1342">
        <v>403</v>
      </c>
      <c r="B3011" s="1335" t="s">
        <v>8683</v>
      </c>
      <c r="C3011" s="1336" t="s">
        <v>8679</v>
      </c>
      <c r="D3011" s="1335" t="s">
        <v>8743</v>
      </c>
      <c r="E3011" s="1337">
        <v>5000</v>
      </c>
      <c r="F3011" s="1338" t="s">
        <v>8969</v>
      </c>
      <c r="G3011" s="1335" t="s">
        <v>8970</v>
      </c>
      <c r="H3011" s="1335" t="s">
        <v>8743</v>
      </c>
      <c r="I3011" s="1344" t="s">
        <v>8692</v>
      </c>
      <c r="J3011" s="1338" t="s">
        <v>8743</v>
      </c>
      <c r="K3011" s="1348">
        <v>44381</v>
      </c>
      <c r="L3011" s="1103"/>
      <c r="M3011" s="1139"/>
      <c r="N3011" s="1345"/>
      <c r="O3011" s="1103">
        <v>2</v>
      </c>
      <c r="P3011" s="1347">
        <f t="shared" si="82"/>
        <v>10000</v>
      </c>
    </row>
    <row r="3012" spans="1:16" ht="48" x14ac:dyDescent="0.2">
      <c r="A3012" s="1342">
        <v>403</v>
      </c>
      <c r="B3012" s="1335" t="s">
        <v>8683</v>
      </c>
      <c r="C3012" s="1336" t="s">
        <v>8679</v>
      </c>
      <c r="D3012" s="1335" t="s">
        <v>8743</v>
      </c>
      <c r="E3012" s="1337">
        <v>5000</v>
      </c>
      <c r="F3012" s="1338" t="s">
        <v>8971</v>
      </c>
      <c r="G3012" s="1335" t="s">
        <v>8972</v>
      </c>
      <c r="H3012" s="1335" t="s">
        <v>8743</v>
      </c>
      <c r="I3012" s="1344" t="s">
        <v>8692</v>
      </c>
      <c r="J3012" s="1338" t="s">
        <v>8743</v>
      </c>
      <c r="K3012" s="1348">
        <v>44348</v>
      </c>
      <c r="L3012" s="1103"/>
      <c r="M3012" s="1139"/>
      <c r="N3012" s="1345"/>
      <c r="O3012" s="1103">
        <v>3</v>
      </c>
      <c r="P3012" s="1347">
        <f t="shared" si="82"/>
        <v>15000</v>
      </c>
    </row>
    <row r="3013" spans="1:16" ht="36" x14ac:dyDescent="0.2">
      <c r="A3013" s="1342">
        <v>403</v>
      </c>
      <c r="B3013" s="1335" t="s">
        <v>3782</v>
      </c>
      <c r="C3013" s="1336" t="s">
        <v>8679</v>
      </c>
      <c r="D3013" s="1335" t="s">
        <v>5063</v>
      </c>
      <c r="E3013" s="1337">
        <v>2500</v>
      </c>
      <c r="F3013" s="1338" t="s">
        <v>8973</v>
      </c>
      <c r="G3013" s="1335" t="s">
        <v>8974</v>
      </c>
      <c r="H3013" s="1335" t="s">
        <v>5063</v>
      </c>
      <c r="I3013" s="1344" t="s">
        <v>8692</v>
      </c>
      <c r="J3013" s="1338" t="s">
        <v>5063</v>
      </c>
      <c r="K3013" s="1348">
        <v>44287</v>
      </c>
      <c r="L3013" s="1103"/>
      <c r="M3013" s="1139"/>
      <c r="N3013" s="1345"/>
      <c r="O3013" s="1103">
        <v>6</v>
      </c>
      <c r="P3013" s="1347">
        <f t="shared" si="82"/>
        <v>15000</v>
      </c>
    </row>
    <row r="3014" spans="1:16" ht="48" x14ac:dyDescent="0.2">
      <c r="A3014" s="1342">
        <v>403</v>
      </c>
      <c r="B3014" s="1335" t="s">
        <v>8683</v>
      </c>
      <c r="C3014" s="1336" t="s">
        <v>8679</v>
      </c>
      <c r="D3014" s="1335" t="s">
        <v>8743</v>
      </c>
      <c r="E3014" s="1337">
        <v>5000</v>
      </c>
      <c r="F3014" s="1338" t="s">
        <v>8975</v>
      </c>
      <c r="G3014" s="1335" t="s">
        <v>8976</v>
      </c>
      <c r="H3014" s="1335" t="s">
        <v>8743</v>
      </c>
      <c r="I3014" s="1344" t="s">
        <v>8692</v>
      </c>
      <c r="J3014" s="1338" t="s">
        <v>8743</v>
      </c>
      <c r="K3014" s="1348">
        <v>44326</v>
      </c>
      <c r="L3014" s="1103"/>
      <c r="M3014" s="1139"/>
      <c r="N3014" s="1345"/>
      <c r="O3014" s="1103">
        <v>4</v>
      </c>
      <c r="P3014" s="1347">
        <f t="shared" si="82"/>
        <v>20000</v>
      </c>
    </row>
    <row r="3015" spans="1:16" ht="48" x14ac:dyDescent="0.2">
      <c r="A3015" s="1342">
        <v>403</v>
      </c>
      <c r="B3015" s="1335" t="s">
        <v>8683</v>
      </c>
      <c r="C3015" s="1336" t="s">
        <v>8679</v>
      </c>
      <c r="D3015" s="1335" t="s">
        <v>8743</v>
      </c>
      <c r="E3015" s="1337">
        <v>5000</v>
      </c>
      <c r="F3015" s="1338" t="s">
        <v>8977</v>
      </c>
      <c r="G3015" s="1335" t="s">
        <v>8978</v>
      </c>
      <c r="H3015" s="1335" t="s">
        <v>8743</v>
      </c>
      <c r="I3015" s="1344" t="s">
        <v>8692</v>
      </c>
      <c r="J3015" s="1338" t="s">
        <v>8743</v>
      </c>
      <c r="K3015" s="1348">
        <v>44382</v>
      </c>
      <c r="L3015" s="1103"/>
      <c r="M3015" s="1139"/>
      <c r="N3015" s="1345"/>
      <c r="O3015" s="1103">
        <v>2</v>
      </c>
      <c r="P3015" s="1347">
        <f t="shared" si="82"/>
        <v>10000</v>
      </c>
    </row>
    <row r="3016" spans="1:16" ht="48" x14ac:dyDescent="0.2">
      <c r="A3016" s="1342">
        <v>403</v>
      </c>
      <c r="B3016" s="1335" t="s">
        <v>8683</v>
      </c>
      <c r="C3016" s="1336" t="s">
        <v>8679</v>
      </c>
      <c r="D3016" s="1335" t="s">
        <v>5043</v>
      </c>
      <c r="E3016" s="1337">
        <v>2500</v>
      </c>
      <c r="F3016" s="1338" t="s">
        <v>8979</v>
      </c>
      <c r="G3016" s="1335" t="s">
        <v>8980</v>
      </c>
      <c r="H3016" s="1335" t="s">
        <v>5043</v>
      </c>
      <c r="I3016" s="1344" t="s">
        <v>8682</v>
      </c>
      <c r="J3016" s="1338" t="s">
        <v>5043</v>
      </c>
      <c r="K3016" s="1348">
        <v>44228</v>
      </c>
      <c r="L3016" s="1103"/>
      <c r="M3016" s="1139"/>
      <c r="N3016" s="1345"/>
      <c r="O3016" s="1103">
        <v>8</v>
      </c>
      <c r="P3016" s="1347">
        <f t="shared" si="82"/>
        <v>20000</v>
      </c>
    </row>
    <row r="3017" spans="1:16" ht="48" x14ac:dyDescent="0.2">
      <c r="A3017" s="1342">
        <v>403</v>
      </c>
      <c r="B3017" s="1335" t="s">
        <v>8683</v>
      </c>
      <c r="C3017" s="1336" t="s">
        <v>8679</v>
      </c>
      <c r="D3017" s="1335" t="s">
        <v>8684</v>
      </c>
      <c r="E3017" s="1337">
        <v>1500</v>
      </c>
      <c r="F3017" s="1338" t="s">
        <v>8981</v>
      </c>
      <c r="G3017" s="1335" t="s">
        <v>8982</v>
      </c>
      <c r="H3017" s="1335" t="s">
        <v>8684</v>
      </c>
      <c r="I3017" s="1344" t="s">
        <v>8687</v>
      </c>
      <c r="J3017" s="1338" t="s">
        <v>8684</v>
      </c>
      <c r="K3017" s="1348">
        <v>44239</v>
      </c>
      <c r="L3017" s="1103"/>
      <c r="M3017" s="1139"/>
      <c r="N3017" s="1345"/>
      <c r="O3017" s="1103">
        <v>8</v>
      </c>
      <c r="P3017" s="1347">
        <f t="shared" si="82"/>
        <v>12000</v>
      </c>
    </row>
    <row r="3018" spans="1:16" ht="36" x14ac:dyDescent="0.2">
      <c r="A3018" s="1342">
        <v>403</v>
      </c>
      <c r="B3018" s="1335" t="s">
        <v>3782</v>
      </c>
      <c r="C3018" s="1336" t="s">
        <v>8679</v>
      </c>
      <c r="D3018" s="1335" t="s">
        <v>8983</v>
      </c>
      <c r="E3018" s="1337">
        <v>2300</v>
      </c>
      <c r="F3018" s="1338" t="s">
        <v>8984</v>
      </c>
      <c r="G3018" s="1335" t="s">
        <v>8985</v>
      </c>
      <c r="H3018" s="1335" t="s">
        <v>8983</v>
      </c>
      <c r="I3018" s="1344" t="s">
        <v>8692</v>
      </c>
      <c r="J3018" s="1338" t="s">
        <v>8983</v>
      </c>
      <c r="K3018" s="1348">
        <v>44228</v>
      </c>
      <c r="L3018" s="1103"/>
      <c r="M3018" s="1139"/>
      <c r="N3018" s="1345"/>
      <c r="O3018" s="1103">
        <v>8</v>
      </c>
      <c r="P3018" s="1347">
        <f t="shared" si="82"/>
        <v>18400</v>
      </c>
    </row>
    <row r="3019" spans="1:16" ht="48" x14ac:dyDescent="0.2">
      <c r="A3019" s="1342">
        <v>403</v>
      </c>
      <c r="B3019" s="1335" t="s">
        <v>8683</v>
      </c>
      <c r="C3019" s="1336" t="s">
        <v>8679</v>
      </c>
      <c r="D3019" s="1335" t="s">
        <v>5043</v>
      </c>
      <c r="E3019" s="1337">
        <v>2500</v>
      </c>
      <c r="F3019" s="1338" t="s">
        <v>8986</v>
      </c>
      <c r="G3019" s="1335" t="s">
        <v>8987</v>
      </c>
      <c r="H3019" s="1335" t="s">
        <v>5043</v>
      </c>
      <c r="I3019" s="1344" t="s">
        <v>8682</v>
      </c>
      <c r="J3019" s="1338" t="s">
        <v>5043</v>
      </c>
      <c r="K3019" s="1348">
        <v>44197</v>
      </c>
      <c r="L3019" s="1103"/>
      <c r="M3019" s="1139"/>
      <c r="N3019" s="1345"/>
      <c r="O3019" s="1103">
        <v>9</v>
      </c>
      <c r="P3019" s="1347">
        <f t="shared" si="82"/>
        <v>22500</v>
      </c>
    </row>
    <row r="3020" spans="1:16" ht="36" x14ac:dyDescent="0.2">
      <c r="A3020" s="1342">
        <v>403</v>
      </c>
      <c r="B3020" s="1335" t="s">
        <v>3782</v>
      </c>
      <c r="C3020" s="1336" t="s">
        <v>8679</v>
      </c>
      <c r="D3020" s="1335" t="s">
        <v>3100</v>
      </c>
      <c r="E3020" s="1337">
        <v>1500</v>
      </c>
      <c r="F3020" s="1338" t="s">
        <v>8988</v>
      </c>
      <c r="G3020" s="1335" t="s">
        <v>8989</v>
      </c>
      <c r="H3020" s="1335" t="s">
        <v>4036</v>
      </c>
      <c r="I3020" s="1344" t="s">
        <v>8682</v>
      </c>
      <c r="J3020" s="1338" t="s">
        <v>4036</v>
      </c>
      <c r="K3020" s="1348">
        <v>44203</v>
      </c>
      <c r="L3020" s="1103"/>
      <c r="M3020" s="1139"/>
      <c r="N3020" s="1345"/>
      <c r="O3020" s="1103">
        <v>9</v>
      </c>
      <c r="P3020" s="1347">
        <f t="shared" si="82"/>
        <v>13500</v>
      </c>
    </row>
    <row r="3021" spans="1:16" ht="48" x14ac:dyDescent="0.2">
      <c r="A3021" s="1342">
        <v>403</v>
      </c>
      <c r="B3021" s="1335" t="s">
        <v>8683</v>
      </c>
      <c r="C3021" s="1336" t="s">
        <v>8679</v>
      </c>
      <c r="D3021" s="1335" t="s">
        <v>7759</v>
      </c>
      <c r="E3021" s="1337">
        <v>12000</v>
      </c>
      <c r="F3021" s="1338" t="s">
        <v>8990</v>
      </c>
      <c r="G3021" s="1335" t="s">
        <v>8991</v>
      </c>
      <c r="H3021" s="1335" t="s">
        <v>7759</v>
      </c>
      <c r="I3021" s="1344" t="s">
        <v>8692</v>
      </c>
      <c r="J3021" s="1338" t="s">
        <v>7759</v>
      </c>
      <c r="K3021" s="1348">
        <v>44228</v>
      </c>
      <c r="L3021" s="1103"/>
      <c r="M3021" s="1139"/>
      <c r="N3021" s="1345"/>
      <c r="O3021" s="1103">
        <v>8</v>
      </c>
      <c r="P3021" s="1347">
        <f t="shared" si="82"/>
        <v>96000</v>
      </c>
    </row>
    <row r="3022" spans="1:16" ht="48" x14ac:dyDescent="0.2">
      <c r="A3022" s="1342">
        <v>403</v>
      </c>
      <c r="B3022" s="1335" t="s">
        <v>8683</v>
      </c>
      <c r="C3022" s="1336" t="s">
        <v>8679</v>
      </c>
      <c r="D3022" s="1335" t="s">
        <v>3389</v>
      </c>
      <c r="E3022" s="1337">
        <v>2000</v>
      </c>
      <c r="F3022" s="1338" t="s">
        <v>8992</v>
      </c>
      <c r="G3022" s="1335" t="s">
        <v>8993</v>
      </c>
      <c r="H3022" s="1335" t="s">
        <v>3389</v>
      </c>
      <c r="I3022" s="1344" t="s">
        <v>8687</v>
      </c>
      <c r="J3022" s="1338" t="s">
        <v>3389</v>
      </c>
      <c r="K3022" s="1348">
        <v>44287</v>
      </c>
      <c r="L3022" s="1103"/>
      <c r="M3022" s="1139"/>
      <c r="N3022" s="1345"/>
      <c r="O3022" s="1103">
        <v>6</v>
      </c>
      <c r="P3022" s="1347">
        <f t="shared" si="82"/>
        <v>12000</v>
      </c>
    </row>
    <row r="3023" spans="1:16" ht="48" x14ac:dyDescent="0.2">
      <c r="A3023" s="1342">
        <v>403</v>
      </c>
      <c r="B3023" s="1335" t="s">
        <v>8683</v>
      </c>
      <c r="C3023" s="1336" t="s">
        <v>8679</v>
      </c>
      <c r="D3023" s="1335" t="s">
        <v>5043</v>
      </c>
      <c r="E3023" s="1337">
        <v>2500</v>
      </c>
      <c r="F3023" s="1338" t="s">
        <v>8994</v>
      </c>
      <c r="G3023" s="1335" t="s">
        <v>8995</v>
      </c>
      <c r="H3023" s="1335" t="s">
        <v>5043</v>
      </c>
      <c r="I3023" s="1344" t="s">
        <v>8682</v>
      </c>
      <c r="J3023" s="1338" t="s">
        <v>5043</v>
      </c>
      <c r="K3023" s="1348">
        <v>44221</v>
      </c>
      <c r="L3023" s="1103"/>
      <c r="M3023" s="1139"/>
      <c r="N3023" s="1345"/>
      <c r="O3023" s="1103">
        <v>9</v>
      </c>
      <c r="P3023" s="1347">
        <f t="shared" si="82"/>
        <v>22500</v>
      </c>
    </row>
    <row r="3024" spans="1:16" ht="48" x14ac:dyDescent="0.2">
      <c r="A3024" s="1342">
        <v>403</v>
      </c>
      <c r="B3024" s="1335" t="s">
        <v>8683</v>
      </c>
      <c r="C3024" s="1336" t="s">
        <v>8679</v>
      </c>
      <c r="D3024" s="1335" t="s">
        <v>5657</v>
      </c>
      <c r="E3024" s="1337">
        <v>1500</v>
      </c>
      <c r="F3024" s="1338" t="s">
        <v>8996</v>
      </c>
      <c r="G3024" s="1335" t="s">
        <v>8997</v>
      </c>
      <c r="H3024" s="1335" t="s">
        <v>5657</v>
      </c>
      <c r="I3024" s="1344" t="s">
        <v>8687</v>
      </c>
      <c r="J3024" s="1338" t="s">
        <v>5657</v>
      </c>
      <c r="K3024" s="1348">
        <v>44378</v>
      </c>
      <c r="L3024" s="1103"/>
      <c r="M3024" s="1139"/>
      <c r="N3024" s="1345"/>
      <c r="O3024" s="1103">
        <v>2</v>
      </c>
      <c r="P3024" s="1347">
        <f t="shared" si="82"/>
        <v>3000</v>
      </c>
    </row>
    <row r="3025" spans="1:16" ht="48" x14ac:dyDescent="0.2">
      <c r="A3025" s="1342">
        <v>403</v>
      </c>
      <c r="B3025" s="1335" t="s">
        <v>8683</v>
      </c>
      <c r="C3025" s="1336" t="s">
        <v>8679</v>
      </c>
      <c r="D3025" s="1335" t="s">
        <v>8743</v>
      </c>
      <c r="E3025" s="1337">
        <v>5000</v>
      </c>
      <c r="F3025" s="1338" t="s">
        <v>8998</v>
      </c>
      <c r="G3025" s="1335" t="s">
        <v>8999</v>
      </c>
      <c r="H3025" s="1335" t="s">
        <v>8743</v>
      </c>
      <c r="I3025" s="1344" t="s">
        <v>8692</v>
      </c>
      <c r="J3025" s="1338" t="s">
        <v>8743</v>
      </c>
      <c r="K3025" s="1348">
        <v>44382</v>
      </c>
      <c r="L3025" s="1103"/>
      <c r="M3025" s="1139"/>
      <c r="N3025" s="1345"/>
      <c r="O3025" s="1103">
        <v>2</v>
      </c>
      <c r="P3025" s="1347">
        <f t="shared" si="82"/>
        <v>10000</v>
      </c>
    </row>
    <row r="3026" spans="1:16" ht="36" x14ac:dyDescent="0.2">
      <c r="A3026" s="1342">
        <v>403</v>
      </c>
      <c r="B3026" s="1335" t="s">
        <v>3782</v>
      </c>
      <c r="C3026" s="1336" t="s">
        <v>8679</v>
      </c>
      <c r="D3026" s="1335" t="s">
        <v>3112</v>
      </c>
      <c r="E3026" s="1337">
        <v>1200</v>
      </c>
      <c r="F3026" s="1338" t="s">
        <v>9000</v>
      </c>
      <c r="G3026" s="1335" t="s">
        <v>9001</v>
      </c>
      <c r="H3026" s="1335" t="s">
        <v>3112</v>
      </c>
      <c r="I3026" s="1344" t="s">
        <v>8687</v>
      </c>
      <c r="J3026" s="1338" t="s">
        <v>3112</v>
      </c>
      <c r="K3026" s="1348">
        <v>44317</v>
      </c>
      <c r="L3026" s="1103"/>
      <c r="M3026" s="1139"/>
      <c r="N3026" s="1345"/>
      <c r="O3026" s="1103">
        <v>4</v>
      </c>
      <c r="P3026" s="1347">
        <f t="shared" si="82"/>
        <v>4800</v>
      </c>
    </row>
    <row r="3027" spans="1:16" ht="48" x14ac:dyDescent="0.2">
      <c r="A3027" s="1342">
        <v>403</v>
      </c>
      <c r="B3027" s="1335" t="s">
        <v>8683</v>
      </c>
      <c r="C3027" s="1336" t="s">
        <v>8679</v>
      </c>
      <c r="D3027" s="1335" t="s">
        <v>3164</v>
      </c>
      <c r="E3027" s="1337">
        <v>2000</v>
      </c>
      <c r="F3027" s="1338" t="s">
        <v>9002</v>
      </c>
      <c r="G3027" s="1335" t="s">
        <v>9003</v>
      </c>
      <c r="H3027" s="1335" t="s">
        <v>3164</v>
      </c>
      <c r="I3027" s="1344" t="s">
        <v>8687</v>
      </c>
      <c r="J3027" s="1338" t="s">
        <v>3164</v>
      </c>
      <c r="K3027" s="1348">
        <v>44378</v>
      </c>
      <c r="L3027" s="1103"/>
      <c r="M3027" s="1139"/>
      <c r="N3027" s="1345"/>
      <c r="O3027" s="1103">
        <v>2</v>
      </c>
      <c r="P3027" s="1347">
        <f t="shared" si="82"/>
        <v>4000</v>
      </c>
    </row>
    <row r="3028" spans="1:16" ht="48" x14ac:dyDescent="0.2">
      <c r="A3028" s="1342">
        <v>403</v>
      </c>
      <c r="B3028" s="1335" t="s">
        <v>8683</v>
      </c>
      <c r="C3028" s="1336" t="s">
        <v>8679</v>
      </c>
      <c r="D3028" s="1335" t="s">
        <v>7759</v>
      </c>
      <c r="E3028" s="1337">
        <v>12000</v>
      </c>
      <c r="F3028" s="1338" t="s">
        <v>9004</v>
      </c>
      <c r="G3028" s="1335" t="s">
        <v>9005</v>
      </c>
      <c r="H3028" s="1335" t="s">
        <v>7759</v>
      </c>
      <c r="I3028" s="1344" t="s">
        <v>8692</v>
      </c>
      <c r="J3028" s="1338" t="s">
        <v>7759</v>
      </c>
      <c r="K3028" s="1348">
        <v>44228</v>
      </c>
      <c r="L3028" s="1103"/>
      <c r="M3028" s="1139"/>
      <c r="N3028" s="1345"/>
      <c r="O3028" s="1103">
        <v>8</v>
      </c>
      <c r="P3028" s="1347">
        <f t="shared" si="82"/>
        <v>96000</v>
      </c>
    </row>
    <row r="3029" spans="1:16" ht="48" x14ac:dyDescent="0.2">
      <c r="A3029" s="1342">
        <v>403</v>
      </c>
      <c r="B3029" s="1335" t="s">
        <v>8683</v>
      </c>
      <c r="C3029" s="1336" t="s">
        <v>8679</v>
      </c>
      <c r="D3029" s="1335" t="s">
        <v>5043</v>
      </c>
      <c r="E3029" s="1337">
        <v>3500</v>
      </c>
      <c r="F3029" s="1338" t="s">
        <v>9006</v>
      </c>
      <c r="G3029" s="1335" t="s">
        <v>9007</v>
      </c>
      <c r="H3029" s="1335" t="s">
        <v>5043</v>
      </c>
      <c r="I3029" s="1344" t="s">
        <v>8682</v>
      </c>
      <c r="J3029" s="1338" t="s">
        <v>5043</v>
      </c>
      <c r="K3029" s="1348">
        <v>44382</v>
      </c>
      <c r="L3029" s="1103"/>
      <c r="M3029" s="1139"/>
      <c r="N3029" s="1345"/>
      <c r="O3029" s="1103">
        <v>2</v>
      </c>
      <c r="P3029" s="1347">
        <f t="shared" si="82"/>
        <v>7000</v>
      </c>
    </row>
    <row r="3030" spans="1:16" ht="48" x14ac:dyDescent="0.2">
      <c r="A3030" s="1342">
        <v>403</v>
      </c>
      <c r="B3030" s="1335" t="s">
        <v>8683</v>
      </c>
      <c r="C3030" s="1336" t="s">
        <v>8679</v>
      </c>
      <c r="D3030" s="1335" t="s">
        <v>5043</v>
      </c>
      <c r="E3030" s="1337">
        <v>3500</v>
      </c>
      <c r="F3030" s="1338" t="s">
        <v>9008</v>
      </c>
      <c r="G3030" s="1335" t="s">
        <v>9009</v>
      </c>
      <c r="H3030" s="1335" t="s">
        <v>5043</v>
      </c>
      <c r="I3030" s="1344" t="s">
        <v>8682</v>
      </c>
      <c r="J3030" s="1338" t="s">
        <v>5043</v>
      </c>
      <c r="K3030" s="1348">
        <v>44382</v>
      </c>
      <c r="L3030" s="1103"/>
      <c r="M3030" s="1139"/>
      <c r="N3030" s="1345"/>
      <c r="O3030" s="1103">
        <v>2</v>
      </c>
      <c r="P3030" s="1347">
        <f t="shared" si="82"/>
        <v>7000</v>
      </c>
    </row>
    <row r="3031" spans="1:16" ht="36" x14ac:dyDescent="0.2">
      <c r="A3031" s="1342">
        <v>403</v>
      </c>
      <c r="B3031" s="1335" t="s">
        <v>3782</v>
      </c>
      <c r="C3031" s="1336" t="s">
        <v>8679</v>
      </c>
      <c r="D3031" s="1335" t="s">
        <v>8785</v>
      </c>
      <c r="E3031" s="1337">
        <v>2000</v>
      </c>
      <c r="F3031" s="1338" t="s">
        <v>9010</v>
      </c>
      <c r="G3031" s="1335" t="s">
        <v>9011</v>
      </c>
      <c r="H3031" s="1335" t="s">
        <v>9012</v>
      </c>
      <c r="I3031" s="1344" t="s">
        <v>8692</v>
      </c>
      <c r="J3031" s="1338" t="s">
        <v>9012</v>
      </c>
      <c r="K3031" s="1348">
        <v>44197</v>
      </c>
      <c r="L3031" s="1103"/>
      <c r="M3031" s="1139"/>
      <c r="N3031" s="1345"/>
      <c r="O3031" s="1103">
        <v>9</v>
      </c>
      <c r="P3031" s="1347">
        <f t="shared" si="82"/>
        <v>18000</v>
      </c>
    </row>
    <row r="3032" spans="1:16" ht="48" x14ac:dyDescent="0.2">
      <c r="A3032" s="1342">
        <v>403</v>
      </c>
      <c r="B3032" s="1335" t="s">
        <v>8683</v>
      </c>
      <c r="C3032" s="1336" t="s">
        <v>8679</v>
      </c>
      <c r="D3032" s="1335" t="s">
        <v>5043</v>
      </c>
      <c r="E3032" s="1337">
        <v>2500</v>
      </c>
      <c r="F3032" s="1338" t="s">
        <v>9013</v>
      </c>
      <c r="G3032" s="1335" t="s">
        <v>9014</v>
      </c>
      <c r="H3032" s="1335" t="s">
        <v>5043</v>
      </c>
      <c r="I3032" s="1344" t="s">
        <v>8682</v>
      </c>
      <c r="J3032" s="1338" t="s">
        <v>5043</v>
      </c>
      <c r="K3032" s="1348">
        <v>44228</v>
      </c>
      <c r="L3032" s="1103"/>
      <c r="M3032" s="1139"/>
      <c r="N3032" s="1345"/>
      <c r="O3032" s="1103">
        <v>8</v>
      </c>
      <c r="P3032" s="1347">
        <f t="shared" si="82"/>
        <v>20000</v>
      </c>
    </row>
    <row r="3033" spans="1:16" ht="48" x14ac:dyDescent="0.2">
      <c r="A3033" s="1342">
        <v>403</v>
      </c>
      <c r="B3033" s="1335" t="s">
        <v>8683</v>
      </c>
      <c r="C3033" s="1336" t="s">
        <v>8679</v>
      </c>
      <c r="D3033" s="1335" t="s">
        <v>7759</v>
      </c>
      <c r="E3033" s="1337">
        <v>12000</v>
      </c>
      <c r="F3033" s="1338" t="s">
        <v>9015</v>
      </c>
      <c r="G3033" s="1335" t="s">
        <v>9016</v>
      </c>
      <c r="H3033" s="1335" t="s">
        <v>7759</v>
      </c>
      <c r="I3033" s="1344" t="s">
        <v>8692</v>
      </c>
      <c r="J3033" s="1338" t="s">
        <v>7759</v>
      </c>
      <c r="K3033" s="1348">
        <v>44317</v>
      </c>
      <c r="L3033" s="1103"/>
      <c r="M3033" s="1139"/>
      <c r="N3033" s="1345"/>
      <c r="O3033" s="1103">
        <v>4</v>
      </c>
      <c r="P3033" s="1347">
        <f t="shared" si="82"/>
        <v>48000</v>
      </c>
    </row>
    <row r="3034" spans="1:16" ht="48" x14ac:dyDescent="0.2">
      <c r="A3034" s="1342">
        <v>403</v>
      </c>
      <c r="B3034" s="1335" t="s">
        <v>8683</v>
      </c>
      <c r="C3034" s="1336" t="s">
        <v>8679</v>
      </c>
      <c r="D3034" s="1335" t="s">
        <v>8743</v>
      </c>
      <c r="E3034" s="1337">
        <v>5000</v>
      </c>
      <c r="F3034" s="1338" t="s">
        <v>9017</v>
      </c>
      <c r="G3034" s="1335" t="s">
        <v>9018</v>
      </c>
      <c r="H3034" s="1335" t="s">
        <v>8743</v>
      </c>
      <c r="I3034" s="1344" t="s">
        <v>8692</v>
      </c>
      <c r="J3034" s="1338" t="s">
        <v>8743</v>
      </c>
      <c r="K3034" s="1348">
        <v>44287</v>
      </c>
      <c r="L3034" s="1103"/>
      <c r="M3034" s="1139"/>
      <c r="N3034" s="1345"/>
      <c r="O3034" s="1103">
        <v>6</v>
      </c>
      <c r="P3034" s="1347">
        <f t="shared" si="82"/>
        <v>30000</v>
      </c>
    </row>
    <row r="3035" spans="1:16" ht="48" x14ac:dyDescent="0.2">
      <c r="A3035" s="1342">
        <v>403</v>
      </c>
      <c r="B3035" s="1335" t="s">
        <v>8683</v>
      </c>
      <c r="C3035" s="1336" t="s">
        <v>8679</v>
      </c>
      <c r="D3035" s="1335" t="s">
        <v>5657</v>
      </c>
      <c r="E3035" s="1337">
        <v>1500</v>
      </c>
      <c r="F3035" s="1338" t="s">
        <v>9019</v>
      </c>
      <c r="G3035" s="1335" t="s">
        <v>9020</v>
      </c>
      <c r="H3035" s="1335" t="s">
        <v>5657</v>
      </c>
      <c r="I3035" s="1344" t="s">
        <v>8687</v>
      </c>
      <c r="J3035" s="1338" t="s">
        <v>5657</v>
      </c>
      <c r="K3035" s="1348">
        <v>44211</v>
      </c>
      <c r="L3035" s="1103"/>
      <c r="M3035" s="1139"/>
      <c r="N3035" s="1345"/>
      <c r="O3035" s="1103">
        <v>9</v>
      </c>
      <c r="P3035" s="1347">
        <f t="shared" si="82"/>
        <v>13500</v>
      </c>
    </row>
    <row r="3036" spans="1:16" ht="48" x14ac:dyDescent="0.2">
      <c r="A3036" s="1342">
        <v>403</v>
      </c>
      <c r="B3036" s="1335" t="s">
        <v>8683</v>
      </c>
      <c r="C3036" s="1336" t="s">
        <v>8679</v>
      </c>
      <c r="D3036" s="1335" t="s">
        <v>5043</v>
      </c>
      <c r="E3036" s="1337">
        <v>2500</v>
      </c>
      <c r="F3036" s="1338" t="s">
        <v>9021</v>
      </c>
      <c r="G3036" s="1335" t="s">
        <v>9022</v>
      </c>
      <c r="H3036" s="1335" t="s">
        <v>5043</v>
      </c>
      <c r="I3036" s="1344" t="s">
        <v>8682</v>
      </c>
      <c r="J3036" s="1338" t="s">
        <v>5043</v>
      </c>
      <c r="K3036" s="1348">
        <v>44287</v>
      </c>
      <c r="L3036" s="1103"/>
      <c r="M3036" s="1139"/>
      <c r="N3036" s="1345"/>
      <c r="O3036" s="1103">
        <v>6</v>
      </c>
      <c r="P3036" s="1347">
        <f t="shared" si="82"/>
        <v>15000</v>
      </c>
    </row>
    <row r="3037" spans="1:16" ht="48" x14ac:dyDescent="0.2">
      <c r="A3037" s="1342">
        <v>403</v>
      </c>
      <c r="B3037" s="1335" t="s">
        <v>8683</v>
      </c>
      <c r="C3037" s="1336" t="s">
        <v>8679</v>
      </c>
      <c r="D3037" s="1335" t="s">
        <v>5106</v>
      </c>
      <c r="E3037" s="1337">
        <v>5000</v>
      </c>
      <c r="F3037" s="1338" t="s">
        <v>9023</v>
      </c>
      <c r="G3037" s="1335" t="s">
        <v>9024</v>
      </c>
      <c r="H3037" s="1335" t="s">
        <v>5106</v>
      </c>
      <c r="I3037" s="1344" t="s">
        <v>8692</v>
      </c>
      <c r="J3037" s="1338" t="s">
        <v>5106</v>
      </c>
      <c r="K3037" s="1348">
        <v>44221</v>
      </c>
      <c r="L3037" s="1103"/>
      <c r="M3037" s="1139"/>
      <c r="N3037" s="1345"/>
      <c r="O3037" s="1103">
        <v>9</v>
      </c>
      <c r="P3037" s="1347">
        <f t="shared" si="82"/>
        <v>45000</v>
      </c>
    </row>
    <row r="3038" spans="1:16" ht="48" x14ac:dyDescent="0.2">
      <c r="A3038" s="1342">
        <v>403</v>
      </c>
      <c r="B3038" s="1335" t="s">
        <v>8683</v>
      </c>
      <c r="C3038" s="1336" t="s">
        <v>8679</v>
      </c>
      <c r="D3038" s="1335" t="s">
        <v>5043</v>
      </c>
      <c r="E3038" s="1337">
        <v>2500</v>
      </c>
      <c r="F3038" s="1338" t="s">
        <v>9025</v>
      </c>
      <c r="G3038" s="1335" t="s">
        <v>9026</v>
      </c>
      <c r="H3038" s="1335" t="s">
        <v>5043</v>
      </c>
      <c r="I3038" s="1344" t="s">
        <v>8682</v>
      </c>
      <c r="J3038" s="1338" t="s">
        <v>5043</v>
      </c>
      <c r="K3038" s="1348">
        <v>44211</v>
      </c>
      <c r="L3038" s="1103"/>
      <c r="M3038" s="1139"/>
      <c r="N3038" s="1345"/>
      <c r="O3038" s="1103">
        <v>9</v>
      </c>
      <c r="P3038" s="1347">
        <f t="shared" si="82"/>
        <v>22500</v>
      </c>
    </row>
    <row r="3039" spans="1:16" ht="48" x14ac:dyDescent="0.2">
      <c r="A3039" s="1342">
        <v>403</v>
      </c>
      <c r="B3039" s="1335" t="s">
        <v>8683</v>
      </c>
      <c r="C3039" s="1336" t="s">
        <v>8679</v>
      </c>
      <c r="D3039" s="1335" t="s">
        <v>8743</v>
      </c>
      <c r="E3039" s="1337">
        <v>5000</v>
      </c>
      <c r="F3039" s="1338" t="s">
        <v>9027</v>
      </c>
      <c r="G3039" s="1335" t="s">
        <v>9028</v>
      </c>
      <c r="H3039" s="1335" t="s">
        <v>8743</v>
      </c>
      <c r="I3039" s="1344" t="s">
        <v>8692</v>
      </c>
      <c r="J3039" s="1338" t="s">
        <v>8743</v>
      </c>
      <c r="K3039" s="1348">
        <v>44214</v>
      </c>
      <c r="L3039" s="1103"/>
      <c r="M3039" s="1139"/>
      <c r="N3039" s="1345"/>
      <c r="O3039" s="1103">
        <v>9</v>
      </c>
      <c r="P3039" s="1347">
        <f t="shared" si="82"/>
        <v>45000</v>
      </c>
    </row>
    <row r="3040" spans="1:16" ht="48" x14ac:dyDescent="0.2">
      <c r="A3040" s="1342">
        <v>403</v>
      </c>
      <c r="B3040" s="1335" t="s">
        <v>8683</v>
      </c>
      <c r="C3040" s="1336" t="s">
        <v>8679</v>
      </c>
      <c r="D3040" s="1335" t="s">
        <v>5043</v>
      </c>
      <c r="E3040" s="1337">
        <v>2500</v>
      </c>
      <c r="F3040" s="1338" t="s">
        <v>9029</v>
      </c>
      <c r="G3040" s="1335" t="s">
        <v>9030</v>
      </c>
      <c r="H3040" s="1335" t="s">
        <v>5043</v>
      </c>
      <c r="I3040" s="1344" t="s">
        <v>8682</v>
      </c>
      <c r="J3040" s="1338" t="s">
        <v>5043</v>
      </c>
      <c r="K3040" s="1348">
        <v>44204</v>
      </c>
      <c r="L3040" s="1103"/>
      <c r="M3040" s="1139"/>
      <c r="N3040" s="1345"/>
      <c r="O3040" s="1103">
        <v>9</v>
      </c>
      <c r="P3040" s="1347">
        <f t="shared" si="82"/>
        <v>22500</v>
      </c>
    </row>
    <row r="3041" spans="1:16" ht="48" x14ac:dyDescent="0.2">
      <c r="A3041" s="1342">
        <v>403</v>
      </c>
      <c r="B3041" s="1335" t="s">
        <v>8683</v>
      </c>
      <c r="C3041" s="1336" t="s">
        <v>8679</v>
      </c>
      <c r="D3041" s="1335" t="s">
        <v>3389</v>
      </c>
      <c r="E3041" s="1337">
        <v>1800</v>
      </c>
      <c r="F3041" s="1338" t="s">
        <v>9031</v>
      </c>
      <c r="G3041" s="1335" t="s">
        <v>9032</v>
      </c>
      <c r="H3041" s="1335" t="s">
        <v>3389</v>
      </c>
      <c r="I3041" s="1344" t="s">
        <v>8687</v>
      </c>
      <c r="J3041" s="1338" t="s">
        <v>3389</v>
      </c>
      <c r="K3041" s="1348">
        <v>44221</v>
      </c>
      <c r="L3041" s="1103"/>
      <c r="M3041" s="1139"/>
      <c r="N3041" s="1345"/>
      <c r="O3041" s="1103">
        <v>9</v>
      </c>
      <c r="P3041" s="1347">
        <f t="shared" si="82"/>
        <v>16200</v>
      </c>
    </row>
    <row r="3042" spans="1:16" ht="48" x14ac:dyDescent="0.2">
      <c r="A3042" s="1342">
        <v>403</v>
      </c>
      <c r="B3042" s="1335" t="s">
        <v>8683</v>
      </c>
      <c r="C3042" s="1336" t="s">
        <v>8679</v>
      </c>
      <c r="D3042" s="1335" t="s">
        <v>5043</v>
      </c>
      <c r="E3042" s="1337">
        <v>2500</v>
      </c>
      <c r="F3042" s="1338" t="s">
        <v>9033</v>
      </c>
      <c r="G3042" s="1335" t="s">
        <v>9034</v>
      </c>
      <c r="H3042" s="1335" t="s">
        <v>5043</v>
      </c>
      <c r="I3042" s="1344" t="s">
        <v>8682</v>
      </c>
      <c r="J3042" s="1338" t="s">
        <v>5043</v>
      </c>
      <c r="K3042" s="1348">
        <v>44221</v>
      </c>
      <c r="L3042" s="1103"/>
      <c r="M3042" s="1139"/>
      <c r="N3042" s="1345"/>
      <c r="O3042" s="1103">
        <v>9</v>
      </c>
      <c r="P3042" s="1347">
        <f t="shared" si="82"/>
        <v>22500</v>
      </c>
    </row>
    <row r="3043" spans="1:16" ht="48" x14ac:dyDescent="0.2">
      <c r="A3043" s="1342">
        <v>403</v>
      </c>
      <c r="B3043" s="1335" t="s">
        <v>8683</v>
      </c>
      <c r="C3043" s="1336" t="s">
        <v>8679</v>
      </c>
      <c r="D3043" s="1335" t="s">
        <v>8743</v>
      </c>
      <c r="E3043" s="1337">
        <v>5000</v>
      </c>
      <c r="F3043" s="1338" t="s">
        <v>9035</v>
      </c>
      <c r="G3043" s="1335" t="s">
        <v>9036</v>
      </c>
      <c r="H3043" s="1335" t="s">
        <v>8743</v>
      </c>
      <c r="I3043" s="1344" t="s">
        <v>8692</v>
      </c>
      <c r="J3043" s="1338" t="s">
        <v>8743</v>
      </c>
      <c r="K3043" s="1348">
        <v>44221</v>
      </c>
      <c r="L3043" s="1103"/>
      <c r="M3043" s="1139"/>
      <c r="N3043" s="1345"/>
      <c r="O3043" s="1103">
        <v>9</v>
      </c>
      <c r="P3043" s="1347">
        <f t="shared" si="82"/>
        <v>45000</v>
      </c>
    </row>
    <row r="3044" spans="1:16" ht="48" x14ac:dyDescent="0.2">
      <c r="A3044" s="1342">
        <v>403</v>
      </c>
      <c r="B3044" s="1335" t="s">
        <v>8683</v>
      </c>
      <c r="C3044" s="1336" t="s">
        <v>8679</v>
      </c>
      <c r="D3044" s="1335" t="s">
        <v>5043</v>
      </c>
      <c r="E3044" s="1337">
        <v>1700</v>
      </c>
      <c r="F3044" s="1338" t="s">
        <v>9037</v>
      </c>
      <c r="G3044" s="1335" t="s">
        <v>9038</v>
      </c>
      <c r="H3044" s="1335" t="s">
        <v>5043</v>
      </c>
      <c r="I3044" s="1344" t="s">
        <v>8682</v>
      </c>
      <c r="J3044" s="1338" t="s">
        <v>5043</v>
      </c>
      <c r="K3044" s="1348">
        <v>44229</v>
      </c>
      <c r="L3044" s="1103"/>
      <c r="M3044" s="1139"/>
      <c r="N3044" s="1345"/>
      <c r="O3044" s="1103">
        <v>8</v>
      </c>
      <c r="P3044" s="1347">
        <f t="shared" si="82"/>
        <v>13600</v>
      </c>
    </row>
    <row r="3045" spans="1:16" ht="48" x14ac:dyDescent="0.2">
      <c r="A3045" s="1342">
        <v>403</v>
      </c>
      <c r="B3045" s="1335" t="s">
        <v>8683</v>
      </c>
      <c r="C3045" s="1336" t="s">
        <v>8679</v>
      </c>
      <c r="D3045" s="1335" t="s">
        <v>5043</v>
      </c>
      <c r="E3045" s="1337">
        <v>2500</v>
      </c>
      <c r="F3045" s="1338" t="s">
        <v>9039</v>
      </c>
      <c r="G3045" s="1335" t="s">
        <v>9040</v>
      </c>
      <c r="H3045" s="1335" t="s">
        <v>5043</v>
      </c>
      <c r="I3045" s="1344" t="s">
        <v>8682</v>
      </c>
      <c r="J3045" s="1338" t="s">
        <v>5043</v>
      </c>
      <c r="K3045" s="1348">
        <v>44211</v>
      </c>
      <c r="L3045" s="1103"/>
      <c r="M3045" s="1139"/>
      <c r="N3045" s="1345"/>
      <c r="O3045" s="1103">
        <v>9</v>
      </c>
      <c r="P3045" s="1347">
        <f t="shared" si="82"/>
        <v>22500</v>
      </c>
    </row>
    <row r="3046" spans="1:16" ht="48" x14ac:dyDescent="0.2">
      <c r="A3046" s="1342">
        <v>403</v>
      </c>
      <c r="B3046" s="1335" t="s">
        <v>8683</v>
      </c>
      <c r="C3046" s="1336" t="s">
        <v>8679</v>
      </c>
      <c r="D3046" s="1335" t="s">
        <v>8743</v>
      </c>
      <c r="E3046" s="1337">
        <v>5000</v>
      </c>
      <c r="F3046" s="1338" t="s">
        <v>9041</v>
      </c>
      <c r="G3046" s="1335" t="s">
        <v>9042</v>
      </c>
      <c r="H3046" s="1335" t="s">
        <v>8743</v>
      </c>
      <c r="I3046" s="1344" t="s">
        <v>8692</v>
      </c>
      <c r="J3046" s="1338" t="s">
        <v>8743</v>
      </c>
      <c r="K3046" s="1348">
        <v>44214</v>
      </c>
      <c r="L3046" s="1103"/>
      <c r="M3046" s="1139"/>
      <c r="N3046" s="1345"/>
      <c r="O3046" s="1103">
        <v>9</v>
      </c>
      <c r="P3046" s="1347">
        <f t="shared" si="82"/>
        <v>45000</v>
      </c>
    </row>
    <row r="3047" spans="1:16" ht="48" x14ac:dyDescent="0.2">
      <c r="A3047" s="1342">
        <v>403</v>
      </c>
      <c r="B3047" s="1335" t="s">
        <v>8683</v>
      </c>
      <c r="C3047" s="1336" t="s">
        <v>8679</v>
      </c>
      <c r="D3047" s="1335" t="s">
        <v>5043</v>
      </c>
      <c r="E3047" s="1337">
        <v>2500</v>
      </c>
      <c r="F3047" s="1338" t="s">
        <v>9043</v>
      </c>
      <c r="G3047" s="1335" t="s">
        <v>9044</v>
      </c>
      <c r="H3047" s="1335" t="s">
        <v>5043</v>
      </c>
      <c r="I3047" s="1344" t="s">
        <v>8682</v>
      </c>
      <c r="J3047" s="1338" t="s">
        <v>5043</v>
      </c>
      <c r="K3047" s="1348">
        <v>44204</v>
      </c>
      <c r="L3047" s="1103"/>
      <c r="M3047" s="1139"/>
      <c r="N3047" s="1345"/>
      <c r="O3047" s="1103">
        <v>9</v>
      </c>
      <c r="P3047" s="1347">
        <f t="shared" si="82"/>
        <v>22500</v>
      </c>
    </row>
    <row r="3048" spans="1:16" ht="48" x14ac:dyDescent="0.2">
      <c r="A3048" s="1342">
        <v>403</v>
      </c>
      <c r="B3048" s="1335" t="s">
        <v>8683</v>
      </c>
      <c r="C3048" s="1336" t="s">
        <v>8679</v>
      </c>
      <c r="D3048" s="1335" t="s">
        <v>3389</v>
      </c>
      <c r="E3048" s="1337">
        <v>1500</v>
      </c>
      <c r="F3048" s="1338" t="s">
        <v>9045</v>
      </c>
      <c r="G3048" s="1335" t="s">
        <v>9046</v>
      </c>
      <c r="H3048" s="1335" t="s">
        <v>3389</v>
      </c>
      <c r="I3048" s="1344" t="s">
        <v>8687</v>
      </c>
      <c r="J3048" s="1338" t="s">
        <v>3389</v>
      </c>
      <c r="K3048" s="1348">
        <v>44214</v>
      </c>
      <c r="L3048" s="1103"/>
      <c r="M3048" s="1139"/>
      <c r="N3048" s="1345"/>
      <c r="O3048" s="1103">
        <v>9</v>
      </c>
      <c r="P3048" s="1347">
        <f t="shared" si="82"/>
        <v>13500</v>
      </c>
    </row>
    <row r="3049" spans="1:16" ht="48" x14ac:dyDescent="0.2">
      <c r="A3049" s="1342">
        <v>403</v>
      </c>
      <c r="B3049" s="1335" t="s">
        <v>8683</v>
      </c>
      <c r="C3049" s="1336" t="s">
        <v>8679</v>
      </c>
      <c r="D3049" s="1335" t="s">
        <v>3389</v>
      </c>
      <c r="E3049" s="1337">
        <v>2000</v>
      </c>
      <c r="F3049" s="1338" t="s">
        <v>9047</v>
      </c>
      <c r="G3049" s="1335" t="s">
        <v>9048</v>
      </c>
      <c r="H3049" s="1335" t="s">
        <v>3389</v>
      </c>
      <c r="I3049" s="1344" t="s">
        <v>8687</v>
      </c>
      <c r="J3049" s="1338" t="s">
        <v>3389</v>
      </c>
      <c r="K3049" s="1348">
        <v>44228</v>
      </c>
      <c r="L3049" s="1103"/>
      <c r="M3049" s="1139"/>
      <c r="N3049" s="1345"/>
      <c r="O3049" s="1103">
        <v>8</v>
      </c>
      <c r="P3049" s="1347">
        <f t="shared" si="82"/>
        <v>16000</v>
      </c>
    </row>
    <row r="3050" spans="1:16" ht="48" x14ac:dyDescent="0.2">
      <c r="A3050" s="1342">
        <v>403</v>
      </c>
      <c r="B3050" s="1335" t="s">
        <v>8683</v>
      </c>
      <c r="C3050" s="1336" t="s">
        <v>8679</v>
      </c>
      <c r="D3050" s="1335" t="s">
        <v>5043</v>
      </c>
      <c r="E3050" s="1337">
        <v>2500</v>
      </c>
      <c r="F3050" s="1338" t="s">
        <v>9049</v>
      </c>
      <c r="G3050" s="1335" t="s">
        <v>9050</v>
      </c>
      <c r="H3050" s="1335" t="s">
        <v>5043</v>
      </c>
      <c r="I3050" s="1344" t="s">
        <v>8682</v>
      </c>
      <c r="J3050" s="1338" t="s">
        <v>5043</v>
      </c>
      <c r="K3050" s="1348">
        <v>44228</v>
      </c>
      <c r="L3050" s="1103"/>
      <c r="M3050" s="1139"/>
      <c r="N3050" s="1345"/>
      <c r="O3050" s="1103">
        <v>8</v>
      </c>
      <c r="P3050" s="1347">
        <f t="shared" si="82"/>
        <v>20000</v>
      </c>
    </row>
    <row r="3051" spans="1:16" ht="48" x14ac:dyDescent="0.2">
      <c r="A3051" s="1342">
        <v>403</v>
      </c>
      <c r="B3051" s="1335" t="s">
        <v>8683</v>
      </c>
      <c r="C3051" s="1336" t="s">
        <v>8679</v>
      </c>
      <c r="D3051" s="1335" t="s">
        <v>517</v>
      </c>
      <c r="E3051" s="1337">
        <v>5000</v>
      </c>
      <c r="F3051" s="1338" t="s">
        <v>9051</v>
      </c>
      <c r="G3051" s="1335" t="s">
        <v>9052</v>
      </c>
      <c r="H3051" s="1335" t="s">
        <v>517</v>
      </c>
      <c r="I3051" s="1344" t="s">
        <v>8692</v>
      </c>
      <c r="J3051" s="1338" t="s">
        <v>517</v>
      </c>
      <c r="K3051" s="1348">
        <v>44211</v>
      </c>
      <c r="L3051" s="1103"/>
      <c r="M3051" s="1139"/>
      <c r="N3051" s="1345"/>
      <c r="O3051" s="1103">
        <v>9</v>
      </c>
      <c r="P3051" s="1347">
        <f t="shared" si="82"/>
        <v>45000</v>
      </c>
    </row>
    <row r="3052" spans="1:16" x14ac:dyDescent="0.2">
      <c r="A3052" s="869"/>
      <c r="B3052" s="433"/>
      <c r="C3052" s="869"/>
      <c r="D3052" s="1176"/>
      <c r="E3052" s="1177">
        <f>SUM(E2877:E3051)</f>
        <v>521773.33</v>
      </c>
      <c r="F3052" s="433"/>
      <c r="G3052" s="1176"/>
      <c r="H3052" s="1176"/>
      <c r="I3052" s="1178"/>
      <c r="J3052" s="1178"/>
      <c r="K3052" s="1388"/>
      <c r="L3052" s="1179"/>
      <c r="M3052" s="1180"/>
      <c r="N3052" s="1349">
        <f>SUM(N2877:N3051)</f>
        <v>1863346.65</v>
      </c>
      <c r="O3052" s="1349"/>
      <c r="P3052" s="1180">
        <f>SUM(P2877:P3051)</f>
        <v>3676059.9699999997</v>
      </c>
    </row>
  </sheetData>
  <mergeCells count="117">
    <mergeCell ref="A2875:E2875"/>
    <mergeCell ref="F2875:J2875"/>
    <mergeCell ref="L2875:N2875"/>
    <mergeCell ref="O2875:P2875"/>
    <mergeCell ref="A1:P1"/>
    <mergeCell ref="A278:D278"/>
    <mergeCell ref="A2:D2"/>
    <mergeCell ref="A2365:C2365"/>
    <mergeCell ref="A2366:E2366"/>
    <mergeCell ref="F2366:J2366"/>
    <mergeCell ref="K2366:M2366"/>
    <mergeCell ref="N2366:P2366"/>
    <mergeCell ref="A2269:E2269"/>
    <mergeCell ref="F2269:J2269"/>
    <mergeCell ref="K2269:M2269"/>
    <mergeCell ref="N2269:P2269"/>
    <mergeCell ref="A2299:E2299"/>
    <mergeCell ref="F2299:J2299"/>
    <mergeCell ref="K2299:M2299"/>
    <mergeCell ref="N2299:P2299"/>
    <mergeCell ref="N2024:P2024"/>
    <mergeCell ref="A2176:D2176"/>
    <mergeCell ref="A2201:D2201"/>
    <mergeCell ref="A2202:D2202"/>
    <mergeCell ref="A2265:C2265"/>
    <mergeCell ref="A2019:C2019"/>
    <mergeCell ref="A2023:E2023"/>
    <mergeCell ref="A2024:E2024"/>
    <mergeCell ref="F2024:J2024"/>
    <mergeCell ref="K2024:M2024"/>
    <mergeCell ref="K992:M992"/>
    <mergeCell ref="N992:P992"/>
    <mergeCell ref="A1717:B1717"/>
    <mergeCell ref="A1720:D1720"/>
    <mergeCell ref="A1721:E1721"/>
    <mergeCell ref="F1721:J1721"/>
    <mergeCell ref="K1721:M1721"/>
    <mergeCell ref="N1721:P1721"/>
    <mergeCell ref="A988:C988"/>
    <mergeCell ref="A989:D989"/>
    <mergeCell ref="A991:C991"/>
    <mergeCell ref="A992:E992"/>
    <mergeCell ref="F992:J992"/>
    <mergeCell ref="A757:D757"/>
    <mergeCell ref="A758:E758"/>
    <mergeCell ref="F758:J758"/>
    <mergeCell ref="K758:M758"/>
    <mergeCell ref="N758:P758"/>
    <mergeCell ref="F549:J549"/>
    <mergeCell ref="K549:M549"/>
    <mergeCell ref="N549:P549"/>
    <mergeCell ref="A644:C644"/>
    <mergeCell ref="A645:E645"/>
    <mergeCell ref="F645:J645"/>
    <mergeCell ref="K645:M645"/>
    <mergeCell ref="N645:P645"/>
    <mergeCell ref="A531:E531"/>
    <mergeCell ref="F531:J531"/>
    <mergeCell ref="K531:M531"/>
    <mergeCell ref="N531:P531"/>
    <mergeCell ref="A545:C545"/>
    <mergeCell ref="A511:E511"/>
    <mergeCell ref="F511:J511"/>
    <mergeCell ref="K511:M511"/>
    <mergeCell ref="N511:P511"/>
    <mergeCell ref="A530:C530"/>
    <mergeCell ref="N439:P439"/>
    <mergeCell ref="B442:D442"/>
    <mergeCell ref="B494:D494"/>
    <mergeCell ref="B495:D495"/>
    <mergeCell ref="A499:E499"/>
    <mergeCell ref="F499:J499"/>
    <mergeCell ref="K499:M499"/>
    <mergeCell ref="N499:P499"/>
    <mergeCell ref="B434:D434"/>
    <mergeCell ref="B435:D435"/>
    <mergeCell ref="A439:E439"/>
    <mergeCell ref="F439:J439"/>
    <mergeCell ref="K439:M439"/>
    <mergeCell ref="A352:E352"/>
    <mergeCell ref="F352:J352"/>
    <mergeCell ref="K352:M352"/>
    <mergeCell ref="N352:P352"/>
    <mergeCell ref="B359:D359"/>
    <mergeCell ref="A298:C298"/>
    <mergeCell ref="A299:C299"/>
    <mergeCell ref="A328:D328"/>
    <mergeCell ref="A347:D347"/>
    <mergeCell ref="A348:D348"/>
    <mergeCell ref="F291:F292"/>
    <mergeCell ref="G291:G292"/>
    <mergeCell ref="H291:H292"/>
    <mergeCell ref="I291:I292"/>
    <mergeCell ref="J291:J292"/>
    <mergeCell ref="I288:I289"/>
    <mergeCell ref="J288:J289"/>
    <mergeCell ref="K288:K289"/>
    <mergeCell ref="L288:L289"/>
    <mergeCell ref="N282:P282"/>
    <mergeCell ref="K5:M5"/>
    <mergeCell ref="N5:P5"/>
    <mergeCell ref="A5:E5"/>
    <mergeCell ref="F5:J5"/>
    <mergeCell ref="A233:B233"/>
    <mergeCell ref="A287:C287"/>
    <mergeCell ref="E288:E289"/>
    <mergeCell ref="F288:F289"/>
    <mergeCell ref="G288:G289"/>
    <mergeCell ref="H288:H289"/>
    <mergeCell ref="A277:C277"/>
    <mergeCell ref="A282:E282"/>
    <mergeCell ref="F282:J282"/>
    <mergeCell ref="K282:M282"/>
    <mergeCell ref="N288:N289"/>
    <mergeCell ref="O288:O289"/>
    <mergeCell ref="P288:P289"/>
    <mergeCell ref="M288:M289"/>
  </mergeCells>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S22"/>
  <sheetViews>
    <sheetView zoomScaleNormal="100" zoomScaleSheetLayoutView="100" zoomScalePageLayoutView="55" workbookViewId="0">
      <selection activeCell="K15" sqref="K15"/>
    </sheetView>
  </sheetViews>
  <sheetFormatPr baseColWidth="10" defaultColWidth="11.42578125" defaultRowHeight="12" x14ac:dyDescent="0.2"/>
  <cols>
    <col min="1" max="1" width="18.7109375" style="331" customWidth="1"/>
    <col min="2" max="2" width="28.140625" style="331" customWidth="1"/>
    <col min="3" max="3" width="35" style="331" customWidth="1"/>
    <col min="4" max="4" width="12.85546875" style="331" customWidth="1"/>
    <col min="5" max="5" width="11.5703125" style="331" customWidth="1"/>
    <col min="6" max="6" width="12.42578125" style="331" customWidth="1"/>
    <col min="7" max="7" width="9.7109375" style="1057" customWidth="1"/>
    <col min="8" max="8" width="12.28515625" style="1057" customWidth="1"/>
    <col min="9" max="9" width="12.140625" style="331" customWidth="1"/>
    <col min="10" max="10" width="22.42578125" style="331" customWidth="1"/>
    <col min="11" max="14" width="17.85546875" style="331" customWidth="1"/>
    <col min="15" max="16384" width="11.42578125" style="331"/>
  </cols>
  <sheetData>
    <row r="1" spans="1:19" s="335" customFormat="1" ht="18" x14ac:dyDescent="0.2">
      <c r="A1" s="1460" t="s">
        <v>9053</v>
      </c>
      <c r="B1" s="1460"/>
      <c r="C1" s="1460"/>
      <c r="D1" s="1460"/>
      <c r="E1" s="1460"/>
      <c r="F1" s="1460"/>
      <c r="G1" s="1460"/>
      <c r="H1" s="1460"/>
      <c r="I1" s="1460"/>
      <c r="J1" s="1460"/>
      <c r="K1" s="1460"/>
      <c r="L1" s="1460"/>
      <c r="M1" s="1460"/>
      <c r="N1" s="1460"/>
    </row>
    <row r="2" spans="1:19" x14ac:dyDescent="0.2">
      <c r="A2" s="1461" t="s">
        <v>43</v>
      </c>
      <c r="B2" s="1461"/>
      <c r="C2" s="1461"/>
      <c r="D2" s="1461"/>
      <c r="E2" s="2"/>
      <c r="F2" s="2"/>
      <c r="G2" s="2"/>
      <c r="H2" s="2"/>
      <c r="I2" s="2"/>
      <c r="J2" s="2"/>
      <c r="K2" s="2"/>
      <c r="L2" s="2"/>
      <c r="M2" s="2"/>
      <c r="N2" s="2"/>
      <c r="O2" s="2"/>
      <c r="P2" s="2"/>
      <c r="Q2" s="2"/>
      <c r="R2" s="2"/>
      <c r="S2" s="2"/>
    </row>
    <row r="3" spans="1:19" ht="12.75" thickBot="1" x14ac:dyDescent="0.25"/>
    <row r="4" spans="1:19" s="511" customFormat="1" ht="12.75" customHeight="1" thickBot="1" x14ac:dyDescent="0.25">
      <c r="A4" s="1561" t="s">
        <v>9054</v>
      </c>
      <c r="B4" s="1562"/>
      <c r="C4" s="1560" t="s">
        <v>9055</v>
      </c>
      <c r="D4" s="1560"/>
      <c r="E4" s="1563" t="s">
        <v>9056</v>
      </c>
      <c r="F4" s="1564"/>
      <c r="G4" s="1564"/>
      <c r="H4" s="1564"/>
      <c r="I4" s="1565"/>
      <c r="J4" s="1560" t="s">
        <v>9057</v>
      </c>
      <c r="K4" s="1560"/>
      <c r="L4" s="1562"/>
      <c r="M4" s="1405" t="s">
        <v>9058</v>
      </c>
      <c r="N4" s="1558" t="s">
        <v>9059</v>
      </c>
    </row>
    <row r="5" spans="1:19" s="1058" customFormat="1" ht="86.25" customHeight="1" x14ac:dyDescent="0.2">
      <c r="A5" s="1049" t="s">
        <v>9060</v>
      </c>
      <c r="B5" s="414" t="s">
        <v>2829</v>
      </c>
      <c r="C5" s="1050" t="s">
        <v>9061</v>
      </c>
      <c r="D5" s="1051" t="s">
        <v>9062</v>
      </c>
      <c r="E5" s="1049" t="s">
        <v>9063</v>
      </c>
      <c r="F5" s="1052" t="s">
        <v>9064</v>
      </c>
      <c r="G5" s="1053" t="s">
        <v>9065</v>
      </c>
      <c r="H5" s="1054" t="s">
        <v>9066</v>
      </c>
      <c r="I5" s="1055" t="s">
        <v>37</v>
      </c>
      <c r="J5" s="1049" t="s">
        <v>9067</v>
      </c>
      <c r="K5" s="1050" t="s">
        <v>9068</v>
      </c>
      <c r="L5" s="1056" t="s">
        <v>9069</v>
      </c>
      <c r="M5" s="1406"/>
      <c r="N5" s="1559"/>
    </row>
    <row r="6" spans="1:19" ht="54" x14ac:dyDescent="0.2">
      <c r="A6" s="1552" t="s">
        <v>9070</v>
      </c>
      <c r="B6" s="1555" t="s">
        <v>9071</v>
      </c>
      <c r="C6" s="144" t="s">
        <v>9072</v>
      </c>
      <c r="D6" s="144">
        <v>20393584174</v>
      </c>
      <c r="E6" s="145" t="s">
        <v>9073</v>
      </c>
      <c r="F6" s="145" t="s">
        <v>9074</v>
      </c>
      <c r="G6" s="145">
        <v>423.4</v>
      </c>
      <c r="H6" s="146">
        <v>1</v>
      </c>
      <c r="I6" s="147" t="s">
        <v>9075</v>
      </c>
      <c r="J6" s="148" t="s">
        <v>9076</v>
      </c>
      <c r="K6" s="149">
        <v>23500</v>
      </c>
      <c r="L6" s="1059" t="s">
        <v>9077</v>
      </c>
      <c r="M6" s="1060">
        <v>282000</v>
      </c>
      <c r="N6" s="1060">
        <f>70500+117500</f>
        <v>188000</v>
      </c>
    </row>
    <row r="7" spans="1:19" ht="13.5" x14ac:dyDescent="0.2">
      <c r="A7" s="1553"/>
      <c r="B7" s="1556"/>
      <c r="C7" s="144" t="s">
        <v>9072</v>
      </c>
      <c r="D7" s="144"/>
      <c r="E7" s="145"/>
      <c r="F7" s="145" t="s">
        <v>9078</v>
      </c>
      <c r="G7" s="145">
        <v>380.7</v>
      </c>
      <c r="H7" s="146" t="s">
        <v>9079</v>
      </c>
      <c r="I7" s="146"/>
      <c r="J7" s="148"/>
      <c r="K7" s="149"/>
      <c r="L7" s="1059"/>
      <c r="M7" s="150"/>
      <c r="N7" s="150"/>
    </row>
    <row r="8" spans="1:19" ht="13.5" x14ac:dyDescent="0.2">
      <c r="A8" s="1553"/>
      <c r="B8" s="1556"/>
      <c r="C8" s="144" t="s">
        <v>9072</v>
      </c>
      <c r="D8" s="144"/>
      <c r="E8" s="145"/>
      <c r="F8" s="145" t="s">
        <v>9080</v>
      </c>
      <c r="G8" s="145">
        <v>364.1</v>
      </c>
      <c r="H8" s="146" t="s">
        <v>9079</v>
      </c>
      <c r="I8" s="146"/>
      <c r="J8" s="148"/>
      <c r="K8" s="149"/>
      <c r="L8" s="1059"/>
      <c r="M8" s="150"/>
      <c r="N8" s="150"/>
    </row>
    <row r="9" spans="1:19" ht="13.5" x14ac:dyDescent="0.2">
      <c r="A9" s="1553"/>
      <c r="B9" s="1556"/>
      <c r="C9" s="145" t="s">
        <v>9081</v>
      </c>
      <c r="D9" s="145">
        <v>20553936480</v>
      </c>
      <c r="E9" s="145" t="s">
        <v>9073</v>
      </c>
      <c r="F9" s="145">
        <v>49007352</v>
      </c>
      <c r="G9" s="145">
        <v>113.19</v>
      </c>
      <c r="H9" s="146" t="s">
        <v>9079</v>
      </c>
      <c r="I9" s="146"/>
      <c r="J9" s="145" t="s">
        <v>9082</v>
      </c>
      <c r="K9" s="1061">
        <v>7768.44</v>
      </c>
      <c r="L9" s="147" t="s">
        <v>9077</v>
      </c>
      <c r="M9" s="1060">
        <v>87732.96</v>
      </c>
      <c r="N9" s="1060">
        <v>21933.24</v>
      </c>
    </row>
    <row r="10" spans="1:19" ht="13.5" x14ac:dyDescent="0.2">
      <c r="A10" s="1553"/>
      <c r="B10" s="1556"/>
      <c r="C10" s="145" t="s">
        <v>9083</v>
      </c>
      <c r="D10" s="1062" t="s">
        <v>9084</v>
      </c>
      <c r="E10" s="145" t="s">
        <v>9073</v>
      </c>
      <c r="F10" s="145"/>
      <c r="G10" s="145">
        <v>375</v>
      </c>
      <c r="H10" s="146" t="s">
        <v>9079</v>
      </c>
      <c r="I10" s="146"/>
      <c r="J10" s="147" t="s">
        <v>9085</v>
      </c>
      <c r="K10" s="1061">
        <v>2930</v>
      </c>
      <c r="L10" s="147" t="s">
        <v>9077</v>
      </c>
      <c r="M10" s="1060">
        <v>39000</v>
      </c>
      <c r="N10" s="1060">
        <v>23440</v>
      </c>
    </row>
    <row r="11" spans="1:19" ht="13.5" x14ac:dyDescent="0.2">
      <c r="A11" s="1553"/>
      <c r="B11" s="1556"/>
      <c r="C11" s="145" t="s">
        <v>9086</v>
      </c>
      <c r="D11" s="145">
        <v>40461680</v>
      </c>
      <c r="E11" s="145" t="s">
        <v>9073</v>
      </c>
      <c r="F11" s="145" t="s">
        <v>9087</v>
      </c>
      <c r="G11" s="145">
        <v>80</v>
      </c>
      <c r="H11" s="146" t="s">
        <v>9079</v>
      </c>
      <c r="I11" s="146"/>
      <c r="J11" s="145" t="s">
        <v>9088</v>
      </c>
      <c r="K11" s="1061">
        <v>500</v>
      </c>
      <c r="L11" s="147" t="s">
        <v>9077</v>
      </c>
      <c r="M11" s="1060">
        <v>6000</v>
      </c>
      <c r="N11" s="1063">
        <v>4000</v>
      </c>
    </row>
    <row r="12" spans="1:19" ht="13.5" x14ac:dyDescent="0.2">
      <c r="A12" s="1553"/>
      <c r="B12" s="1557"/>
      <c r="C12" s="147" t="s">
        <v>9089</v>
      </c>
      <c r="D12" s="1064">
        <v>80024877</v>
      </c>
      <c r="E12" s="1065" t="s">
        <v>9073</v>
      </c>
      <c r="F12" s="1066" t="s">
        <v>9090</v>
      </c>
      <c r="G12" s="1064">
        <v>126</v>
      </c>
      <c r="H12" s="1067" t="s">
        <v>9079</v>
      </c>
      <c r="I12" s="1067"/>
      <c r="J12" s="1065" t="s">
        <v>9091</v>
      </c>
      <c r="K12" s="1068">
        <v>1250</v>
      </c>
      <c r="L12" s="1065" t="s">
        <v>9077</v>
      </c>
      <c r="M12" s="1060">
        <v>15000</v>
      </c>
      <c r="N12" s="160">
        <v>0</v>
      </c>
    </row>
    <row r="13" spans="1:19" ht="13.5" x14ac:dyDescent="0.2">
      <c r="A13" s="1553"/>
      <c r="B13" s="1076" t="s">
        <v>9092</v>
      </c>
      <c r="C13" s="144" t="s">
        <v>9093</v>
      </c>
      <c r="D13" s="144">
        <v>40675</v>
      </c>
      <c r="E13" s="147" t="s">
        <v>9073</v>
      </c>
      <c r="F13" s="147" t="s">
        <v>9094</v>
      </c>
      <c r="G13" s="145">
        <v>230</v>
      </c>
      <c r="H13" s="146" t="s">
        <v>9079</v>
      </c>
      <c r="I13" s="146"/>
      <c r="J13" s="1059" t="s">
        <v>9095</v>
      </c>
      <c r="K13" s="149">
        <v>2800</v>
      </c>
      <c r="L13" s="1059" t="s">
        <v>9077</v>
      </c>
      <c r="M13" s="149">
        <v>31200</v>
      </c>
      <c r="N13" s="149">
        <v>16800</v>
      </c>
    </row>
    <row r="14" spans="1:19" ht="40.5" x14ac:dyDescent="0.2">
      <c r="A14" s="1553"/>
      <c r="B14" s="1077" t="s">
        <v>9096</v>
      </c>
      <c r="C14" s="151" t="s">
        <v>9097</v>
      </c>
      <c r="D14" s="151">
        <v>43411052</v>
      </c>
      <c r="E14" s="154" t="s">
        <v>9073</v>
      </c>
      <c r="F14" s="154" t="s">
        <v>9098</v>
      </c>
      <c r="G14" s="153">
        <v>112</v>
      </c>
      <c r="H14" s="1069" t="s">
        <v>9079</v>
      </c>
      <c r="I14" s="1069"/>
      <c r="J14" s="148" t="s">
        <v>9099</v>
      </c>
      <c r="K14" s="152">
        <v>1400</v>
      </c>
      <c r="L14" s="153" t="s">
        <v>9077</v>
      </c>
      <c r="M14" s="149">
        <v>4000</v>
      </c>
      <c r="N14" s="149">
        <v>4200</v>
      </c>
    </row>
    <row r="15" spans="1:19" ht="13.5" x14ac:dyDescent="0.2">
      <c r="A15" s="1553"/>
      <c r="B15" s="1555" t="s">
        <v>9100</v>
      </c>
      <c r="C15" s="144" t="s">
        <v>9101</v>
      </c>
      <c r="D15" s="144">
        <v>15215291</v>
      </c>
      <c r="E15" s="147" t="s">
        <v>9102</v>
      </c>
      <c r="F15" s="147"/>
      <c r="G15" s="145">
        <v>200</v>
      </c>
      <c r="H15" s="146" t="s">
        <v>9079</v>
      </c>
      <c r="I15" s="146"/>
      <c r="J15" s="147" t="s">
        <v>9103</v>
      </c>
      <c r="K15" s="1070">
        <v>1000</v>
      </c>
      <c r="L15" s="147" t="s">
        <v>9077</v>
      </c>
      <c r="M15" s="1071">
        <v>9000</v>
      </c>
      <c r="N15" s="1071">
        <v>9000</v>
      </c>
    </row>
    <row r="16" spans="1:19" ht="13.5" x14ac:dyDescent="0.2">
      <c r="A16" s="1553"/>
      <c r="B16" s="1557"/>
      <c r="C16" s="147" t="s">
        <v>9104</v>
      </c>
      <c r="D16" s="144">
        <v>22474326</v>
      </c>
      <c r="E16" s="147" t="s">
        <v>9102</v>
      </c>
      <c r="F16" s="147"/>
      <c r="G16" s="145">
        <v>280</v>
      </c>
      <c r="H16" s="146" t="s">
        <v>9079</v>
      </c>
      <c r="I16" s="146"/>
      <c r="J16" s="147" t="s">
        <v>9105</v>
      </c>
      <c r="K16" s="1070">
        <v>1300</v>
      </c>
      <c r="L16" s="147" t="s">
        <v>9077</v>
      </c>
      <c r="M16" s="1071">
        <v>11700</v>
      </c>
      <c r="N16" s="1071">
        <v>9100</v>
      </c>
    </row>
    <row r="17" spans="1:14" ht="13.5" x14ac:dyDescent="0.2">
      <c r="A17" s="1553"/>
      <c r="B17" s="1555" t="s">
        <v>9106</v>
      </c>
      <c r="C17" s="151" t="s">
        <v>9107</v>
      </c>
      <c r="D17" s="144">
        <v>7505399</v>
      </c>
      <c r="E17" s="145" t="s">
        <v>9073</v>
      </c>
      <c r="F17" s="154" t="s">
        <v>9108</v>
      </c>
      <c r="G17" s="145">
        <v>2210.73</v>
      </c>
      <c r="H17" s="146" t="s">
        <v>9079</v>
      </c>
      <c r="I17" s="146"/>
      <c r="J17" s="147" t="s">
        <v>9109</v>
      </c>
      <c r="K17" s="155">
        <v>25000</v>
      </c>
      <c r="L17" s="147" t="s">
        <v>9077</v>
      </c>
      <c r="M17" s="1071">
        <v>300000</v>
      </c>
      <c r="N17" s="1071">
        <v>150000</v>
      </c>
    </row>
    <row r="18" spans="1:14" ht="13.5" x14ac:dyDescent="0.2">
      <c r="A18" s="1553"/>
      <c r="B18" s="1557"/>
      <c r="C18" s="151" t="s">
        <v>9110</v>
      </c>
      <c r="D18" s="144">
        <v>11050072</v>
      </c>
      <c r="E18" s="145" t="s">
        <v>9073</v>
      </c>
      <c r="F18" s="145">
        <v>1537</v>
      </c>
      <c r="G18" s="145">
        <f>1030.99+1179.74</f>
        <v>2210.73</v>
      </c>
      <c r="H18" s="146" t="s">
        <v>9079</v>
      </c>
      <c r="I18" s="146"/>
      <c r="J18" s="147" t="s">
        <v>9109</v>
      </c>
      <c r="K18" s="155">
        <v>25000</v>
      </c>
      <c r="L18" s="1072" t="s">
        <v>9077</v>
      </c>
      <c r="M18" s="156">
        <v>287161</v>
      </c>
      <c r="N18" s="156">
        <v>150000</v>
      </c>
    </row>
    <row r="19" spans="1:14" ht="21.75" customHeight="1" x14ac:dyDescent="0.2">
      <c r="A19" s="1553"/>
      <c r="B19" s="157" t="s">
        <v>9111</v>
      </c>
      <c r="C19" s="144" t="s">
        <v>1242</v>
      </c>
      <c r="D19" s="158" t="s">
        <v>9112</v>
      </c>
      <c r="E19" s="1064" t="s">
        <v>9102</v>
      </c>
      <c r="F19" s="1065" t="s">
        <v>9113</v>
      </c>
      <c r="G19" s="1064">
        <v>800</v>
      </c>
      <c r="H19" s="1067" t="s">
        <v>9079</v>
      </c>
      <c r="I19" s="146"/>
      <c r="J19" s="1065" t="s">
        <v>9114</v>
      </c>
      <c r="K19" s="149">
        <v>12000</v>
      </c>
      <c r="L19" s="1073" t="s">
        <v>9077</v>
      </c>
      <c r="M19" s="1074">
        <v>108000</v>
      </c>
      <c r="N19" s="1074">
        <v>0</v>
      </c>
    </row>
    <row r="20" spans="1:14" ht="94.5" x14ac:dyDescent="0.2">
      <c r="A20" s="1554"/>
      <c r="B20" s="159" t="s">
        <v>9115</v>
      </c>
      <c r="C20" s="151" t="s">
        <v>9107</v>
      </c>
      <c r="D20" s="144">
        <v>10075053997</v>
      </c>
      <c r="E20" s="145" t="s">
        <v>9073</v>
      </c>
      <c r="F20" s="145">
        <v>12513</v>
      </c>
      <c r="G20" s="145">
        <v>387.95</v>
      </c>
      <c r="H20" s="146">
        <v>1</v>
      </c>
      <c r="I20" s="154" t="s">
        <v>7650</v>
      </c>
      <c r="J20" s="153" t="s">
        <v>9116</v>
      </c>
      <c r="K20" s="149">
        <v>12500</v>
      </c>
      <c r="L20" s="145" t="s">
        <v>9077</v>
      </c>
      <c r="M20" s="160">
        <v>150000</v>
      </c>
      <c r="N20" s="160">
        <v>62500</v>
      </c>
    </row>
    <row r="21" spans="1:14" ht="15" customHeight="1" x14ac:dyDescent="0.2">
      <c r="A21" s="550"/>
      <c r="B21" s="550"/>
      <c r="C21" s="1075"/>
      <c r="D21" s="1075"/>
      <c r="E21" s="1075"/>
      <c r="F21" s="1075"/>
      <c r="G21" s="1075"/>
      <c r="H21" s="1075"/>
      <c r="I21" s="1075"/>
      <c r="J21" s="1075"/>
      <c r="K21" s="1075"/>
      <c r="L21" s="1075"/>
      <c r="M21" s="434">
        <f>SUM(M6:M20)</f>
        <v>1330793.96</v>
      </c>
      <c r="N21" s="434">
        <f>SUM(N6:N20)</f>
        <v>638973.24</v>
      </c>
    </row>
    <row r="22" spans="1:14" x14ac:dyDescent="0.2">
      <c r="A22" s="331" t="s">
        <v>9117</v>
      </c>
    </row>
  </sheetData>
  <mergeCells count="12">
    <mergeCell ref="A1:N1"/>
    <mergeCell ref="A2:D2"/>
    <mergeCell ref="A6:A20"/>
    <mergeCell ref="B6:B12"/>
    <mergeCell ref="B17:B18"/>
    <mergeCell ref="B15:B16"/>
    <mergeCell ref="M4:M5"/>
    <mergeCell ref="N4:N5"/>
    <mergeCell ref="C4:D4"/>
    <mergeCell ref="A4:B4"/>
    <mergeCell ref="J4:L4"/>
    <mergeCell ref="E4:I4"/>
  </mergeCells>
  <printOptions horizontalCentered="1"/>
  <pageMargins left="0.23622047244094491" right="0.23622047244094491" top="0.74803149606299213" bottom="0.74803149606299213" header="0.31496062992125984" footer="0.31496062992125984"/>
  <pageSetup paperSize="9" scale="59"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B1:R23"/>
  <sheetViews>
    <sheetView tabSelected="1" topLeftCell="A16" zoomScale="110" zoomScaleNormal="110" zoomScaleSheetLayoutView="100" workbookViewId="0">
      <selection activeCell="A20" sqref="A20"/>
    </sheetView>
  </sheetViews>
  <sheetFormatPr baseColWidth="10" defaultColWidth="2" defaultRowHeight="12" x14ac:dyDescent="0.2"/>
  <cols>
    <col min="1" max="1" width="2" style="3"/>
    <col min="2" max="2" width="21.28515625" style="3" hidden="1" customWidth="1"/>
    <col min="3" max="3" width="13.28515625" style="260" customWidth="1"/>
    <col min="4" max="4" width="23.7109375" style="3" customWidth="1"/>
    <col min="5" max="5" width="22.42578125" style="3" customWidth="1"/>
    <col min="6" max="7" width="10.85546875" style="3" customWidth="1"/>
    <col min="8" max="8" width="10.85546875" style="3" hidden="1" customWidth="1"/>
    <col min="9" max="9" width="14.42578125" style="3" hidden="1" customWidth="1"/>
    <col min="10" max="10" width="18" style="17" hidden="1" customWidth="1"/>
    <col min="11" max="11" width="10.5703125" style="3" customWidth="1"/>
    <col min="12" max="12" width="9.85546875" style="3" customWidth="1"/>
    <col min="13" max="13" width="10.42578125" style="3" customWidth="1"/>
    <col min="14" max="14" width="9.85546875" style="3" customWidth="1"/>
    <col min="15" max="15" width="10" style="3" customWidth="1"/>
    <col min="16" max="16" width="9.5703125" style="3" customWidth="1"/>
    <col min="17" max="17" width="9.42578125" style="3" customWidth="1"/>
    <col min="18" max="16384" width="2" style="3"/>
  </cols>
  <sheetData>
    <row r="1" spans="2:18" s="506" customFormat="1" ht="21" customHeight="1" x14ac:dyDescent="0.2">
      <c r="B1" s="1411" t="s">
        <v>42</v>
      </c>
      <c r="C1" s="1411"/>
      <c r="D1" s="1411"/>
      <c r="E1" s="1411"/>
      <c r="F1" s="1411"/>
      <c r="G1" s="1411"/>
      <c r="H1" s="1411"/>
      <c r="I1" s="1411"/>
      <c r="J1" s="1411"/>
      <c r="K1" s="1411"/>
      <c r="L1" s="1411"/>
      <c r="M1" s="1411"/>
      <c r="N1" s="1411"/>
      <c r="O1" s="1411"/>
      <c r="P1" s="1411"/>
      <c r="Q1" s="1411"/>
    </row>
    <row r="2" spans="2:18" s="506" customFormat="1" x14ac:dyDescent="0.2">
      <c r="B2" s="507" t="s">
        <v>43</v>
      </c>
      <c r="C2" s="547"/>
      <c r="D2" s="507"/>
      <c r="E2" s="508"/>
      <c r="F2" s="509"/>
      <c r="G2" s="510"/>
      <c r="H2" s="508"/>
      <c r="I2" s="508"/>
      <c r="J2" s="545"/>
      <c r="K2" s="508"/>
      <c r="L2" s="509"/>
      <c r="M2" s="508"/>
      <c r="N2" s="508"/>
      <c r="O2" s="508"/>
      <c r="P2" s="508"/>
      <c r="Q2" s="508"/>
    </row>
    <row r="3" spans="2:18" s="506" customFormat="1" ht="12.75" thickBot="1" x14ac:dyDescent="0.25">
      <c r="B3" s="507"/>
      <c r="C3" s="547"/>
      <c r="D3" s="507"/>
      <c r="E3" s="508"/>
      <c r="F3" s="509"/>
      <c r="G3" s="510"/>
      <c r="H3" s="508"/>
      <c r="I3" s="508"/>
      <c r="J3" s="545"/>
      <c r="K3" s="508"/>
      <c r="L3" s="509"/>
      <c r="M3" s="508"/>
      <c r="N3" s="508"/>
      <c r="O3" s="508"/>
      <c r="P3" s="508"/>
      <c r="Q3" s="508"/>
    </row>
    <row r="4" spans="2:18" s="511" customFormat="1" ht="22.5" customHeight="1" x14ac:dyDescent="0.2">
      <c r="B4" s="1405" t="s">
        <v>44</v>
      </c>
      <c r="C4" s="1405" t="s">
        <v>45</v>
      </c>
      <c r="D4" s="1408" t="s">
        <v>46</v>
      </c>
      <c r="E4" s="1412" t="s">
        <v>47</v>
      </c>
      <c r="F4" s="1414" t="s">
        <v>48</v>
      </c>
      <c r="G4" s="1415"/>
      <c r="H4" s="1412" t="s">
        <v>49</v>
      </c>
      <c r="I4" s="1412" t="s">
        <v>50</v>
      </c>
      <c r="J4" s="1412" t="s">
        <v>51</v>
      </c>
      <c r="K4" s="1422"/>
      <c r="L4" s="1423"/>
      <c r="M4" s="1424"/>
      <c r="N4" s="1425"/>
      <c r="O4" s="1426"/>
      <c r="P4" s="1389">
        <v>2021</v>
      </c>
      <c r="Q4" s="1390">
        <v>2022</v>
      </c>
    </row>
    <row r="5" spans="2:18" s="511" customFormat="1" x14ac:dyDescent="0.2">
      <c r="B5" s="1406"/>
      <c r="C5" s="1406"/>
      <c r="D5" s="1409"/>
      <c r="E5" s="1413"/>
      <c r="F5" s="1416"/>
      <c r="G5" s="1417"/>
      <c r="H5" s="1413"/>
      <c r="I5" s="1413"/>
      <c r="J5" s="1413"/>
      <c r="K5" s="1418" t="s">
        <v>52</v>
      </c>
      <c r="L5" s="1427" t="s">
        <v>53</v>
      </c>
      <c r="M5" s="1428"/>
      <c r="N5" s="1403" t="s">
        <v>54</v>
      </c>
      <c r="O5" s="1403" t="s">
        <v>55</v>
      </c>
      <c r="P5" s="1418" t="s">
        <v>56</v>
      </c>
      <c r="Q5" s="1420" t="s">
        <v>56</v>
      </c>
    </row>
    <row r="6" spans="2:18" s="514" customFormat="1" ht="35.25" customHeight="1" x14ac:dyDescent="0.2">
      <c r="B6" s="1407"/>
      <c r="C6" s="1407"/>
      <c r="D6" s="1410"/>
      <c r="E6" s="1404"/>
      <c r="F6" s="512" t="s">
        <v>57</v>
      </c>
      <c r="G6" s="513" t="s">
        <v>58</v>
      </c>
      <c r="H6" s="1404"/>
      <c r="I6" s="1404"/>
      <c r="J6" s="1404"/>
      <c r="K6" s="1419"/>
      <c r="L6" s="1397" t="s">
        <v>57</v>
      </c>
      <c r="M6" s="1391" t="s">
        <v>58</v>
      </c>
      <c r="N6" s="1404"/>
      <c r="O6" s="1404"/>
      <c r="P6" s="1419"/>
      <c r="Q6" s="1421"/>
      <c r="R6" s="511"/>
    </row>
    <row r="7" spans="2:18" s="514" customFormat="1" ht="48" x14ac:dyDescent="0.2">
      <c r="B7" s="515" t="s">
        <v>59</v>
      </c>
      <c r="C7" s="548" t="s">
        <v>60</v>
      </c>
      <c r="D7" s="516" t="s">
        <v>61</v>
      </c>
      <c r="E7" s="517" t="s">
        <v>62</v>
      </c>
      <c r="F7" s="518" t="s">
        <v>63</v>
      </c>
      <c r="G7" s="518">
        <v>2016</v>
      </c>
      <c r="H7" s="518" t="s">
        <v>64</v>
      </c>
      <c r="I7" s="419" t="s">
        <v>65</v>
      </c>
      <c r="J7" s="415" t="s">
        <v>66</v>
      </c>
      <c r="K7" s="518" t="s">
        <v>64</v>
      </c>
      <c r="L7" s="519">
        <v>0.434</v>
      </c>
      <c r="M7" s="520">
        <v>2019</v>
      </c>
      <c r="N7" s="521" t="s">
        <v>67</v>
      </c>
      <c r="O7" s="521" t="s">
        <v>67</v>
      </c>
      <c r="P7" s="1392" t="s">
        <v>64</v>
      </c>
      <c r="Q7" s="1393" t="s">
        <v>67</v>
      </c>
    </row>
    <row r="8" spans="2:18" s="514" customFormat="1" ht="48" x14ac:dyDescent="0.2">
      <c r="B8" s="515" t="s">
        <v>59</v>
      </c>
      <c r="C8" s="548" t="s">
        <v>68</v>
      </c>
      <c r="D8" s="516" t="s">
        <v>69</v>
      </c>
      <c r="E8" s="517" t="s">
        <v>70</v>
      </c>
      <c r="F8" s="523">
        <v>156682</v>
      </c>
      <c r="G8" s="518">
        <v>2017</v>
      </c>
      <c r="H8" s="523">
        <v>250000</v>
      </c>
      <c r="I8" s="419" t="s">
        <v>71</v>
      </c>
      <c r="J8" s="415" t="s">
        <v>72</v>
      </c>
      <c r="K8" s="518">
        <v>250000</v>
      </c>
      <c r="L8" s="524">
        <v>183840</v>
      </c>
      <c r="M8" s="520">
        <v>2020</v>
      </c>
      <c r="N8" s="525">
        <v>280000</v>
      </c>
      <c r="O8" s="525">
        <v>280000</v>
      </c>
      <c r="P8" s="1392">
        <v>250000</v>
      </c>
      <c r="Q8" s="1394">
        <v>280000</v>
      </c>
    </row>
    <row r="9" spans="2:18" s="514" customFormat="1" ht="93" customHeight="1" x14ac:dyDescent="0.2">
      <c r="B9" s="515" t="s">
        <v>59</v>
      </c>
      <c r="C9" s="548" t="s">
        <v>73</v>
      </c>
      <c r="D9" s="516" t="s">
        <v>74</v>
      </c>
      <c r="E9" s="517" t="s">
        <v>75</v>
      </c>
      <c r="F9" s="518" t="s">
        <v>76</v>
      </c>
      <c r="G9" s="518">
        <v>2016</v>
      </c>
      <c r="H9" s="526">
        <v>0.41</v>
      </c>
      <c r="I9" s="419" t="s">
        <v>77</v>
      </c>
      <c r="J9" s="415" t="s">
        <v>78</v>
      </c>
      <c r="K9" s="526">
        <v>0.41</v>
      </c>
      <c r="L9" s="519">
        <v>0.60799999999999998</v>
      </c>
      <c r="M9" s="520">
        <v>2019</v>
      </c>
      <c r="N9" s="527">
        <v>0.38</v>
      </c>
      <c r="O9" s="527">
        <v>0.38</v>
      </c>
      <c r="P9" s="1398">
        <v>0.41</v>
      </c>
      <c r="Q9" s="1395">
        <v>0.38</v>
      </c>
    </row>
    <row r="10" spans="2:18" s="514" customFormat="1" ht="84" x14ac:dyDescent="0.2">
      <c r="B10" s="515" t="s">
        <v>59</v>
      </c>
      <c r="C10" s="548" t="s">
        <v>73</v>
      </c>
      <c r="D10" s="516" t="s">
        <v>74</v>
      </c>
      <c r="E10" s="517" t="s">
        <v>79</v>
      </c>
      <c r="F10" s="518" t="s">
        <v>80</v>
      </c>
      <c r="G10" s="518">
        <v>2016</v>
      </c>
      <c r="H10" s="518">
        <v>0.65</v>
      </c>
      <c r="I10" s="419" t="s">
        <v>77</v>
      </c>
      <c r="J10" s="415" t="s">
        <v>78</v>
      </c>
      <c r="K10" s="526">
        <v>0.65</v>
      </c>
      <c r="L10" s="519">
        <v>0.77300000000000002</v>
      </c>
      <c r="M10" s="520">
        <v>2018</v>
      </c>
      <c r="N10" s="527">
        <v>0.59</v>
      </c>
      <c r="O10" s="527">
        <v>0.59</v>
      </c>
      <c r="P10" s="1398">
        <v>0.65</v>
      </c>
      <c r="Q10" s="1395">
        <v>0.59</v>
      </c>
    </row>
    <row r="11" spans="2:18" s="514" customFormat="1" ht="48" x14ac:dyDescent="0.2">
      <c r="B11" s="515" t="s">
        <v>59</v>
      </c>
      <c r="C11" s="548" t="s">
        <v>81</v>
      </c>
      <c r="D11" s="516" t="s">
        <v>82</v>
      </c>
      <c r="E11" s="517" t="s">
        <v>83</v>
      </c>
      <c r="F11" s="523">
        <v>7632</v>
      </c>
      <c r="G11" s="518">
        <v>2016</v>
      </c>
      <c r="H11" s="518">
        <v>8200</v>
      </c>
      <c r="I11" s="419" t="s">
        <v>84</v>
      </c>
      <c r="J11" s="415" t="s">
        <v>85</v>
      </c>
      <c r="K11" s="518">
        <v>8200</v>
      </c>
      <c r="L11" s="524">
        <v>5332</v>
      </c>
      <c r="M11" s="520">
        <v>2020</v>
      </c>
      <c r="N11" s="529">
        <v>8400</v>
      </c>
      <c r="O11" s="529">
        <v>8400</v>
      </c>
      <c r="P11" s="1392">
        <v>8200</v>
      </c>
      <c r="Q11" s="1396">
        <v>8400</v>
      </c>
    </row>
    <row r="12" spans="2:18" s="514" customFormat="1" ht="60" x14ac:dyDescent="0.2">
      <c r="B12" s="515" t="s">
        <v>59</v>
      </c>
      <c r="C12" s="548" t="s">
        <v>81</v>
      </c>
      <c r="D12" s="516" t="s">
        <v>82</v>
      </c>
      <c r="E12" s="517" t="s">
        <v>86</v>
      </c>
      <c r="F12" s="518" t="s">
        <v>87</v>
      </c>
      <c r="G12" s="518">
        <v>2017</v>
      </c>
      <c r="H12" s="526">
        <v>0.13</v>
      </c>
      <c r="I12" s="419" t="s">
        <v>88</v>
      </c>
      <c r="J12" s="415" t="s">
        <v>85</v>
      </c>
      <c r="K12" s="526">
        <v>0.13</v>
      </c>
      <c r="L12" s="519">
        <v>0.14799999999999999</v>
      </c>
      <c r="M12" s="520">
        <v>2019</v>
      </c>
      <c r="N12" s="527">
        <v>0.09</v>
      </c>
      <c r="O12" s="527">
        <v>0.09</v>
      </c>
      <c r="P12" s="1398">
        <v>0.13</v>
      </c>
      <c r="Q12" s="1395">
        <v>0.09</v>
      </c>
    </row>
    <row r="13" spans="2:18" s="514" customFormat="1" ht="48" x14ac:dyDescent="0.2">
      <c r="B13" s="515" t="s">
        <v>59</v>
      </c>
      <c r="C13" s="548" t="s">
        <v>89</v>
      </c>
      <c r="D13" s="516" t="s">
        <v>90</v>
      </c>
      <c r="E13" s="517" t="s">
        <v>91</v>
      </c>
      <c r="F13" s="518" t="s">
        <v>92</v>
      </c>
      <c r="G13" s="518">
        <v>2017</v>
      </c>
      <c r="H13" s="526">
        <v>0.55000000000000004</v>
      </c>
      <c r="I13" s="419" t="s">
        <v>93</v>
      </c>
      <c r="J13" s="415" t="s">
        <v>94</v>
      </c>
      <c r="K13" s="526">
        <v>0.55000000000000004</v>
      </c>
      <c r="L13" s="519">
        <v>0.42799999999999999</v>
      </c>
      <c r="M13" s="520">
        <v>2019</v>
      </c>
      <c r="N13" s="527">
        <v>0.61</v>
      </c>
      <c r="O13" s="527">
        <v>0.61</v>
      </c>
      <c r="P13" s="526">
        <v>0.55000000000000004</v>
      </c>
      <c r="Q13" s="528">
        <v>0.61</v>
      </c>
    </row>
    <row r="14" spans="2:18" s="514" customFormat="1" ht="48" x14ac:dyDescent="0.2">
      <c r="B14" s="515" t="s">
        <v>59</v>
      </c>
      <c r="C14" s="548" t="s">
        <v>95</v>
      </c>
      <c r="D14" s="516" t="s">
        <v>96</v>
      </c>
      <c r="E14" s="517" t="s">
        <v>97</v>
      </c>
      <c r="F14" s="518" t="s">
        <v>98</v>
      </c>
      <c r="G14" s="518">
        <v>2017</v>
      </c>
      <c r="H14" s="518">
        <v>16</v>
      </c>
      <c r="I14" s="419" t="s">
        <v>99</v>
      </c>
      <c r="J14" s="415" t="s">
        <v>100</v>
      </c>
      <c r="K14" s="518" t="s">
        <v>101</v>
      </c>
      <c r="L14" s="520">
        <v>4</v>
      </c>
      <c r="M14" s="520">
        <v>2021</v>
      </c>
      <c r="N14" s="521">
        <v>15</v>
      </c>
      <c r="O14" s="521">
        <v>15</v>
      </c>
      <c r="P14" s="518">
        <v>16</v>
      </c>
      <c r="Q14" s="522">
        <v>15</v>
      </c>
    </row>
    <row r="15" spans="2:18" s="514" customFormat="1" ht="48" x14ac:dyDescent="0.2">
      <c r="B15" s="515" t="s">
        <v>59</v>
      </c>
      <c r="C15" s="548" t="s">
        <v>102</v>
      </c>
      <c r="D15" s="516" t="s">
        <v>103</v>
      </c>
      <c r="E15" s="517" t="s">
        <v>104</v>
      </c>
      <c r="F15" s="518">
        <v>50</v>
      </c>
      <c r="G15" s="518">
        <v>2016</v>
      </c>
      <c r="H15" s="518">
        <v>50</v>
      </c>
      <c r="I15" s="419" t="s">
        <v>105</v>
      </c>
      <c r="J15" s="415" t="s">
        <v>106</v>
      </c>
      <c r="K15" s="518">
        <v>50</v>
      </c>
      <c r="L15" s="520">
        <v>48</v>
      </c>
      <c r="M15" s="520">
        <v>2020</v>
      </c>
      <c r="N15" s="521">
        <v>50</v>
      </c>
      <c r="O15" s="521">
        <v>50</v>
      </c>
      <c r="P15" s="518">
        <v>50</v>
      </c>
      <c r="Q15" s="522">
        <v>50</v>
      </c>
    </row>
    <row r="16" spans="2:18" s="514" customFormat="1" ht="60" x14ac:dyDescent="0.2">
      <c r="B16" s="515" t="s">
        <v>59</v>
      </c>
      <c r="C16" s="548" t="s">
        <v>107</v>
      </c>
      <c r="D16" s="516" t="s">
        <v>108</v>
      </c>
      <c r="E16" s="517" t="s">
        <v>109</v>
      </c>
      <c r="F16" s="531">
        <v>379728</v>
      </c>
      <c r="G16" s="518">
        <v>2017</v>
      </c>
      <c r="H16" s="531">
        <v>382600</v>
      </c>
      <c r="I16" s="415" t="s">
        <v>110</v>
      </c>
      <c r="J16" s="415" t="s">
        <v>111</v>
      </c>
      <c r="K16" s="531">
        <v>382600</v>
      </c>
      <c r="L16" s="524">
        <v>85471</v>
      </c>
      <c r="M16" s="520">
        <v>2020</v>
      </c>
      <c r="N16" s="529">
        <v>383750</v>
      </c>
      <c r="O16" s="529">
        <v>383750</v>
      </c>
      <c r="P16" s="531">
        <v>382600</v>
      </c>
      <c r="Q16" s="530">
        <v>383750</v>
      </c>
    </row>
    <row r="17" spans="2:18" s="514" customFormat="1" ht="42.75" customHeight="1" x14ac:dyDescent="0.2">
      <c r="B17" s="515" t="s">
        <v>59</v>
      </c>
      <c r="C17" s="548" t="s">
        <v>112</v>
      </c>
      <c r="D17" s="516" t="s">
        <v>113</v>
      </c>
      <c r="E17" s="517" t="s">
        <v>114</v>
      </c>
      <c r="F17" s="518" t="s">
        <v>115</v>
      </c>
      <c r="G17" s="518">
        <v>2017</v>
      </c>
      <c r="H17" s="518">
        <v>30</v>
      </c>
      <c r="I17" s="419" t="s">
        <v>116</v>
      </c>
      <c r="J17" s="415" t="s">
        <v>117</v>
      </c>
      <c r="K17" s="518">
        <v>30</v>
      </c>
      <c r="L17" s="520">
        <v>5.5</v>
      </c>
      <c r="M17" s="520">
        <v>2019</v>
      </c>
      <c r="N17" s="521">
        <v>40</v>
      </c>
      <c r="O17" s="521">
        <v>40</v>
      </c>
      <c r="P17" s="518">
        <v>30</v>
      </c>
      <c r="Q17" s="522">
        <v>40</v>
      </c>
    </row>
    <row r="18" spans="2:18" s="514" customFormat="1" ht="41.25" customHeight="1" x14ac:dyDescent="0.2">
      <c r="B18" s="515" t="s">
        <v>59</v>
      </c>
      <c r="C18" s="548" t="s">
        <v>112</v>
      </c>
      <c r="D18" s="516" t="s">
        <v>113</v>
      </c>
      <c r="E18" s="517" t="s">
        <v>118</v>
      </c>
      <c r="F18" s="518" t="s">
        <v>119</v>
      </c>
      <c r="G18" s="518">
        <v>2017</v>
      </c>
      <c r="H18" s="531">
        <v>1500</v>
      </c>
      <c r="I18" s="419" t="s">
        <v>116</v>
      </c>
      <c r="J18" s="415" t="s">
        <v>117</v>
      </c>
      <c r="K18" s="531">
        <v>1500</v>
      </c>
      <c r="L18" s="532">
        <v>1283.27</v>
      </c>
      <c r="M18" s="533">
        <v>2019</v>
      </c>
      <c r="N18" s="521">
        <v>1600</v>
      </c>
      <c r="O18" s="521">
        <v>1600</v>
      </c>
      <c r="P18" s="518">
        <v>1500</v>
      </c>
      <c r="Q18" s="522">
        <v>1600</v>
      </c>
    </row>
    <row r="19" spans="2:18" s="514" customFormat="1" ht="39.75" customHeight="1" x14ac:dyDescent="0.2">
      <c r="B19" s="515" t="s">
        <v>59</v>
      </c>
      <c r="C19" s="548" t="s">
        <v>120</v>
      </c>
      <c r="D19" s="516" t="s">
        <v>121</v>
      </c>
      <c r="E19" s="517" t="s">
        <v>122</v>
      </c>
      <c r="F19" s="518" t="s">
        <v>123</v>
      </c>
      <c r="G19" s="518">
        <v>2016</v>
      </c>
      <c r="H19" s="518" t="s">
        <v>124</v>
      </c>
      <c r="I19" s="419" t="s">
        <v>125</v>
      </c>
      <c r="J19" s="415" t="s">
        <v>126</v>
      </c>
      <c r="K19" s="518" t="s">
        <v>123</v>
      </c>
      <c r="L19" s="534">
        <v>135737.5</v>
      </c>
      <c r="M19" s="520">
        <v>2020</v>
      </c>
      <c r="N19" s="521" t="s">
        <v>127</v>
      </c>
      <c r="O19" s="521" t="s">
        <v>127</v>
      </c>
      <c r="P19" s="518" t="s">
        <v>124</v>
      </c>
      <c r="Q19" s="522" t="s">
        <v>127</v>
      </c>
    </row>
    <row r="20" spans="2:18" ht="51" customHeight="1" thickBot="1" x14ac:dyDescent="0.25">
      <c r="B20" s="535" t="s">
        <v>59</v>
      </c>
      <c r="C20" s="549" t="s">
        <v>128</v>
      </c>
      <c r="D20" s="536" t="s">
        <v>129</v>
      </c>
      <c r="E20" s="537" t="s">
        <v>130</v>
      </c>
      <c r="F20" s="538">
        <v>1966</v>
      </c>
      <c r="G20" s="538">
        <v>2017</v>
      </c>
      <c r="H20" s="538">
        <v>1700</v>
      </c>
      <c r="I20" s="539" t="s">
        <v>131</v>
      </c>
      <c r="J20" s="546" t="s">
        <v>132</v>
      </c>
      <c r="K20" s="538">
        <v>1700</v>
      </c>
      <c r="L20" s="540">
        <v>562</v>
      </c>
      <c r="M20" s="540">
        <v>2020</v>
      </c>
      <c r="N20" s="541">
        <v>1600</v>
      </c>
      <c r="O20" s="541">
        <v>1600</v>
      </c>
      <c r="P20" s="538">
        <v>1700</v>
      </c>
      <c r="Q20" s="542">
        <v>1600</v>
      </c>
      <c r="R20" s="514"/>
    </row>
    <row r="21" spans="2:18" x14ac:dyDescent="0.2">
      <c r="F21" s="543"/>
      <c r="G21" s="260"/>
      <c r="L21" s="543"/>
    </row>
    <row r="22" spans="2:18" x14ac:dyDescent="0.2">
      <c r="B22" s="544" t="s">
        <v>133</v>
      </c>
      <c r="F22" s="543"/>
      <c r="G22" s="260"/>
      <c r="L22" s="543"/>
    </row>
    <row r="23" spans="2:18" x14ac:dyDescent="0.2">
      <c r="F23" s="543"/>
      <c r="G23" s="260"/>
      <c r="L23" s="543"/>
    </row>
  </sheetData>
  <mergeCells count="17">
    <mergeCell ref="B1:Q1"/>
    <mergeCell ref="E4:E6"/>
    <mergeCell ref="F4:G5"/>
    <mergeCell ref="H4:H6"/>
    <mergeCell ref="P5:P6"/>
    <mergeCell ref="Q5:Q6"/>
    <mergeCell ref="I4:I6"/>
    <mergeCell ref="J4:J6"/>
    <mergeCell ref="K4:M4"/>
    <mergeCell ref="N4:O4"/>
    <mergeCell ref="K5:K6"/>
    <mergeCell ref="L5:M5"/>
    <mergeCell ref="N5:N6"/>
    <mergeCell ref="O5:O6"/>
    <mergeCell ref="B4:B6"/>
    <mergeCell ref="C4:C6"/>
    <mergeCell ref="D4:D6"/>
  </mergeCells>
  <printOptions horizontalCentered="1"/>
  <pageMargins left="0.23622047244094491" right="0.23622047244094491" top="0.74803149606299213" bottom="0.74803149606299213" header="0.31496062992125984" footer="0.31496062992125984"/>
  <pageSetup paperSize="9" scale="67"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D22"/>
  <sheetViews>
    <sheetView zoomScaleNormal="100" workbookViewId="0">
      <selection activeCell="A10" sqref="A10"/>
    </sheetView>
  </sheetViews>
  <sheetFormatPr baseColWidth="10" defaultColWidth="11.28515625" defaultRowHeight="12" x14ac:dyDescent="0.2"/>
  <cols>
    <col min="1" max="1" width="63.85546875" style="331" customWidth="1"/>
    <col min="2" max="4" width="21.28515625" style="331" customWidth="1"/>
    <col min="5" max="16384" width="11.28515625" style="331"/>
  </cols>
  <sheetData>
    <row r="1" spans="1:4" ht="34.5" customHeight="1" x14ac:dyDescent="0.2">
      <c r="A1" s="1429" t="s">
        <v>134</v>
      </c>
      <c r="B1" s="1429"/>
      <c r="C1" s="1429"/>
      <c r="D1" s="1429"/>
    </row>
    <row r="2" spans="1:4" ht="18" customHeight="1" x14ac:dyDescent="0.2">
      <c r="A2" s="554" t="s">
        <v>43</v>
      </c>
      <c r="B2" s="556"/>
      <c r="C2" s="556"/>
      <c r="D2" s="556"/>
    </row>
    <row r="3" spans="1:4" ht="18" customHeight="1" x14ac:dyDescent="0.2">
      <c r="A3" s="2"/>
    </row>
    <row r="4" spans="1:4" s="503" customFormat="1" ht="28.35" customHeight="1" x14ac:dyDescent="0.2">
      <c r="A4" s="433" t="s">
        <v>135</v>
      </c>
      <c r="B4" s="550">
        <v>2020</v>
      </c>
      <c r="C4" s="550">
        <v>2021</v>
      </c>
      <c r="D4" s="550">
        <v>2022</v>
      </c>
    </row>
    <row r="5" spans="1:4" ht="15.75" customHeight="1" x14ac:dyDescent="0.2">
      <c r="A5" s="417" t="s">
        <v>136</v>
      </c>
      <c r="B5" s="61">
        <v>92625137</v>
      </c>
      <c r="C5" s="61">
        <v>80561342</v>
      </c>
      <c r="D5" s="369">
        <v>89389610</v>
      </c>
    </row>
    <row r="6" spans="1:4" ht="15" customHeight="1" x14ac:dyDescent="0.2">
      <c r="A6" s="417" t="s">
        <v>137</v>
      </c>
      <c r="B6" s="61">
        <v>162391221</v>
      </c>
      <c r="C6" s="61">
        <v>180366393</v>
      </c>
      <c r="D6" s="61">
        <v>219779472</v>
      </c>
    </row>
    <row r="7" spans="1:4" ht="15.75" customHeight="1" x14ac:dyDescent="0.2">
      <c r="A7" s="417" t="s">
        <v>138</v>
      </c>
      <c r="B7" s="61">
        <f>+B8-B5-B6</f>
        <v>606811533</v>
      </c>
      <c r="C7" s="61">
        <f>+C8-C5-C6</f>
        <v>649533332</v>
      </c>
      <c r="D7" s="61">
        <v>676482836</v>
      </c>
    </row>
    <row r="8" spans="1:4" ht="14.25" customHeight="1" x14ac:dyDescent="0.2">
      <c r="A8" s="550" t="s">
        <v>139</v>
      </c>
      <c r="B8" s="434">
        <v>861827891</v>
      </c>
      <c r="C8" s="434">
        <v>910461067</v>
      </c>
      <c r="D8" s="434">
        <f>SUM(D5:D7)</f>
        <v>985651918</v>
      </c>
    </row>
    <row r="10" spans="1:4" s="503" customFormat="1" ht="28.35" customHeight="1" x14ac:dyDescent="0.2">
      <c r="A10" s="433" t="s">
        <v>140</v>
      </c>
      <c r="B10" s="550">
        <v>2020</v>
      </c>
      <c r="C10" s="550" t="s">
        <v>141</v>
      </c>
      <c r="D10" s="550" t="s">
        <v>142</v>
      </c>
    </row>
    <row r="11" spans="1:4" ht="15" customHeight="1" x14ac:dyDescent="0.2">
      <c r="A11" s="417" t="s">
        <v>136</v>
      </c>
      <c r="B11" s="418">
        <v>94032850</v>
      </c>
      <c r="C11" s="557">
        <v>83010202</v>
      </c>
      <c r="D11" s="418">
        <v>0</v>
      </c>
    </row>
    <row r="12" spans="1:4" ht="15" customHeight="1" x14ac:dyDescent="0.2">
      <c r="A12" s="417" t="s">
        <v>137</v>
      </c>
      <c r="B12" s="61">
        <v>297357512</v>
      </c>
      <c r="C12" s="558">
        <v>256883791</v>
      </c>
      <c r="D12" s="61">
        <v>0</v>
      </c>
    </row>
    <row r="13" spans="1:4" ht="15" customHeight="1" x14ac:dyDescent="0.2">
      <c r="A13" s="417" t="s">
        <v>138</v>
      </c>
      <c r="B13" s="61">
        <f>+B14-B11-B12</f>
        <v>759100831</v>
      </c>
      <c r="C13" s="61">
        <f>+C14-C11-C12</f>
        <v>726168874</v>
      </c>
      <c r="D13" s="61">
        <v>0</v>
      </c>
    </row>
    <row r="14" spans="1:4" ht="16.5" customHeight="1" x14ac:dyDescent="0.2">
      <c r="A14" s="550" t="s">
        <v>143</v>
      </c>
      <c r="B14" s="434">
        <v>1150491193</v>
      </c>
      <c r="C14" s="434">
        <v>1066062867</v>
      </c>
      <c r="D14" s="434">
        <f>SUM(D11:D13)</f>
        <v>0</v>
      </c>
    </row>
    <row r="16" spans="1:4" s="503" customFormat="1" ht="28.35" customHeight="1" x14ac:dyDescent="0.2">
      <c r="A16" s="433" t="s">
        <v>144</v>
      </c>
      <c r="B16" s="550">
        <v>2020</v>
      </c>
      <c r="C16" s="550" t="s">
        <v>141</v>
      </c>
      <c r="D16" s="550" t="s">
        <v>142</v>
      </c>
    </row>
    <row r="17" spans="1:4" ht="15" customHeight="1" x14ac:dyDescent="0.2">
      <c r="A17" s="417" t="s">
        <v>136</v>
      </c>
      <c r="B17" s="61">
        <v>91811082.140000001</v>
      </c>
      <c r="C17" s="559">
        <v>39546380.619999997</v>
      </c>
      <c r="D17" s="61">
        <v>0</v>
      </c>
    </row>
    <row r="18" spans="1:4" ht="15" customHeight="1" x14ac:dyDescent="0.2">
      <c r="A18" s="417" t="s">
        <v>137</v>
      </c>
      <c r="B18" s="61">
        <v>276089614.31999999</v>
      </c>
      <c r="C18" s="559">
        <v>137783033.36000001</v>
      </c>
      <c r="D18" s="61">
        <v>0</v>
      </c>
    </row>
    <row r="19" spans="1:4" ht="15" customHeight="1" x14ac:dyDescent="0.2">
      <c r="A19" s="417" t="s">
        <v>138</v>
      </c>
      <c r="B19" s="61">
        <f>+B20-B17-B18</f>
        <v>703742616.61000013</v>
      </c>
      <c r="C19" s="61">
        <f>+C20-C17-C18</f>
        <v>320354007.81</v>
      </c>
      <c r="D19" s="61">
        <v>0</v>
      </c>
    </row>
    <row r="20" spans="1:4" ht="15" customHeight="1" x14ac:dyDescent="0.2">
      <c r="A20" s="550" t="s">
        <v>145</v>
      </c>
      <c r="B20" s="434">
        <v>1071643313.0700001</v>
      </c>
      <c r="C20" s="434">
        <v>497683421.79000002</v>
      </c>
      <c r="D20" s="434">
        <f>SUM(D17:D19)</f>
        <v>0</v>
      </c>
    </row>
    <row r="21" spans="1:4" x14ac:dyDescent="0.2">
      <c r="A21" s="560" t="s">
        <v>146</v>
      </c>
    </row>
    <row r="22" spans="1:4" x14ac:dyDescent="0.2">
      <c r="A22" s="561" t="s">
        <v>147</v>
      </c>
    </row>
  </sheetData>
  <mergeCells count="1">
    <mergeCell ref="A1:D1"/>
  </mergeCells>
  <pageMargins left="0.70866141732283472" right="0.51181102362204722" top="0.74803149606299213" bottom="0.74803149606299213" header="0.31496062992125984" footer="0.31496062992125984"/>
  <pageSetup paperSize="9" scale="106" orientation="landscape" r:id="rId1"/>
  <headerFooter>
    <oddHeader xml:space="preserve">&amp;L&amp;"Arial,Negrita"&amp;14
&amp;C&amp;"Arial,Negrita"&amp;18PROYECTO DE PRESUPUESTO 2021&amp;R&amp;"Arial,Negrita"&amp;14 </oddHeader>
    <oddFooter>&amp;L&amp;"Arial,Negrita"&amp;8PROYECTO DE PRESUPUESTO PARA EL AÑO FISCAL 2022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54"/>
  <sheetViews>
    <sheetView zoomScaleNormal="100" workbookViewId="0">
      <selection activeCell="H6" sqref="H6"/>
    </sheetView>
  </sheetViews>
  <sheetFormatPr baseColWidth="10" defaultColWidth="11.28515625" defaultRowHeight="12" x14ac:dyDescent="0.2"/>
  <cols>
    <col min="1" max="1" width="50.7109375" style="331" customWidth="1"/>
    <col min="2" max="4" width="18.140625" style="331" customWidth="1"/>
    <col min="5" max="16384" width="11.28515625" style="331"/>
  </cols>
  <sheetData>
    <row r="1" spans="1:4" ht="32.25" customHeight="1" x14ac:dyDescent="0.2">
      <c r="A1" s="1430" t="s">
        <v>148</v>
      </c>
      <c r="B1" s="1430"/>
      <c r="C1" s="1430"/>
      <c r="D1" s="1430"/>
    </row>
    <row r="2" spans="1:4" ht="18" customHeight="1" x14ac:dyDescent="0.2">
      <c r="A2" s="1431" t="s">
        <v>43</v>
      </c>
      <c r="B2" s="1431"/>
      <c r="C2" s="1431"/>
      <c r="D2" s="1431"/>
    </row>
    <row r="3" spans="1:4" s="503" customFormat="1" ht="18.75" customHeight="1" x14ac:dyDescent="0.2">
      <c r="A3" s="2"/>
      <c r="B3" s="331"/>
      <c r="C3" s="331"/>
      <c r="D3" s="331"/>
    </row>
    <row r="4" spans="1:4" ht="24" x14ac:dyDescent="0.2">
      <c r="A4" s="433" t="s">
        <v>149</v>
      </c>
      <c r="B4" s="550">
        <v>2020</v>
      </c>
      <c r="C4" s="550">
        <v>2021</v>
      </c>
      <c r="D4" s="550">
        <v>2022</v>
      </c>
    </row>
    <row r="5" spans="1:4" x14ac:dyDescent="0.2">
      <c r="A5" s="551" t="s">
        <v>150</v>
      </c>
      <c r="B5" s="59">
        <f t="shared" ref="B5:C5" si="0">+B6+B7+B8+B9+B10+B11</f>
        <v>605583498</v>
      </c>
      <c r="C5" s="59">
        <f t="shared" si="0"/>
        <v>656225450</v>
      </c>
      <c r="D5" s="59">
        <f>+D6+D7+D8+D9+D10+D11</f>
        <v>690363098</v>
      </c>
    </row>
    <row r="6" spans="1:4" x14ac:dyDescent="0.2">
      <c r="A6" s="64" t="s">
        <v>151</v>
      </c>
      <c r="B6" s="61">
        <v>0</v>
      </c>
      <c r="C6" s="61">
        <v>0</v>
      </c>
      <c r="D6" s="61">
        <v>0</v>
      </c>
    </row>
    <row r="7" spans="1:4" x14ac:dyDescent="0.2">
      <c r="A7" s="64" t="s">
        <v>152</v>
      </c>
      <c r="B7" s="61">
        <v>470553762</v>
      </c>
      <c r="C7" s="61">
        <v>531805354</v>
      </c>
      <c r="D7" s="61">
        <v>551211533</v>
      </c>
    </row>
    <row r="8" spans="1:4" x14ac:dyDescent="0.2">
      <c r="A8" s="64" t="s">
        <v>153</v>
      </c>
      <c r="B8" s="61">
        <v>28139255</v>
      </c>
      <c r="C8" s="61">
        <v>26965585</v>
      </c>
      <c r="D8" s="61">
        <v>24352012</v>
      </c>
    </row>
    <row r="9" spans="1:4" x14ac:dyDescent="0.2">
      <c r="A9" s="64" t="s">
        <v>154</v>
      </c>
      <c r="B9" s="61">
        <v>106120314</v>
      </c>
      <c r="C9" s="61">
        <v>96684344</v>
      </c>
      <c r="D9" s="61">
        <v>113826196</v>
      </c>
    </row>
    <row r="10" spans="1:4" x14ac:dyDescent="0.2">
      <c r="A10" s="64" t="s">
        <v>155</v>
      </c>
      <c r="B10" s="61">
        <v>0</v>
      </c>
      <c r="C10" s="61">
        <v>0</v>
      </c>
      <c r="D10" s="61">
        <v>400000</v>
      </c>
    </row>
    <row r="11" spans="1:4" x14ac:dyDescent="0.2">
      <c r="A11" s="64" t="s">
        <v>156</v>
      </c>
      <c r="B11" s="552">
        <v>770167</v>
      </c>
      <c r="C11" s="61">
        <v>770167</v>
      </c>
      <c r="D11" s="61">
        <v>573357</v>
      </c>
    </row>
    <row r="12" spans="1:4" x14ac:dyDescent="0.2">
      <c r="A12" s="551" t="s">
        <v>157</v>
      </c>
      <c r="B12" s="59">
        <f t="shared" ref="B12:C12" si="1">+B13+B14+B15+B16</f>
        <v>256244393</v>
      </c>
      <c r="C12" s="59">
        <f t="shared" si="1"/>
        <v>251814418</v>
      </c>
      <c r="D12" s="59">
        <f>+D13+D14+D15+D16</f>
        <v>292470041</v>
      </c>
    </row>
    <row r="13" spans="1:4" x14ac:dyDescent="0.2">
      <c r="A13" s="64" t="s">
        <v>158</v>
      </c>
      <c r="B13" s="61">
        <v>0</v>
      </c>
      <c r="C13" s="61">
        <v>0</v>
      </c>
      <c r="D13" s="61">
        <v>500000</v>
      </c>
    </row>
    <row r="14" spans="1:4" x14ac:dyDescent="0.2">
      <c r="A14" s="64" t="s">
        <v>159</v>
      </c>
      <c r="B14" s="61">
        <v>0</v>
      </c>
      <c r="C14" s="61">
        <v>0</v>
      </c>
      <c r="D14" s="61">
        <v>0</v>
      </c>
    </row>
    <row r="15" spans="1:4" x14ac:dyDescent="0.2">
      <c r="A15" s="64" t="s">
        <v>160</v>
      </c>
      <c r="B15" s="552">
        <v>256244393</v>
      </c>
      <c r="C15" s="61">
        <v>251814418</v>
      </c>
      <c r="D15" s="61">
        <v>291970041</v>
      </c>
    </row>
    <row r="16" spans="1:4" x14ac:dyDescent="0.2">
      <c r="A16" s="64" t="s">
        <v>161</v>
      </c>
      <c r="B16" s="61">
        <v>0</v>
      </c>
      <c r="C16" s="61">
        <v>0</v>
      </c>
      <c r="D16" s="61">
        <v>0</v>
      </c>
    </row>
    <row r="17" spans="1:4" x14ac:dyDescent="0.2">
      <c r="A17" s="551" t="s">
        <v>162</v>
      </c>
      <c r="B17" s="59">
        <f>+B18</f>
        <v>0</v>
      </c>
      <c r="C17" s="59">
        <f t="shared" ref="C17:D17" si="2">+C18</f>
        <v>2421199</v>
      </c>
      <c r="D17" s="59">
        <f t="shared" si="2"/>
        <v>2818779</v>
      </c>
    </row>
    <row r="18" spans="1:4" ht="18" customHeight="1" x14ac:dyDescent="0.2">
      <c r="A18" s="64" t="s">
        <v>163</v>
      </c>
      <c r="B18" s="61">
        <v>0</v>
      </c>
      <c r="C18" s="61">
        <v>2421199</v>
      </c>
      <c r="D18" s="61">
        <v>2818779</v>
      </c>
    </row>
    <row r="19" spans="1:4" ht="17.25" customHeight="1" x14ac:dyDescent="0.2">
      <c r="A19" s="550" t="s">
        <v>139</v>
      </c>
      <c r="B19" s="434">
        <f>+B5+B12+B17</f>
        <v>861827891</v>
      </c>
      <c r="C19" s="434">
        <f t="shared" ref="C19:D19" si="3">+C5+C12+C17</f>
        <v>910461067</v>
      </c>
      <c r="D19" s="434">
        <f t="shared" si="3"/>
        <v>985651918</v>
      </c>
    </row>
    <row r="20" spans="1:4" s="503" customFormat="1" ht="28.35" customHeight="1" x14ac:dyDescent="0.2">
      <c r="A20" s="331"/>
      <c r="B20" s="331"/>
      <c r="C20" s="331"/>
      <c r="D20" s="331"/>
    </row>
    <row r="21" spans="1:4" ht="24" x14ac:dyDescent="0.2">
      <c r="A21" s="433" t="s">
        <v>164</v>
      </c>
      <c r="B21" s="550">
        <v>2020</v>
      </c>
      <c r="C21" s="550">
        <v>2021</v>
      </c>
      <c r="D21" s="550">
        <v>2022</v>
      </c>
    </row>
    <row r="22" spans="1:4" x14ac:dyDescent="0.2">
      <c r="A22" s="551" t="s">
        <v>150</v>
      </c>
      <c r="B22" s="59">
        <f t="shared" ref="B22:C22" si="4">+B23+B24+B25+B26+B27+B28</f>
        <v>792307444</v>
      </c>
      <c r="C22" s="59">
        <f t="shared" si="4"/>
        <v>746115564</v>
      </c>
      <c r="D22" s="59">
        <f>+D23+D24+D25+D26+D27+D28</f>
        <v>0</v>
      </c>
    </row>
    <row r="23" spans="1:4" x14ac:dyDescent="0.2">
      <c r="A23" s="64" t="s">
        <v>151</v>
      </c>
      <c r="B23" s="61">
        <v>0</v>
      </c>
      <c r="C23" s="61">
        <v>0</v>
      </c>
      <c r="D23" s="61">
        <v>0</v>
      </c>
    </row>
    <row r="24" spans="1:4" x14ac:dyDescent="0.2">
      <c r="A24" s="64" t="s">
        <v>152</v>
      </c>
      <c r="B24" s="61">
        <v>555373918</v>
      </c>
      <c r="C24" s="61">
        <v>561890956</v>
      </c>
      <c r="D24" s="61">
        <v>0</v>
      </c>
    </row>
    <row r="25" spans="1:4" x14ac:dyDescent="0.2">
      <c r="A25" s="64" t="s">
        <v>153</v>
      </c>
      <c r="B25" s="61">
        <v>27316613</v>
      </c>
      <c r="C25" s="61">
        <v>27868265</v>
      </c>
      <c r="D25" s="61">
        <v>0</v>
      </c>
    </row>
    <row r="26" spans="1:4" x14ac:dyDescent="0.2">
      <c r="A26" s="64" t="s">
        <v>154</v>
      </c>
      <c r="B26" s="61">
        <v>194226288</v>
      </c>
      <c r="C26" s="61">
        <v>154851749</v>
      </c>
      <c r="D26" s="61">
        <v>0</v>
      </c>
    </row>
    <row r="27" spans="1:4" x14ac:dyDescent="0.2">
      <c r="A27" s="64" t="s">
        <v>155</v>
      </c>
      <c r="B27" s="61">
        <v>75000</v>
      </c>
      <c r="C27" s="61">
        <v>236169</v>
      </c>
      <c r="D27" s="61">
        <v>0</v>
      </c>
    </row>
    <row r="28" spans="1:4" x14ac:dyDescent="0.2">
      <c r="A28" s="64" t="s">
        <v>156</v>
      </c>
      <c r="B28" s="61">
        <v>15315625</v>
      </c>
      <c r="C28" s="61">
        <v>1268425</v>
      </c>
      <c r="D28" s="61">
        <v>0</v>
      </c>
    </row>
    <row r="29" spans="1:4" x14ac:dyDescent="0.2">
      <c r="A29" s="551" t="s">
        <v>157</v>
      </c>
      <c r="B29" s="59">
        <f t="shared" ref="B29:C29" si="5">+B30+B31+B32+B33</f>
        <v>358183749</v>
      </c>
      <c r="C29" s="59">
        <f t="shared" si="5"/>
        <v>317526104</v>
      </c>
      <c r="D29" s="59">
        <f>+D30+D31+D32+D33</f>
        <v>0</v>
      </c>
    </row>
    <row r="30" spans="1:4" x14ac:dyDescent="0.2">
      <c r="A30" s="64" t="s">
        <v>158</v>
      </c>
      <c r="B30" s="61"/>
      <c r="C30" s="61">
        <v>200000</v>
      </c>
      <c r="D30" s="61">
        <v>0</v>
      </c>
    </row>
    <row r="31" spans="1:4" x14ac:dyDescent="0.2">
      <c r="A31" s="64" t="s">
        <v>159</v>
      </c>
      <c r="B31" s="61"/>
      <c r="C31" s="61">
        <v>0</v>
      </c>
      <c r="D31" s="61">
        <v>0</v>
      </c>
    </row>
    <row r="32" spans="1:4" x14ac:dyDescent="0.2">
      <c r="A32" s="64" t="s">
        <v>160</v>
      </c>
      <c r="B32" s="552">
        <v>358183749</v>
      </c>
      <c r="C32" s="61">
        <v>317326104</v>
      </c>
      <c r="D32" s="61">
        <v>0</v>
      </c>
    </row>
    <row r="33" spans="1:4" x14ac:dyDescent="0.2">
      <c r="A33" s="64" t="s">
        <v>161</v>
      </c>
      <c r="B33" s="61"/>
      <c r="C33" s="61">
        <v>0</v>
      </c>
      <c r="D33" s="61">
        <v>0</v>
      </c>
    </row>
    <row r="34" spans="1:4" x14ac:dyDescent="0.2">
      <c r="A34" s="551" t="s">
        <v>162</v>
      </c>
      <c r="B34" s="59">
        <f>+B35</f>
        <v>0</v>
      </c>
      <c r="C34" s="59">
        <f t="shared" ref="C34:D34" si="6">+C35</f>
        <v>2421199</v>
      </c>
      <c r="D34" s="59">
        <f t="shared" si="6"/>
        <v>0</v>
      </c>
    </row>
    <row r="35" spans="1:4" ht="18" customHeight="1" x14ac:dyDescent="0.2">
      <c r="A35" s="64" t="s">
        <v>163</v>
      </c>
      <c r="B35" s="61"/>
      <c r="C35" s="61">
        <v>2421199</v>
      </c>
      <c r="D35" s="61">
        <v>0</v>
      </c>
    </row>
    <row r="36" spans="1:4" ht="18" customHeight="1" x14ac:dyDescent="0.2">
      <c r="A36" s="550" t="s">
        <v>143</v>
      </c>
      <c r="B36" s="434">
        <f>+B22+B29+B34</f>
        <v>1150491193</v>
      </c>
      <c r="C36" s="434">
        <f t="shared" ref="C36:D36" si="7">+C22+C29+C34</f>
        <v>1066062867</v>
      </c>
      <c r="D36" s="434">
        <f t="shared" si="7"/>
        <v>0</v>
      </c>
    </row>
    <row r="37" spans="1:4" s="503" customFormat="1" ht="28.35" customHeight="1" x14ac:dyDescent="0.2">
      <c r="A37" s="331"/>
      <c r="B37" s="331"/>
      <c r="C37" s="331"/>
      <c r="D37" s="331"/>
    </row>
    <row r="38" spans="1:4" ht="24" x14ac:dyDescent="0.2">
      <c r="A38" s="433" t="s">
        <v>165</v>
      </c>
      <c r="B38" s="550">
        <v>2020</v>
      </c>
      <c r="C38" s="550">
        <v>2021</v>
      </c>
      <c r="D38" s="550">
        <v>2022</v>
      </c>
    </row>
    <row r="39" spans="1:4" x14ac:dyDescent="0.2">
      <c r="A39" s="551" t="s">
        <v>150</v>
      </c>
      <c r="B39" s="59">
        <f t="shared" ref="B39:C39" si="8">+B40+B41+B42+B43+B44+B45</f>
        <v>779586859.35000002</v>
      </c>
      <c r="C39" s="59">
        <f t="shared" si="8"/>
        <v>384208908.95000005</v>
      </c>
      <c r="D39" s="59">
        <f>+D40+D41+D42+D43+D44+D45</f>
        <v>0</v>
      </c>
    </row>
    <row r="40" spans="1:4" x14ac:dyDescent="0.2">
      <c r="A40" s="64" t="s">
        <v>151</v>
      </c>
      <c r="B40" s="61">
        <v>0</v>
      </c>
      <c r="C40" s="61">
        <v>0</v>
      </c>
      <c r="D40" s="61">
        <v>0</v>
      </c>
    </row>
    <row r="41" spans="1:4" x14ac:dyDescent="0.2">
      <c r="A41" s="64" t="s">
        <v>152</v>
      </c>
      <c r="B41" s="61">
        <v>551155243.40999997</v>
      </c>
      <c r="C41" s="61">
        <v>282401967.11000001</v>
      </c>
      <c r="D41" s="61">
        <v>0</v>
      </c>
    </row>
    <row r="42" spans="1:4" x14ac:dyDescent="0.2">
      <c r="A42" s="64" t="s">
        <v>153</v>
      </c>
      <c r="B42" s="61">
        <v>27212791.969999999</v>
      </c>
      <c r="C42" s="61">
        <v>14532255.98</v>
      </c>
      <c r="D42" s="61">
        <v>0</v>
      </c>
    </row>
    <row r="43" spans="1:4" x14ac:dyDescent="0.2">
      <c r="A43" s="64" t="s">
        <v>154</v>
      </c>
      <c r="B43" s="61">
        <v>185993647.09</v>
      </c>
      <c r="C43" s="61">
        <v>86413145.060000002</v>
      </c>
      <c r="D43" s="61">
        <v>0</v>
      </c>
    </row>
    <row r="44" spans="1:4" x14ac:dyDescent="0.2">
      <c r="A44" s="64" t="s">
        <v>155</v>
      </c>
      <c r="B44" s="61">
        <v>50000</v>
      </c>
      <c r="C44" s="61">
        <v>167129</v>
      </c>
      <c r="D44" s="61">
        <v>0</v>
      </c>
    </row>
    <row r="45" spans="1:4" x14ac:dyDescent="0.2">
      <c r="A45" s="64" t="s">
        <v>156</v>
      </c>
      <c r="B45" s="61">
        <v>15175176.880000001</v>
      </c>
      <c r="C45" s="61">
        <v>694411.8</v>
      </c>
      <c r="D45" s="61">
        <v>0</v>
      </c>
    </row>
    <row r="46" spans="1:4" x14ac:dyDescent="0.2">
      <c r="A46" s="551" t="s">
        <v>157</v>
      </c>
      <c r="B46" s="59">
        <f t="shared" ref="B46:C46" si="9">+B47+B48+B49+B50</f>
        <v>292056453.72000003</v>
      </c>
      <c r="C46" s="59">
        <f t="shared" si="9"/>
        <v>113474512.84</v>
      </c>
      <c r="D46" s="59">
        <f>+D47+D48+D49+D50</f>
        <v>0</v>
      </c>
    </row>
    <row r="47" spans="1:4" x14ac:dyDescent="0.2">
      <c r="A47" s="64" t="s">
        <v>158</v>
      </c>
      <c r="B47" s="61">
        <v>0</v>
      </c>
      <c r="C47" s="369">
        <v>200000</v>
      </c>
      <c r="D47" s="61">
        <v>0</v>
      </c>
    </row>
    <row r="48" spans="1:4" x14ac:dyDescent="0.2">
      <c r="A48" s="64" t="s">
        <v>159</v>
      </c>
      <c r="B48" s="61">
        <v>0</v>
      </c>
      <c r="C48" s="61">
        <v>0</v>
      </c>
      <c r="D48" s="61">
        <v>0</v>
      </c>
    </row>
    <row r="49" spans="1:4" x14ac:dyDescent="0.2">
      <c r="A49" s="64" t="s">
        <v>160</v>
      </c>
      <c r="B49" s="369">
        <v>292056453.72000003</v>
      </c>
      <c r="C49" s="61">
        <v>113274512.84</v>
      </c>
      <c r="D49" s="61">
        <v>0</v>
      </c>
    </row>
    <row r="50" spans="1:4" x14ac:dyDescent="0.2">
      <c r="A50" s="64" t="s">
        <v>161</v>
      </c>
      <c r="B50" s="61">
        <v>0</v>
      </c>
      <c r="C50" s="61">
        <v>0</v>
      </c>
      <c r="D50" s="61">
        <v>0</v>
      </c>
    </row>
    <row r="51" spans="1:4" x14ac:dyDescent="0.2">
      <c r="A51" s="551" t="s">
        <v>162</v>
      </c>
      <c r="B51" s="59">
        <f>+B52</f>
        <v>0</v>
      </c>
      <c r="C51" s="59">
        <f t="shared" ref="C51:D51" si="10">+C52</f>
        <v>0</v>
      </c>
      <c r="D51" s="59">
        <f t="shared" si="10"/>
        <v>0</v>
      </c>
    </row>
    <row r="52" spans="1:4" ht="18" customHeight="1" x14ac:dyDescent="0.2">
      <c r="A52" s="64" t="s">
        <v>163</v>
      </c>
      <c r="B52" s="61">
        <v>0</v>
      </c>
      <c r="C52" s="61">
        <v>0</v>
      </c>
      <c r="D52" s="61">
        <v>0</v>
      </c>
    </row>
    <row r="53" spans="1:4" ht="15.75" customHeight="1" x14ac:dyDescent="0.2">
      <c r="A53" s="550" t="s">
        <v>145</v>
      </c>
      <c r="B53" s="434">
        <f>+B39+B46+B51</f>
        <v>1071643313.0700001</v>
      </c>
      <c r="C53" s="434">
        <f t="shared" ref="C53:D53" si="11">+C39+C46+C51</f>
        <v>497683421.79000008</v>
      </c>
      <c r="D53" s="434">
        <f t="shared" si="11"/>
        <v>0</v>
      </c>
    </row>
    <row r="54" spans="1:4" x14ac:dyDescent="0.2">
      <c r="A54" s="553"/>
    </row>
  </sheetData>
  <mergeCells count="2">
    <mergeCell ref="A1:D1"/>
    <mergeCell ref="A2:D2"/>
  </mergeCells>
  <pageMargins left="0.62992125984251968" right="0.43307086614173229" top="0.74803149606299213" bottom="0.74803149606299213" header="0.31496062992125984" footer="0.31496062992125984"/>
  <pageSetup paperSize="9" scale="88" orientation="portrait" r:id="rId1"/>
  <headerFooter>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W27"/>
  <sheetViews>
    <sheetView zoomScaleNormal="100" zoomScaleSheetLayoutView="100" workbookViewId="0">
      <selection activeCell="D18" sqref="D18"/>
    </sheetView>
  </sheetViews>
  <sheetFormatPr baseColWidth="10" defaultColWidth="11.28515625" defaultRowHeight="11.25" x14ac:dyDescent="0.2"/>
  <cols>
    <col min="1" max="1" width="17.140625" style="423" customWidth="1"/>
    <col min="2" max="2" width="35.85546875" style="423" customWidth="1"/>
    <col min="3" max="3" width="5" style="423" customWidth="1"/>
    <col min="4" max="4" width="14.28515625" style="423" customWidth="1"/>
    <col min="5" max="5" width="14.5703125" style="423" customWidth="1"/>
    <col min="6" max="6" width="14.28515625" style="423" customWidth="1"/>
    <col min="7" max="7" width="11.42578125" style="423" customWidth="1"/>
    <col min="8" max="8" width="11.28515625" style="423" customWidth="1"/>
    <col min="9" max="9" width="14.42578125" style="423" customWidth="1"/>
    <col min="10" max="10" width="8.140625" style="423" customWidth="1"/>
    <col min="11" max="11" width="5.28515625" style="423" customWidth="1"/>
    <col min="12" max="12" width="14.140625" style="423" customWidth="1"/>
    <col min="13" max="13" width="7.7109375" style="423" customWidth="1"/>
    <col min="14" max="14" width="13.5703125" style="423" customWidth="1"/>
    <col min="15" max="15" width="13.28515625" style="423" customWidth="1"/>
    <col min="16" max="16" width="12.85546875" style="423" customWidth="1"/>
    <col min="17" max="17" width="14.7109375" style="423" customWidth="1"/>
    <col min="18" max="18" width="7.5703125" style="423" customWidth="1"/>
    <col min="19" max="16384" width="11.28515625" style="423"/>
  </cols>
  <sheetData>
    <row r="1" spans="1:23" ht="18" customHeight="1" x14ac:dyDescent="0.2">
      <c r="A1" s="1439" t="s">
        <v>166</v>
      </c>
      <c r="B1" s="1439"/>
      <c r="C1" s="1439"/>
      <c r="D1" s="1439"/>
      <c r="E1" s="1439"/>
      <c r="F1" s="1439"/>
      <c r="G1" s="1439"/>
      <c r="H1" s="1439"/>
      <c r="I1" s="1439"/>
      <c r="J1" s="1439"/>
      <c r="K1" s="1439"/>
      <c r="L1" s="1439"/>
      <c r="M1" s="1439"/>
      <c r="N1" s="1439"/>
      <c r="O1" s="1439"/>
      <c r="P1" s="1439"/>
      <c r="Q1" s="1439"/>
      <c r="R1" s="1439"/>
    </row>
    <row r="2" spans="1:23" ht="18" customHeight="1" x14ac:dyDescent="0.2">
      <c r="A2" s="507" t="s">
        <v>43</v>
      </c>
      <c r="B2" s="70"/>
      <c r="C2" s="70"/>
      <c r="D2" s="70"/>
      <c r="E2" s="70"/>
      <c r="F2" s="70"/>
      <c r="G2" s="70"/>
      <c r="H2" s="70"/>
      <c r="I2" s="70"/>
      <c r="J2" s="70"/>
      <c r="K2" s="70"/>
      <c r="L2" s="70"/>
      <c r="M2" s="70"/>
      <c r="N2" s="70"/>
      <c r="O2" s="70"/>
      <c r="P2" s="70"/>
      <c r="Q2" s="70"/>
      <c r="R2" s="70"/>
      <c r="S2" s="30"/>
      <c r="T2" s="30"/>
      <c r="U2" s="30"/>
      <c r="V2" s="30"/>
      <c r="W2" s="30"/>
    </row>
    <row r="3" spans="1:23" ht="18" customHeight="1" thickBot="1" x14ac:dyDescent="0.25">
      <c r="A3" s="507"/>
      <c r="B3" s="70"/>
      <c r="C3" s="70"/>
      <c r="D3" s="70"/>
      <c r="E3" s="70"/>
      <c r="F3" s="70"/>
      <c r="G3" s="70"/>
      <c r="H3" s="70"/>
      <c r="I3" s="70"/>
      <c r="J3" s="70"/>
      <c r="K3" s="70"/>
      <c r="L3" s="70"/>
      <c r="M3" s="70"/>
      <c r="N3" s="70"/>
      <c r="O3" s="70"/>
      <c r="P3" s="70"/>
      <c r="Q3" s="70"/>
      <c r="R3" s="70"/>
      <c r="S3" s="30"/>
      <c r="T3" s="30"/>
      <c r="U3" s="30"/>
      <c r="V3" s="30"/>
      <c r="W3" s="30"/>
    </row>
    <row r="4" spans="1:23" s="31" customFormat="1" ht="28.35" customHeight="1" thickBot="1" x14ac:dyDescent="0.25">
      <c r="A4" s="1434" t="s">
        <v>167</v>
      </c>
      <c r="B4" s="1434" t="s">
        <v>168</v>
      </c>
      <c r="C4" s="1436" t="s">
        <v>150</v>
      </c>
      <c r="D4" s="1437"/>
      <c r="E4" s="1437"/>
      <c r="F4" s="1437"/>
      <c r="G4" s="1437"/>
      <c r="H4" s="1437"/>
      <c r="I4" s="1438"/>
      <c r="J4" s="1436" t="s">
        <v>157</v>
      </c>
      <c r="K4" s="1437"/>
      <c r="L4" s="1437"/>
      <c r="M4" s="1437"/>
      <c r="N4" s="1438"/>
      <c r="O4" s="1436" t="s">
        <v>162</v>
      </c>
      <c r="P4" s="1438"/>
      <c r="Q4" s="1436" t="s">
        <v>169</v>
      </c>
      <c r="R4" s="1438"/>
    </row>
    <row r="5" spans="1:23" s="31" customFormat="1" ht="93.75" customHeight="1" thickBot="1" x14ac:dyDescent="0.25">
      <c r="A5" s="1435"/>
      <c r="B5" s="1435"/>
      <c r="C5" s="424" t="s">
        <v>151</v>
      </c>
      <c r="D5" s="425" t="s">
        <v>152</v>
      </c>
      <c r="E5" s="425" t="s">
        <v>153</v>
      </c>
      <c r="F5" s="425" t="s">
        <v>154</v>
      </c>
      <c r="G5" s="425" t="s">
        <v>170</v>
      </c>
      <c r="H5" s="425" t="s">
        <v>171</v>
      </c>
      <c r="I5" s="426" t="s">
        <v>172</v>
      </c>
      <c r="J5" s="424" t="s">
        <v>173</v>
      </c>
      <c r="K5" s="425" t="s">
        <v>174</v>
      </c>
      <c r="L5" s="425" t="s">
        <v>160</v>
      </c>
      <c r="M5" s="425" t="s">
        <v>161</v>
      </c>
      <c r="N5" s="426" t="s">
        <v>175</v>
      </c>
      <c r="O5" s="424" t="s">
        <v>163</v>
      </c>
      <c r="P5" s="426" t="s">
        <v>176</v>
      </c>
      <c r="Q5" s="427" t="s">
        <v>177</v>
      </c>
      <c r="R5" s="428" t="s">
        <v>178</v>
      </c>
    </row>
    <row r="6" spans="1:23" ht="15" customHeight="1" x14ac:dyDescent="0.2">
      <c r="A6" s="1440" t="s">
        <v>179</v>
      </c>
      <c r="B6" s="46" t="s">
        <v>180</v>
      </c>
      <c r="C6" s="47"/>
      <c r="D6" s="51">
        <v>11159850</v>
      </c>
      <c r="E6" s="51">
        <v>2194417</v>
      </c>
      <c r="F6" s="51">
        <v>26556937</v>
      </c>
      <c r="G6" s="51">
        <v>900000</v>
      </c>
      <c r="H6" s="51">
        <v>81970</v>
      </c>
      <c r="I6" s="52">
        <f>SUM(C6:H6)</f>
        <v>40893174</v>
      </c>
      <c r="J6" s="53"/>
      <c r="K6" s="51"/>
      <c r="L6" s="51">
        <v>249293174</v>
      </c>
      <c r="M6" s="51"/>
      <c r="N6" s="52">
        <f>SUM(J6:M6)</f>
        <v>249293174</v>
      </c>
      <c r="O6" s="53">
        <v>2818779</v>
      </c>
      <c r="P6" s="52">
        <f>SUM(O6)</f>
        <v>2818779</v>
      </c>
      <c r="Q6" s="53">
        <f>SUM(I6+N6+P6)</f>
        <v>293005127</v>
      </c>
      <c r="R6" s="48">
        <f>Q6/Q26*100</f>
        <v>29.727038688722967</v>
      </c>
    </row>
    <row r="7" spans="1:23" ht="15.75" customHeight="1" x14ac:dyDescent="0.2">
      <c r="A7" s="1441"/>
      <c r="B7" s="49" t="s">
        <v>181</v>
      </c>
      <c r="C7" s="47"/>
      <c r="D7" s="51">
        <v>729733</v>
      </c>
      <c r="E7" s="51">
        <v>5054</v>
      </c>
      <c r="F7" s="51">
        <v>1621171</v>
      </c>
      <c r="G7" s="51">
        <v>0</v>
      </c>
      <c r="H7" s="51">
        <v>0</v>
      </c>
      <c r="I7" s="52">
        <f t="shared" ref="I7:I25" si="0">SUM(C7:H7)</f>
        <v>2355958</v>
      </c>
      <c r="J7" s="53"/>
      <c r="K7" s="51"/>
      <c r="L7" s="51">
        <v>10498392</v>
      </c>
      <c r="M7" s="51"/>
      <c r="N7" s="52">
        <f t="shared" ref="N7:N25" si="1">SUM(J7:M7)</f>
        <v>10498392</v>
      </c>
      <c r="O7" s="53"/>
      <c r="P7" s="52">
        <f t="shared" ref="P7:P25" si="2">SUM(O7)</f>
        <v>0</v>
      </c>
      <c r="Q7" s="53">
        <f t="shared" ref="Q7:Q25" si="3">SUM(I7+N7+P7)</f>
        <v>12854350</v>
      </c>
      <c r="R7" s="48">
        <f>Q7/Q26*100</f>
        <v>1.3041470082139077</v>
      </c>
    </row>
    <row r="8" spans="1:23" ht="15.75" customHeight="1" x14ac:dyDescent="0.2">
      <c r="A8" s="1441"/>
      <c r="B8" s="49" t="s">
        <v>182</v>
      </c>
      <c r="C8" s="47"/>
      <c r="D8" s="51">
        <v>716116</v>
      </c>
      <c r="E8" s="51">
        <v>0</v>
      </c>
      <c r="F8" s="51">
        <v>802899</v>
      </c>
      <c r="G8" s="51">
        <v>0</v>
      </c>
      <c r="H8" s="51">
        <v>0</v>
      </c>
      <c r="I8" s="52">
        <f t="shared" si="0"/>
        <v>1519015</v>
      </c>
      <c r="J8" s="53"/>
      <c r="K8" s="51"/>
      <c r="L8" s="51">
        <v>3673101</v>
      </c>
      <c r="M8" s="51"/>
      <c r="N8" s="52">
        <f t="shared" si="1"/>
        <v>3673101</v>
      </c>
      <c r="O8" s="53"/>
      <c r="P8" s="52">
        <f t="shared" si="2"/>
        <v>0</v>
      </c>
      <c r="Q8" s="53">
        <f t="shared" si="3"/>
        <v>5192116</v>
      </c>
      <c r="R8" s="48">
        <f>Q8/Q26*100</f>
        <v>0.5267697353580354</v>
      </c>
    </row>
    <row r="9" spans="1:23" ht="15.75" customHeight="1" x14ac:dyDescent="0.2">
      <c r="A9" s="1441"/>
      <c r="B9" s="49" t="s">
        <v>183</v>
      </c>
      <c r="C9" s="47"/>
      <c r="D9" s="51">
        <v>776919</v>
      </c>
      <c r="E9" s="51">
        <v>0</v>
      </c>
      <c r="F9" s="51">
        <v>1424676</v>
      </c>
      <c r="G9" s="51">
        <v>0</v>
      </c>
      <c r="H9" s="51">
        <v>0</v>
      </c>
      <c r="I9" s="52">
        <f t="shared" si="0"/>
        <v>2201595</v>
      </c>
      <c r="J9" s="53"/>
      <c r="K9" s="51"/>
      <c r="L9" s="51">
        <v>8876146</v>
      </c>
      <c r="M9" s="51"/>
      <c r="N9" s="52">
        <f t="shared" si="1"/>
        <v>8876146</v>
      </c>
      <c r="O9" s="53"/>
      <c r="P9" s="52">
        <f t="shared" si="2"/>
        <v>0</v>
      </c>
      <c r="Q9" s="53">
        <f t="shared" si="3"/>
        <v>11077741</v>
      </c>
      <c r="R9" s="48">
        <f>Q9/Q26*100</f>
        <v>1.1238999080403556</v>
      </c>
    </row>
    <row r="10" spans="1:23" ht="15.75" customHeight="1" x14ac:dyDescent="0.2">
      <c r="A10" s="1441"/>
      <c r="B10" s="49" t="s">
        <v>184</v>
      </c>
      <c r="C10" s="47"/>
      <c r="D10" s="51">
        <v>0</v>
      </c>
      <c r="E10" s="51">
        <v>0</v>
      </c>
      <c r="F10" s="51">
        <v>0</v>
      </c>
      <c r="G10" s="51">
        <v>0</v>
      </c>
      <c r="H10" s="51">
        <v>0</v>
      </c>
      <c r="I10" s="52">
        <f t="shared" si="0"/>
        <v>0</v>
      </c>
      <c r="J10" s="53"/>
      <c r="K10" s="51"/>
      <c r="L10" s="51">
        <v>2537288</v>
      </c>
      <c r="M10" s="51"/>
      <c r="N10" s="52">
        <f t="shared" si="1"/>
        <v>2537288</v>
      </c>
      <c r="O10" s="53"/>
      <c r="P10" s="52">
        <f t="shared" si="2"/>
        <v>0</v>
      </c>
      <c r="Q10" s="53">
        <f t="shared" si="3"/>
        <v>2537288</v>
      </c>
      <c r="R10" s="48">
        <f>Q10/Q26*100</f>
        <v>0.25742231650585595</v>
      </c>
    </row>
    <row r="11" spans="1:23" ht="36" x14ac:dyDescent="0.2">
      <c r="A11" s="1441"/>
      <c r="B11" s="49" t="s">
        <v>185</v>
      </c>
      <c r="C11" s="47"/>
      <c r="D11" s="51">
        <v>709870</v>
      </c>
      <c r="E11" s="51">
        <v>194791</v>
      </c>
      <c r="F11" s="51">
        <v>443319</v>
      </c>
      <c r="G11" s="51">
        <v>0</v>
      </c>
      <c r="H11" s="51">
        <v>1500</v>
      </c>
      <c r="I11" s="52">
        <f t="shared" si="0"/>
        <v>1349480</v>
      </c>
      <c r="J11" s="53"/>
      <c r="K11" s="51"/>
      <c r="L11" s="51">
        <v>2904667</v>
      </c>
      <c r="M11" s="51"/>
      <c r="N11" s="52">
        <f t="shared" si="1"/>
        <v>2904667</v>
      </c>
      <c r="O11" s="53"/>
      <c r="P11" s="52">
        <f t="shared" si="2"/>
        <v>0</v>
      </c>
      <c r="Q11" s="53">
        <f t="shared" si="3"/>
        <v>4254147</v>
      </c>
      <c r="R11" s="48">
        <f>Q11/Q26*100</f>
        <v>0.43160743892551329</v>
      </c>
    </row>
    <row r="12" spans="1:23" ht="24" x14ac:dyDescent="0.2">
      <c r="A12" s="1441"/>
      <c r="B12" s="49" t="s">
        <v>186</v>
      </c>
      <c r="C12" s="47"/>
      <c r="D12" s="51">
        <v>795763</v>
      </c>
      <c r="E12" s="51">
        <v>2363</v>
      </c>
      <c r="F12" s="51">
        <v>384490</v>
      </c>
      <c r="G12" s="51">
        <v>0</v>
      </c>
      <c r="H12" s="51">
        <v>0</v>
      </c>
      <c r="I12" s="52">
        <f t="shared" si="0"/>
        <v>1182616</v>
      </c>
      <c r="J12" s="53"/>
      <c r="K12" s="51"/>
      <c r="L12" s="51">
        <v>0</v>
      </c>
      <c r="M12" s="51"/>
      <c r="N12" s="52">
        <f t="shared" si="1"/>
        <v>0</v>
      </c>
      <c r="O12" s="53"/>
      <c r="P12" s="52">
        <f t="shared" si="2"/>
        <v>0</v>
      </c>
      <c r="Q12" s="53">
        <f t="shared" si="3"/>
        <v>1182616</v>
      </c>
      <c r="R12" s="48">
        <f>Q12/Q26*100</f>
        <v>0.1199831277556546</v>
      </c>
    </row>
    <row r="13" spans="1:23" ht="15" customHeight="1" x14ac:dyDescent="0.2">
      <c r="A13" s="1441"/>
      <c r="B13" s="49" t="s">
        <v>187</v>
      </c>
      <c r="C13" s="47"/>
      <c r="D13" s="51">
        <v>2193749</v>
      </c>
      <c r="E13" s="51">
        <v>1723805</v>
      </c>
      <c r="F13" s="51">
        <v>4072604</v>
      </c>
      <c r="G13" s="51">
        <v>0</v>
      </c>
      <c r="H13" s="51">
        <v>0</v>
      </c>
      <c r="I13" s="52">
        <f t="shared" si="0"/>
        <v>7990158</v>
      </c>
      <c r="J13" s="53"/>
      <c r="K13" s="51"/>
      <c r="L13" s="51">
        <v>684036</v>
      </c>
      <c r="M13" s="51"/>
      <c r="N13" s="52">
        <f t="shared" si="1"/>
        <v>684036</v>
      </c>
      <c r="O13" s="53"/>
      <c r="P13" s="52">
        <f t="shared" si="2"/>
        <v>0</v>
      </c>
      <c r="Q13" s="53">
        <f t="shared" si="3"/>
        <v>8674194</v>
      </c>
      <c r="R13" s="48">
        <f>Q13/Q26*100</f>
        <v>0.88004637758945647</v>
      </c>
    </row>
    <row r="14" spans="1:23" ht="15" customHeight="1" x14ac:dyDescent="0.2">
      <c r="A14" s="1441"/>
      <c r="B14" s="49" t="s">
        <v>188</v>
      </c>
      <c r="C14" s="47"/>
      <c r="D14" s="51">
        <v>2006473</v>
      </c>
      <c r="E14" s="51">
        <v>301963</v>
      </c>
      <c r="F14" s="51">
        <v>7747610</v>
      </c>
      <c r="G14" s="51">
        <v>0</v>
      </c>
      <c r="H14" s="51">
        <v>0</v>
      </c>
      <c r="I14" s="52">
        <f t="shared" si="0"/>
        <v>10056046</v>
      </c>
      <c r="J14" s="53"/>
      <c r="K14" s="51"/>
      <c r="L14" s="51">
        <v>7971417</v>
      </c>
      <c r="M14" s="51"/>
      <c r="N14" s="52">
        <f t="shared" si="1"/>
        <v>7971417</v>
      </c>
      <c r="O14" s="53"/>
      <c r="P14" s="52">
        <f t="shared" si="2"/>
        <v>0</v>
      </c>
      <c r="Q14" s="53">
        <f t="shared" si="3"/>
        <v>18027463</v>
      </c>
      <c r="R14" s="48">
        <f>Q14/Q26*100</f>
        <v>1.8289887810069678</v>
      </c>
    </row>
    <row r="15" spans="1:23" ht="15" customHeight="1" x14ac:dyDescent="0.2">
      <c r="A15" s="1441"/>
      <c r="B15" s="49" t="s">
        <v>189</v>
      </c>
      <c r="C15" s="47"/>
      <c r="D15" s="51">
        <v>14998126</v>
      </c>
      <c r="E15" s="51">
        <v>2179457</v>
      </c>
      <c r="F15" s="51">
        <v>2966638</v>
      </c>
      <c r="G15" s="51">
        <v>0</v>
      </c>
      <c r="H15" s="51">
        <v>0</v>
      </c>
      <c r="I15" s="52">
        <f t="shared" si="0"/>
        <v>20144221</v>
      </c>
      <c r="J15" s="53"/>
      <c r="K15" s="51"/>
      <c r="L15" s="51">
        <v>744720</v>
      </c>
      <c r="M15" s="51"/>
      <c r="N15" s="52">
        <f t="shared" si="1"/>
        <v>744720</v>
      </c>
      <c r="O15" s="53"/>
      <c r="P15" s="52">
        <f t="shared" si="2"/>
        <v>0</v>
      </c>
      <c r="Q15" s="53">
        <f t="shared" si="3"/>
        <v>20888941</v>
      </c>
      <c r="R15" s="48">
        <f>Q15/Q26*100</f>
        <v>2.1193020191535812</v>
      </c>
    </row>
    <row r="16" spans="1:23" ht="15" customHeight="1" x14ac:dyDescent="0.2">
      <c r="A16" s="1441"/>
      <c r="B16" s="49" t="s">
        <v>190</v>
      </c>
      <c r="C16" s="47"/>
      <c r="D16" s="51">
        <v>7412838</v>
      </c>
      <c r="E16" s="51">
        <v>22009</v>
      </c>
      <c r="F16" s="51">
        <v>831781</v>
      </c>
      <c r="G16" s="51">
        <v>0</v>
      </c>
      <c r="H16" s="51">
        <v>0</v>
      </c>
      <c r="I16" s="52">
        <f t="shared" si="0"/>
        <v>8266628</v>
      </c>
      <c r="J16" s="53"/>
      <c r="K16" s="51"/>
      <c r="L16" s="51">
        <v>46400</v>
      </c>
      <c r="M16" s="51"/>
      <c r="N16" s="52">
        <f t="shared" si="1"/>
        <v>46400</v>
      </c>
      <c r="O16" s="53"/>
      <c r="P16" s="52">
        <f t="shared" si="2"/>
        <v>0</v>
      </c>
      <c r="Q16" s="53">
        <f t="shared" si="3"/>
        <v>8313028</v>
      </c>
      <c r="R16" s="48">
        <f>Q16/Q26*100</f>
        <v>0.8434040301842135</v>
      </c>
    </row>
    <row r="17" spans="1:18" ht="15" customHeight="1" x14ac:dyDescent="0.2">
      <c r="A17" s="1441"/>
      <c r="B17" s="49" t="s">
        <v>191</v>
      </c>
      <c r="C17" s="47"/>
      <c r="D17" s="51">
        <v>54472554</v>
      </c>
      <c r="E17" s="51">
        <v>325681</v>
      </c>
      <c r="F17" s="51">
        <v>2207426</v>
      </c>
      <c r="G17" s="51">
        <v>0</v>
      </c>
      <c r="H17" s="51">
        <v>0</v>
      </c>
      <c r="I17" s="52">
        <f t="shared" si="0"/>
        <v>57005661</v>
      </c>
      <c r="J17" s="53"/>
      <c r="K17" s="51"/>
      <c r="L17" s="51">
        <v>0</v>
      </c>
      <c r="M17" s="51"/>
      <c r="N17" s="52">
        <f t="shared" si="1"/>
        <v>0</v>
      </c>
      <c r="O17" s="53"/>
      <c r="P17" s="52">
        <f t="shared" si="2"/>
        <v>0</v>
      </c>
      <c r="Q17" s="53">
        <f t="shared" si="3"/>
        <v>57005661</v>
      </c>
      <c r="R17" s="48">
        <f>Q17/Q26*100</f>
        <v>5.7835489343612272</v>
      </c>
    </row>
    <row r="18" spans="1:18" ht="15" customHeight="1" x14ac:dyDescent="0.2">
      <c r="A18" s="1441"/>
      <c r="B18" s="49" t="s">
        <v>192</v>
      </c>
      <c r="C18" s="47"/>
      <c r="D18" s="51">
        <v>272443483</v>
      </c>
      <c r="E18" s="51">
        <v>14594715</v>
      </c>
      <c r="F18" s="51">
        <v>7408109</v>
      </c>
      <c r="G18" s="51">
        <v>0</v>
      </c>
      <c r="H18" s="51">
        <v>0</v>
      </c>
      <c r="I18" s="52">
        <f t="shared" si="0"/>
        <v>294446307</v>
      </c>
      <c r="J18" s="53"/>
      <c r="K18" s="51"/>
      <c r="L18" s="51">
        <v>0</v>
      </c>
      <c r="M18" s="51"/>
      <c r="N18" s="52">
        <f t="shared" si="1"/>
        <v>0</v>
      </c>
      <c r="O18" s="53"/>
      <c r="P18" s="52">
        <f t="shared" si="2"/>
        <v>0</v>
      </c>
      <c r="Q18" s="53">
        <f t="shared" si="3"/>
        <v>294446307</v>
      </c>
      <c r="R18" s="48">
        <f>Q18/Q26*100</f>
        <v>29.873254606703863</v>
      </c>
    </row>
    <row r="19" spans="1:18" ht="15" customHeight="1" x14ac:dyDescent="0.2">
      <c r="A19" s="1441"/>
      <c r="B19" s="49" t="s">
        <v>193</v>
      </c>
      <c r="C19" s="47"/>
      <c r="D19" s="51">
        <v>50122260</v>
      </c>
      <c r="E19" s="51">
        <v>220414</v>
      </c>
      <c r="F19" s="51">
        <v>1873540</v>
      </c>
      <c r="G19" s="51">
        <v>0</v>
      </c>
      <c r="H19" s="51">
        <v>0</v>
      </c>
      <c r="I19" s="52">
        <f t="shared" si="0"/>
        <v>52216214</v>
      </c>
      <c r="J19" s="53"/>
      <c r="K19" s="51"/>
      <c r="L19" s="51">
        <v>0</v>
      </c>
      <c r="M19" s="51"/>
      <c r="N19" s="52">
        <f t="shared" si="1"/>
        <v>0</v>
      </c>
      <c r="O19" s="53"/>
      <c r="P19" s="52">
        <f t="shared" si="2"/>
        <v>0</v>
      </c>
      <c r="Q19" s="53">
        <f t="shared" si="3"/>
        <v>52216214</v>
      </c>
      <c r="R19" s="48">
        <f>Q19/Q26*100</f>
        <v>5.2976322621024918</v>
      </c>
    </row>
    <row r="20" spans="1:18" ht="15" customHeight="1" x14ac:dyDescent="0.2">
      <c r="A20" s="1441"/>
      <c r="B20" s="49" t="s">
        <v>194</v>
      </c>
      <c r="C20" s="47"/>
      <c r="D20" s="51">
        <v>31082259</v>
      </c>
      <c r="E20" s="51">
        <v>747338</v>
      </c>
      <c r="F20" s="51">
        <v>16148621</v>
      </c>
      <c r="G20" s="51">
        <v>0</v>
      </c>
      <c r="H20" s="51">
        <v>256251</v>
      </c>
      <c r="I20" s="52">
        <f t="shared" si="0"/>
        <v>48234469</v>
      </c>
      <c r="J20" s="53"/>
      <c r="K20" s="51"/>
      <c r="L20" s="51">
        <v>2199600</v>
      </c>
      <c r="M20" s="51"/>
      <c r="N20" s="52">
        <f t="shared" si="1"/>
        <v>2199600</v>
      </c>
      <c r="O20" s="53"/>
      <c r="P20" s="52">
        <f t="shared" si="2"/>
        <v>0</v>
      </c>
      <c r="Q20" s="53">
        <f t="shared" si="3"/>
        <v>50434069</v>
      </c>
      <c r="R20" s="48">
        <f>Q20/Q26*100</f>
        <v>5.1168235032034906</v>
      </c>
    </row>
    <row r="21" spans="1:18" ht="15" customHeight="1" x14ac:dyDescent="0.2">
      <c r="A21" s="1441"/>
      <c r="B21" s="45" t="s">
        <v>195</v>
      </c>
      <c r="C21" s="47"/>
      <c r="D21" s="51">
        <v>34346035</v>
      </c>
      <c r="E21" s="51">
        <v>1764347</v>
      </c>
      <c r="F21" s="51">
        <v>8535790</v>
      </c>
      <c r="G21" s="51">
        <v>0</v>
      </c>
      <c r="H21" s="51">
        <v>0</v>
      </c>
      <c r="I21" s="52">
        <f t="shared" si="0"/>
        <v>44646172</v>
      </c>
      <c r="J21" s="53"/>
      <c r="K21" s="51"/>
      <c r="L21" s="51">
        <v>0</v>
      </c>
      <c r="M21" s="51"/>
      <c r="N21" s="52">
        <f t="shared" si="1"/>
        <v>0</v>
      </c>
      <c r="O21" s="53"/>
      <c r="P21" s="52">
        <f t="shared" si="2"/>
        <v>0</v>
      </c>
      <c r="Q21" s="53">
        <f t="shared" si="3"/>
        <v>44646172</v>
      </c>
      <c r="R21" s="48">
        <f>Q21/Q26*100</f>
        <v>4.5296083926455672</v>
      </c>
    </row>
    <row r="22" spans="1:18" ht="15" customHeight="1" x14ac:dyDescent="0.2">
      <c r="A22" s="1441"/>
      <c r="B22" s="45" t="s">
        <v>196</v>
      </c>
      <c r="C22" s="47"/>
      <c r="D22" s="51">
        <v>21083145</v>
      </c>
      <c r="E22" s="51">
        <v>47938</v>
      </c>
      <c r="F22" s="51">
        <v>10688169</v>
      </c>
      <c r="G22" s="51">
        <v>0</v>
      </c>
      <c r="H22" s="51">
        <v>0</v>
      </c>
      <c r="I22" s="52">
        <f t="shared" si="0"/>
        <v>31819252</v>
      </c>
      <c r="J22" s="53"/>
      <c r="K22" s="51"/>
      <c r="L22" s="51">
        <v>70000</v>
      </c>
      <c r="M22" s="51"/>
      <c r="N22" s="52">
        <f t="shared" si="1"/>
        <v>70000</v>
      </c>
      <c r="O22" s="53"/>
      <c r="P22" s="52">
        <f t="shared" si="2"/>
        <v>0</v>
      </c>
      <c r="Q22" s="53">
        <f t="shared" si="3"/>
        <v>31889252</v>
      </c>
      <c r="R22" s="48">
        <f>Q22/Q26*100</f>
        <v>3.2353462127590564</v>
      </c>
    </row>
    <row r="23" spans="1:18" ht="24" x14ac:dyDescent="0.2">
      <c r="A23" s="1441"/>
      <c r="B23" s="45" t="s">
        <v>197</v>
      </c>
      <c r="C23" s="47"/>
      <c r="D23" s="51">
        <v>6313033</v>
      </c>
      <c r="E23" s="51">
        <v>17720</v>
      </c>
      <c r="F23" s="51">
        <v>4714197</v>
      </c>
      <c r="G23" s="51">
        <v>0</v>
      </c>
      <c r="H23" s="51">
        <v>0</v>
      </c>
      <c r="I23" s="52">
        <f t="shared" si="0"/>
        <v>11044950</v>
      </c>
      <c r="J23" s="53"/>
      <c r="K23" s="51"/>
      <c r="L23" s="51">
        <v>1303000</v>
      </c>
      <c r="M23" s="51"/>
      <c r="N23" s="52">
        <f t="shared" si="1"/>
        <v>1303000</v>
      </c>
      <c r="O23" s="53"/>
      <c r="P23" s="52">
        <f t="shared" si="2"/>
        <v>0</v>
      </c>
      <c r="Q23" s="53">
        <f t="shared" si="3"/>
        <v>12347950</v>
      </c>
      <c r="R23" s="48">
        <f>Q23/Q26*100</f>
        <v>1.252769844455373</v>
      </c>
    </row>
    <row r="24" spans="1:18" ht="24" x14ac:dyDescent="0.2">
      <c r="A24" s="1441"/>
      <c r="B24" s="45" t="s">
        <v>198</v>
      </c>
      <c r="C24" s="47"/>
      <c r="D24" s="51">
        <v>13367775</v>
      </c>
      <c r="E24" s="51">
        <v>10000</v>
      </c>
      <c r="F24" s="51">
        <v>5771814</v>
      </c>
      <c r="G24" s="51">
        <v>0</v>
      </c>
      <c r="H24" s="51">
        <v>0</v>
      </c>
      <c r="I24" s="52">
        <f t="shared" si="0"/>
        <v>19149589</v>
      </c>
      <c r="J24" s="53"/>
      <c r="K24" s="51"/>
      <c r="L24" s="51">
        <v>890500</v>
      </c>
      <c r="M24" s="51"/>
      <c r="N24" s="52">
        <f t="shared" si="1"/>
        <v>890500</v>
      </c>
      <c r="O24" s="53"/>
      <c r="P24" s="52">
        <f t="shared" si="2"/>
        <v>0</v>
      </c>
      <c r="Q24" s="53">
        <f t="shared" si="3"/>
        <v>20040089</v>
      </c>
      <c r="R24" s="48">
        <f>Q24/Q26*100</f>
        <v>2.0331811498590318</v>
      </c>
    </row>
    <row r="25" spans="1:18" ht="24.75" thickBot="1" x14ac:dyDescent="0.25">
      <c r="A25" s="1442"/>
      <c r="B25" s="45" t="s">
        <v>199</v>
      </c>
      <c r="C25" s="50"/>
      <c r="D25" s="54">
        <v>26481552</v>
      </c>
      <c r="E25" s="54">
        <v>0</v>
      </c>
      <c r="F25" s="54">
        <v>9626405</v>
      </c>
      <c r="G25" s="54">
        <v>0</v>
      </c>
      <c r="H25" s="54">
        <v>233636</v>
      </c>
      <c r="I25" s="52">
        <f t="shared" si="0"/>
        <v>36341593</v>
      </c>
      <c r="J25" s="55"/>
      <c r="K25" s="54"/>
      <c r="L25" s="54">
        <v>277600</v>
      </c>
      <c r="M25" s="54"/>
      <c r="N25" s="52">
        <f t="shared" si="1"/>
        <v>277600</v>
      </c>
      <c r="O25" s="55"/>
      <c r="P25" s="52">
        <f t="shared" si="2"/>
        <v>0</v>
      </c>
      <c r="Q25" s="57">
        <f t="shared" si="3"/>
        <v>36619193</v>
      </c>
      <c r="R25" s="58">
        <f>Q25/Q26*100</f>
        <v>3.7152256624533857</v>
      </c>
    </row>
    <row r="26" spans="1:18" ht="15" customHeight="1" thickBot="1" x14ac:dyDescent="0.25">
      <c r="A26" s="1432" t="s">
        <v>200</v>
      </c>
      <c r="B26" s="1433"/>
      <c r="C26" s="429"/>
      <c r="D26" s="430">
        <f>SUM(D6:D25)</f>
        <v>551211533</v>
      </c>
      <c r="E26" s="430">
        <f t="shared" ref="E26:I26" si="4">SUM(E6:E25)</f>
        <v>24352012</v>
      </c>
      <c r="F26" s="430">
        <f t="shared" si="4"/>
        <v>113826196</v>
      </c>
      <c r="G26" s="430">
        <f t="shared" si="4"/>
        <v>900000</v>
      </c>
      <c r="H26" s="430">
        <f t="shared" si="4"/>
        <v>573357</v>
      </c>
      <c r="I26" s="430">
        <f t="shared" si="4"/>
        <v>690863098</v>
      </c>
      <c r="J26" s="429"/>
      <c r="K26" s="430"/>
      <c r="L26" s="430">
        <f>SUM(L6:L25)</f>
        <v>291970041</v>
      </c>
      <c r="M26" s="430"/>
      <c r="N26" s="431">
        <f>SUM(N6:N25)</f>
        <v>291970041</v>
      </c>
      <c r="O26" s="429">
        <f>SUM(O6:O25)</f>
        <v>2818779</v>
      </c>
      <c r="P26" s="429">
        <f t="shared" ref="P26:Q26" si="5">SUM(P6:P25)</f>
        <v>2818779</v>
      </c>
      <c r="Q26" s="429">
        <f t="shared" si="5"/>
        <v>985651918</v>
      </c>
      <c r="R26" s="432">
        <f>Q26/Q26*100</f>
        <v>100</v>
      </c>
    </row>
    <row r="27" spans="1:18" x14ac:dyDescent="0.2">
      <c r="A27" s="32"/>
      <c r="B27" s="32"/>
      <c r="C27" s="33"/>
      <c r="D27" s="33"/>
      <c r="E27" s="34"/>
      <c r="F27" s="34"/>
      <c r="G27" s="34"/>
      <c r="H27" s="34"/>
      <c r="I27" s="34"/>
      <c r="J27" s="34"/>
      <c r="K27" s="34"/>
      <c r="L27" s="34"/>
      <c r="M27" s="34"/>
      <c r="N27" s="34"/>
      <c r="O27" s="34"/>
      <c r="P27" s="34"/>
      <c r="Q27" s="34"/>
      <c r="R27" s="34"/>
    </row>
  </sheetData>
  <mergeCells count="9">
    <mergeCell ref="A26:B26"/>
    <mergeCell ref="A4:A5"/>
    <mergeCell ref="J4:N4"/>
    <mergeCell ref="O4:P4"/>
    <mergeCell ref="A1:R1"/>
    <mergeCell ref="Q4:R4"/>
    <mergeCell ref="C4:I4"/>
    <mergeCell ref="B4:B5"/>
    <mergeCell ref="A6:A25"/>
  </mergeCells>
  <phoneticPr fontId="0" type="noConversion"/>
  <pageMargins left="0.31496062992125984" right="0.23622047244094491" top="0.74803149606299213" bottom="0.74803149606299213" header="0.31496062992125984" footer="0.31496062992125984"/>
  <pageSetup paperSize="9" scale="61"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D127"/>
  <sheetViews>
    <sheetView topLeftCell="A73" zoomScaleNormal="100" workbookViewId="0">
      <selection activeCell="A29" sqref="A29"/>
    </sheetView>
  </sheetViews>
  <sheetFormatPr baseColWidth="10" defaultColWidth="11.28515625" defaultRowHeight="12" x14ac:dyDescent="0.2"/>
  <cols>
    <col min="1" max="1" width="93.140625" style="17" customWidth="1"/>
    <col min="2" max="4" width="17.7109375" style="17" customWidth="1"/>
    <col min="5" max="16384" width="11.28515625" style="17"/>
  </cols>
  <sheetData>
    <row r="1" spans="1:4" ht="22.5" customHeight="1" x14ac:dyDescent="0.2">
      <c r="A1" s="1429" t="s">
        <v>201</v>
      </c>
      <c r="B1" s="1429"/>
      <c r="C1" s="1429"/>
      <c r="D1" s="1429"/>
    </row>
    <row r="2" spans="1:4" ht="16.5" customHeight="1" x14ac:dyDescent="0.2">
      <c r="A2" s="1443" t="s">
        <v>43</v>
      </c>
      <c r="B2" s="1443"/>
      <c r="C2" s="1443"/>
      <c r="D2" s="1443"/>
    </row>
    <row r="3" spans="1:4" ht="16.5" customHeight="1" x14ac:dyDescent="0.2">
      <c r="A3" s="563"/>
      <c r="B3" s="563"/>
      <c r="C3" s="563"/>
      <c r="D3" s="563"/>
    </row>
    <row r="4" spans="1:4" s="62" customFormat="1" ht="28.35" customHeight="1" x14ac:dyDescent="0.2">
      <c r="A4" s="433" t="s">
        <v>202</v>
      </c>
      <c r="B4" s="433">
        <v>2020</v>
      </c>
      <c r="C4" s="433">
        <v>2021</v>
      </c>
      <c r="D4" s="433">
        <v>2022</v>
      </c>
    </row>
    <row r="5" spans="1:4" ht="14.1" customHeight="1" x14ac:dyDescent="0.2">
      <c r="A5" s="60" t="s">
        <v>203</v>
      </c>
      <c r="B5" s="564">
        <v>43186201</v>
      </c>
      <c r="C5" s="564">
        <v>47978777</v>
      </c>
      <c r="D5" s="564">
        <v>36783503</v>
      </c>
    </row>
    <row r="6" spans="1:4" ht="14.1" customHeight="1" x14ac:dyDescent="0.2">
      <c r="A6" s="60" t="s">
        <v>204</v>
      </c>
      <c r="B6" s="564">
        <v>29528407</v>
      </c>
      <c r="C6" s="564">
        <v>32132804</v>
      </c>
      <c r="D6" s="564">
        <v>32823611</v>
      </c>
    </row>
    <row r="7" spans="1:4" ht="14.1" customHeight="1" x14ac:dyDescent="0.2">
      <c r="A7" s="60" t="s">
        <v>205</v>
      </c>
      <c r="B7" s="564">
        <v>6058506</v>
      </c>
      <c r="C7" s="564">
        <v>6480315</v>
      </c>
      <c r="D7" s="564">
        <v>7477258</v>
      </c>
    </row>
    <row r="8" spans="1:4" ht="14.1" customHeight="1" x14ac:dyDescent="0.2">
      <c r="A8" s="60" t="s">
        <v>206</v>
      </c>
      <c r="B8" s="564">
        <v>11653810</v>
      </c>
      <c r="C8" s="564">
        <v>10584235</v>
      </c>
      <c r="D8" s="564">
        <v>12085721</v>
      </c>
    </row>
    <row r="9" spans="1:4" ht="14.1" customHeight="1" x14ac:dyDescent="0.2">
      <c r="A9" s="60" t="s">
        <v>207</v>
      </c>
      <c r="B9" s="564">
        <v>4570042</v>
      </c>
      <c r="C9" s="564">
        <v>5169364</v>
      </c>
      <c r="D9" s="564">
        <v>5246454</v>
      </c>
    </row>
    <row r="10" spans="1:4" ht="14.1" customHeight="1" x14ac:dyDescent="0.2">
      <c r="A10" s="60" t="s">
        <v>208</v>
      </c>
      <c r="B10" s="564">
        <v>3116439</v>
      </c>
      <c r="C10" s="564">
        <v>3138342</v>
      </c>
      <c r="D10" s="564">
        <v>3113927</v>
      </c>
    </row>
    <row r="11" spans="1:4" ht="14.1" customHeight="1" x14ac:dyDescent="0.2">
      <c r="A11" s="562" t="s">
        <v>209</v>
      </c>
      <c r="B11" s="564">
        <v>300000</v>
      </c>
      <c r="C11" s="564">
        <v>0</v>
      </c>
      <c r="D11" s="564">
        <v>0</v>
      </c>
    </row>
    <row r="12" spans="1:4" ht="14.1" customHeight="1" x14ac:dyDescent="0.2">
      <c r="A12" s="60" t="s">
        <v>210</v>
      </c>
      <c r="B12" s="564">
        <v>20000</v>
      </c>
      <c r="C12" s="564">
        <v>19160</v>
      </c>
      <c r="D12" s="564">
        <v>11640</v>
      </c>
    </row>
    <row r="13" spans="1:4" ht="14.1" customHeight="1" x14ac:dyDescent="0.2">
      <c r="A13" s="60" t="s">
        <v>211</v>
      </c>
      <c r="B13" s="564">
        <v>719593</v>
      </c>
      <c r="C13" s="564">
        <v>697962</v>
      </c>
      <c r="D13" s="564">
        <v>662010</v>
      </c>
    </row>
    <row r="14" spans="1:4" ht="24" customHeight="1" x14ac:dyDescent="0.2">
      <c r="A14" s="60" t="s">
        <v>212</v>
      </c>
      <c r="B14" s="564">
        <v>1000000</v>
      </c>
      <c r="C14" s="564">
        <v>2114498</v>
      </c>
      <c r="D14" s="564">
        <v>2054746</v>
      </c>
    </row>
    <row r="15" spans="1:4" ht="14.1" customHeight="1" x14ac:dyDescent="0.2">
      <c r="A15" s="60" t="s">
        <v>213</v>
      </c>
      <c r="B15" s="564">
        <v>4111777</v>
      </c>
      <c r="C15" s="564">
        <v>3776601</v>
      </c>
      <c r="D15" s="564">
        <v>6950939</v>
      </c>
    </row>
    <row r="16" spans="1:4" ht="14.1" customHeight="1" x14ac:dyDescent="0.2">
      <c r="A16" s="60" t="s">
        <v>214</v>
      </c>
      <c r="B16" s="564">
        <v>1338513</v>
      </c>
      <c r="C16" s="564">
        <v>156008</v>
      </c>
      <c r="D16" s="564">
        <v>0</v>
      </c>
    </row>
    <row r="17" spans="1:4" ht="14.1" customHeight="1" x14ac:dyDescent="0.2">
      <c r="A17" s="60" t="s">
        <v>215</v>
      </c>
      <c r="B17" s="564">
        <v>1590828</v>
      </c>
      <c r="C17" s="564">
        <v>11685084</v>
      </c>
      <c r="D17" s="564">
        <v>0</v>
      </c>
    </row>
    <row r="18" spans="1:4" s="63" customFormat="1" ht="14.1" customHeight="1" x14ac:dyDescent="0.2">
      <c r="A18" s="60" t="s">
        <v>216</v>
      </c>
      <c r="B18" s="564">
        <v>804317</v>
      </c>
      <c r="C18" s="564">
        <v>4955071</v>
      </c>
      <c r="D18" s="564">
        <v>814823</v>
      </c>
    </row>
    <row r="19" spans="1:4" ht="14.1" customHeight="1" x14ac:dyDescent="0.2">
      <c r="A19" s="60" t="s">
        <v>217</v>
      </c>
      <c r="B19" s="564">
        <v>0</v>
      </c>
      <c r="C19" s="564">
        <v>0</v>
      </c>
      <c r="D19" s="564">
        <v>1000000</v>
      </c>
    </row>
    <row r="20" spans="1:4" s="62" customFormat="1" ht="14.1" customHeight="1" x14ac:dyDescent="0.2">
      <c r="A20" s="60" t="s">
        <v>218</v>
      </c>
      <c r="B20" s="564">
        <v>338941754</v>
      </c>
      <c r="C20" s="564">
        <v>399534657</v>
      </c>
      <c r="D20" s="564">
        <v>411706433</v>
      </c>
    </row>
    <row r="21" spans="1:4" ht="14.1" customHeight="1" x14ac:dyDescent="0.2">
      <c r="A21" s="60" t="s">
        <v>219</v>
      </c>
      <c r="B21" s="564">
        <v>3000000</v>
      </c>
      <c r="C21" s="564">
        <v>2700000</v>
      </c>
      <c r="D21" s="564">
        <v>2455109</v>
      </c>
    </row>
    <row r="22" spans="1:4" ht="14.1" customHeight="1" x14ac:dyDescent="0.2">
      <c r="A22" s="60" t="s">
        <v>220</v>
      </c>
      <c r="B22" s="564">
        <v>3600000</v>
      </c>
      <c r="C22" s="564">
        <v>1060931</v>
      </c>
      <c r="D22" s="564">
        <v>0</v>
      </c>
    </row>
    <row r="23" spans="1:4" ht="14.1" customHeight="1" x14ac:dyDescent="0.2">
      <c r="A23" s="60" t="s">
        <v>221</v>
      </c>
      <c r="B23" s="564">
        <v>653312</v>
      </c>
      <c r="C23" s="564">
        <v>606812</v>
      </c>
      <c r="D23" s="564">
        <v>479680</v>
      </c>
    </row>
    <row r="24" spans="1:4" ht="14.1" customHeight="1" x14ac:dyDescent="0.2">
      <c r="A24" s="60" t="s">
        <v>222</v>
      </c>
      <c r="B24" s="564">
        <v>5888179</v>
      </c>
      <c r="C24" s="564">
        <v>7614891</v>
      </c>
      <c r="D24" s="564">
        <v>7921770</v>
      </c>
    </row>
    <row r="25" spans="1:4" ht="24" customHeight="1" x14ac:dyDescent="0.2">
      <c r="A25" s="60" t="s">
        <v>223</v>
      </c>
      <c r="B25" s="564">
        <v>2555662</v>
      </c>
      <c r="C25" s="564">
        <v>3193014</v>
      </c>
      <c r="D25" s="564">
        <v>3034260</v>
      </c>
    </row>
    <row r="26" spans="1:4" ht="24" customHeight="1" x14ac:dyDescent="0.2">
      <c r="A26" s="60" t="s">
        <v>224</v>
      </c>
      <c r="B26" s="564">
        <v>1895799</v>
      </c>
      <c r="C26" s="564">
        <v>1923904</v>
      </c>
      <c r="D26" s="564">
        <v>1961154</v>
      </c>
    </row>
    <row r="27" spans="1:4" ht="14.1" customHeight="1" x14ac:dyDescent="0.2">
      <c r="A27" s="60" t="s">
        <v>225</v>
      </c>
      <c r="B27" s="564">
        <v>0</v>
      </c>
      <c r="C27" s="564">
        <v>3000</v>
      </c>
      <c r="D27" s="564">
        <v>3000</v>
      </c>
    </row>
    <row r="28" spans="1:4" ht="14.1" customHeight="1" x14ac:dyDescent="0.2">
      <c r="A28" s="60" t="s">
        <v>226</v>
      </c>
      <c r="B28" s="564">
        <v>4117657</v>
      </c>
      <c r="C28" s="564">
        <v>568258</v>
      </c>
      <c r="D28" s="564">
        <v>942174</v>
      </c>
    </row>
    <row r="29" spans="1:4" ht="14.1" customHeight="1" x14ac:dyDescent="0.2">
      <c r="A29" s="562" t="s">
        <v>227</v>
      </c>
      <c r="B29" s="564">
        <v>0</v>
      </c>
      <c r="C29" s="564">
        <v>0</v>
      </c>
      <c r="D29" s="564">
        <v>0</v>
      </c>
    </row>
    <row r="30" spans="1:4" ht="14.1" customHeight="1" x14ac:dyDescent="0.2">
      <c r="A30" s="60" t="s">
        <v>228</v>
      </c>
      <c r="B30" s="564">
        <v>1135901</v>
      </c>
      <c r="C30" s="564">
        <v>3194746</v>
      </c>
      <c r="D30" s="564">
        <v>36870</v>
      </c>
    </row>
    <row r="31" spans="1:4" ht="14.1" customHeight="1" x14ac:dyDescent="0.2">
      <c r="A31" s="60" t="s">
        <v>229</v>
      </c>
      <c r="B31" s="564">
        <v>172878</v>
      </c>
      <c r="C31" s="564">
        <v>173345</v>
      </c>
      <c r="D31" s="564">
        <v>179185</v>
      </c>
    </row>
    <row r="32" spans="1:4" ht="24" customHeight="1" x14ac:dyDescent="0.2">
      <c r="A32" s="60" t="s">
        <v>230</v>
      </c>
      <c r="B32" s="564">
        <v>4761135</v>
      </c>
      <c r="C32" s="564">
        <v>3247176</v>
      </c>
      <c r="D32" s="564">
        <v>5156950</v>
      </c>
    </row>
    <row r="33" spans="1:4" ht="14.1" customHeight="1" x14ac:dyDescent="0.2">
      <c r="A33" s="60" t="s">
        <v>231</v>
      </c>
      <c r="B33" s="564">
        <v>6111537</v>
      </c>
      <c r="C33" s="564">
        <v>5615374</v>
      </c>
      <c r="D33" s="564">
        <v>7319874</v>
      </c>
    </row>
    <row r="34" spans="1:4" s="63" customFormat="1" ht="14.1" customHeight="1" x14ac:dyDescent="0.2">
      <c r="A34" s="60" t="s">
        <v>232</v>
      </c>
      <c r="B34" s="564">
        <v>121087419</v>
      </c>
      <c r="C34" s="564">
        <v>82508882</v>
      </c>
      <c r="D34" s="564">
        <v>85916247</v>
      </c>
    </row>
    <row r="35" spans="1:4" ht="24" customHeight="1" x14ac:dyDescent="0.2">
      <c r="A35" s="562" t="s">
        <v>233</v>
      </c>
      <c r="B35" s="564" t="s">
        <v>234</v>
      </c>
      <c r="C35" s="564" t="s">
        <v>234</v>
      </c>
      <c r="D35" s="564">
        <v>0</v>
      </c>
    </row>
    <row r="36" spans="1:4" s="62" customFormat="1" ht="14.1" customHeight="1" x14ac:dyDescent="0.2">
      <c r="A36" s="60" t="s">
        <v>235</v>
      </c>
      <c r="B36" s="564">
        <v>4731488</v>
      </c>
      <c r="C36" s="564">
        <v>1000000</v>
      </c>
      <c r="D36" s="564">
        <v>5985615</v>
      </c>
    </row>
    <row r="37" spans="1:4" ht="14.1" customHeight="1" x14ac:dyDescent="0.2">
      <c r="A37" s="60" t="s">
        <v>236</v>
      </c>
      <c r="B37" s="564">
        <v>156764</v>
      </c>
      <c r="C37" s="564">
        <v>7333570</v>
      </c>
      <c r="D37" s="564">
        <v>4775043</v>
      </c>
    </row>
    <row r="38" spans="1:4" ht="24" customHeight="1" x14ac:dyDescent="0.2">
      <c r="A38" s="60" t="s">
        <v>237</v>
      </c>
      <c r="B38" s="564">
        <v>3615</v>
      </c>
      <c r="C38" s="564">
        <v>196636</v>
      </c>
      <c r="D38" s="564">
        <v>0</v>
      </c>
    </row>
    <row r="39" spans="1:4" ht="14.1" customHeight="1" x14ac:dyDescent="0.2">
      <c r="A39" s="60" t="s">
        <v>238</v>
      </c>
      <c r="B39" s="564">
        <v>0</v>
      </c>
      <c r="C39" s="564"/>
      <c r="D39" s="564">
        <v>29582840</v>
      </c>
    </row>
    <row r="40" spans="1:4" ht="14.1" customHeight="1" x14ac:dyDescent="0.2">
      <c r="A40" s="60" t="s">
        <v>239</v>
      </c>
      <c r="B40" s="564">
        <v>0</v>
      </c>
      <c r="C40" s="564">
        <v>169915</v>
      </c>
      <c r="D40" s="564">
        <v>2000</v>
      </c>
    </row>
    <row r="41" spans="1:4" ht="18" customHeight="1" x14ac:dyDescent="0.2">
      <c r="A41" s="433" t="s">
        <v>139</v>
      </c>
      <c r="B41" s="565">
        <f>SUM(B5:B40)</f>
        <v>606811533</v>
      </c>
      <c r="C41" s="565">
        <f>SUM(C5:C40)</f>
        <v>649533332</v>
      </c>
      <c r="D41" s="565">
        <f>SUM(D5:D40)</f>
        <v>676482836</v>
      </c>
    </row>
    <row r="42" spans="1:4" ht="18" customHeight="1" x14ac:dyDescent="0.2">
      <c r="A42" s="62"/>
      <c r="B42" s="566"/>
      <c r="C42" s="566"/>
      <c r="D42" s="566"/>
    </row>
    <row r="43" spans="1:4" x14ac:dyDescent="0.2">
      <c r="A43" s="63"/>
      <c r="B43" s="63"/>
      <c r="C43" s="63"/>
      <c r="D43" s="63"/>
    </row>
    <row r="44" spans="1:4" ht="24" x14ac:dyDescent="0.2">
      <c r="A44" s="433" t="s">
        <v>240</v>
      </c>
      <c r="B44" s="433">
        <v>2020</v>
      </c>
      <c r="C44" s="433" t="s">
        <v>141</v>
      </c>
      <c r="D44" s="433" t="s">
        <v>142</v>
      </c>
    </row>
    <row r="45" spans="1:4" ht="14.1" customHeight="1" x14ac:dyDescent="0.2">
      <c r="A45" s="60" t="s">
        <v>203</v>
      </c>
      <c r="B45" s="564">
        <v>55491462</v>
      </c>
      <c r="C45" s="564">
        <v>53671001</v>
      </c>
      <c r="D45" s="564">
        <v>0</v>
      </c>
    </row>
    <row r="46" spans="1:4" ht="14.1" customHeight="1" x14ac:dyDescent="0.2">
      <c r="A46" s="60" t="s">
        <v>204</v>
      </c>
      <c r="B46" s="564">
        <v>36684623</v>
      </c>
      <c r="C46" s="564">
        <v>35243434</v>
      </c>
      <c r="D46" s="564">
        <v>0</v>
      </c>
    </row>
    <row r="47" spans="1:4" ht="14.1" customHeight="1" x14ac:dyDescent="0.2">
      <c r="A47" s="60" t="s">
        <v>205</v>
      </c>
      <c r="B47" s="564">
        <v>6753614</v>
      </c>
      <c r="C47" s="564">
        <v>6716413</v>
      </c>
      <c r="D47" s="564">
        <v>0</v>
      </c>
    </row>
    <row r="48" spans="1:4" ht="14.1" customHeight="1" x14ac:dyDescent="0.2">
      <c r="A48" s="60" t="s">
        <v>206</v>
      </c>
      <c r="B48" s="564">
        <v>15015668</v>
      </c>
      <c r="C48" s="564">
        <v>10722904</v>
      </c>
      <c r="D48" s="564">
        <v>0</v>
      </c>
    </row>
    <row r="49" spans="1:4" ht="14.1" customHeight="1" x14ac:dyDescent="0.2">
      <c r="A49" s="60" t="s">
        <v>207</v>
      </c>
      <c r="B49" s="564">
        <v>6039994</v>
      </c>
      <c r="C49" s="564">
        <v>7589567</v>
      </c>
      <c r="D49" s="564">
        <v>0</v>
      </c>
    </row>
    <row r="50" spans="1:4" ht="14.1" customHeight="1" x14ac:dyDescent="0.2">
      <c r="A50" s="60" t="s">
        <v>208</v>
      </c>
      <c r="B50" s="564">
        <v>3029396</v>
      </c>
      <c r="C50" s="564">
        <v>3330345</v>
      </c>
      <c r="D50" s="564">
        <v>0</v>
      </c>
    </row>
    <row r="51" spans="1:4" s="63" customFormat="1" ht="14.1" customHeight="1" x14ac:dyDescent="0.2">
      <c r="A51" s="562" t="s">
        <v>209</v>
      </c>
      <c r="B51" s="564">
        <v>254237</v>
      </c>
      <c r="C51" s="564">
        <v>203390</v>
      </c>
      <c r="D51" s="564">
        <v>0</v>
      </c>
    </row>
    <row r="52" spans="1:4" ht="14.1" customHeight="1" x14ac:dyDescent="0.2">
      <c r="A52" s="60" t="s">
        <v>210</v>
      </c>
      <c r="B52" s="564">
        <v>14060</v>
      </c>
      <c r="C52" s="564">
        <v>19160</v>
      </c>
      <c r="D52" s="564">
        <v>0</v>
      </c>
    </row>
    <row r="53" spans="1:4" ht="14.1" customHeight="1" x14ac:dyDescent="0.2">
      <c r="A53" s="60" t="s">
        <v>211</v>
      </c>
      <c r="B53" s="564">
        <v>694459</v>
      </c>
      <c r="C53" s="564">
        <v>697962</v>
      </c>
      <c r="D53" s="564">
        <v>0</v>
      </c>
    </row>
    <row r="54" spans="1:4" ht="23.25" customHeight="1" x14ac:dyDescent="0.2">
      <c r="A54" s="60" t="s">
        <v>212</v>
      </c>
      <c r="B54" s="564">
        <v>1141811</v>
      </c>
      <c r="C54" s="564">
        <v>1314498</v>
      </c>
      <c r="D54" s="564">
        <v>0</v>
      </c>
    </row>
    <row r="55" spans="1:4" ht="14.1" customHeight="1" x14ac:dyDescent="0.2">
      <c r="A55" s="60" t="s">
        <v>213</v>
      </c>
      <c r="B55" s="564">
        <v>4246328</v>
      </c>
      <c r="C55" s="564">
        <v>3957695</v>
      </c>
      <c r="D55" s="564">
        <v>0</v>
      </c>
    </row>
    <row r="56" spans="1:4" ht="14.1" customHeight="1" x14ac:dyDescent="0.2">
      <c r="A56" s="60" t="s">
        <v>214</v>
      </c>
      <c r="B56" s="564">
        <v>2836301</v>
      </c>
      <c r="C56" s="564">
        <v>2380344</v>
      </c>
      <c r="D56" s="564">
        <v>0</v>
      </c>
    </row>
    <row r="57" spans="1:4" ht="14.1" customHeight="1" x14ac:dyDescent="0.2">
      <c r="A57" s="562" t="s">
        <v>241</v>
      </c>
      <c r="B57" s="564">
        <v>412157</v>
      </c>
      <c r="C57" s="564">
        <v>0</v>
      </c>
      <c r="D57" s="564">
        <v>0</v>
      </c>
    </row>
    <row r="58" spans="1:4" ht="14.1" customHeight="1" x14ac:dyDescent="0.2">
      <c r="A58" s="60" t="s">
        <v>215</v>
      </c>
      <c r="B58" s="564">
        <v>21059189</v>
      </c>
      <c r="C58" s="564">
        <v>20856992</v>
      </c>
      <c r="D58" s="564">
        <v>0</v>
      </c>
    </row>
    <row r="59" spans="1:4" ht="14.1" customHeight="1" x14ac:dyDescent="0.2">
      <c r="A59" s="60" t="s">
        <v>216</v>
      </c>
      <c r="B59" s="564">
        <v>7549330</v>
      </c>
      <c r="C59" s="564">
        <v>15765762</v>
      </c>
      <c r="D59" s="564">
        <v>0</v>
      </c>
    </row>
    <row r="60" spans="1:4" ht="14.1" customHeight="1" x14ac:dyDescent="0.2">
      <c r="A60" s="60" t="s">
        <v>217</v>
      </c>
      <c r="B60" s="564">
        <v>0</v>
      </c>
      <c r="C60" s="564">
        <v>0</v>
      </c>
      <c r="D60" s="564">
        <v>0</v>
      </c>
    </row>
    <row r="61" spans="1:4" ht="14.1" customHeight="1" x14ac:dyDescent="0.2">
      <c r="A61" s="60" t="s">
        <v>218</v>
      </c>
      <c r="B61" s="564">
        <v>391816036</v>
      </c>
      <c r="C61" s="564">
        <v>404184843</v>
      </c>
      <c r="D61" s="564">
        <v>0</v>
      </c>
    </row>
    <row r="62" spans="1:4" ht="14.1" customHeight="1" x14ac:dyDescent="0.2">
      <c r="A62" s="60" t="s">
        <v>219</v>
      </c>
      <c r="B62" s="564">
        <v>2181660</v>
      </c>
      <c r="C62" s="564">
        <v>2721753</v>
      </c>
      <c r="D62" s="564">
        <v>0</v>
      </c>
    </row>
    <row r="63" spans="1:4" ht="14.1" customHeight="1" x14ac:dyDescent="0.2">
      <c r="A63" s="60" t="s">
        <v>220</v>
      </c>
      <c r="B63" s="564">
        <v>4032728</v>
      </c>
      <c r="C63" s="564">
        <v>2360502</v>
      </c>
      <c r="D63" s="564">
        <v>0</v>
      </c>
    </row>
    <row r="64" spans="1:4" ht="14.1" customHeight="1" x14ac:dyDescent="0.2">
      <c r="A64" s="60" t="s">
        <v>221</v>
      </c>
      <c r="B64" s="564">
        <v>1211400</v>
      </c>
      <c r="C64" s="564">
        <v>836591</v>
      </c>
      <c r="D64" s="564">
        <v>0</v>
      </c>
    </row>
    <row r="65" spans="1:4" ht="14.1" customHeight="1" x14ac:dyDescent="0.2">
      <c r="A65" s="60" t="s">
        <v>222</v>
      </c>
      <c r="B65" s="564">
        <v>9879296</v>
      </c>
      <c r="C65" s="564">
        <v>10166043</v>
      </c>
      <c r="D65" s="564">
        <v>0</v>
      </c>
    </row>
    <row r="66" spans="1:4" ht="23.25" customHeight="1" x14ac:dyDescent="0.2">
      <c r="A66" s="60" t="s">
        <v>223</v>
      </c>
      <c r="B66" s="564">
        <v>2969075</v>
      </c>
      <c r="C66" s="564">
        <v>3200695</v>
      </c>
      <c r="D66" s="564">
        <v>0</v>
      </c>
    </row>
    <row r="67" spans="1:4" ht="23.25" customHeight="1" x14ac:dyDescent="0.2">
      <c r="A67" s="60" t="s">
        <v>224</v>
      </c>
      <c r="B67" s="564">
        <v>2189704</v>
      </c>
      <c r="C67" s="564">
        <v>1940304</v>
      </c>
      <c r="D67" s="564">
        <v>0</v>
      </c>
    </row>
    <row r="68" spans="1:4" ht="14.1" customHeight="1" x14ac:dyDescent="0.2">
      <c r="A68" s="60" t="s">
        <v>225</v>
      </c>
      <c r="B68" s="564">
        <v>5000</v>
      </c>
      <c r="C68" s="564">
        <v>5000</v>
      </c>
      <c r="D68" s="564">
        <v>0</v>
      </c>
    </row>
    <row r="69" spans="1:4" ht="14.1" customHeight="1" x14ac:dyDescent="0.2">
      <c r="A69" s="60" t="s">
        <v>226</v>
      </c>
      <c r="B69" s="564">
        <v>3592899</v>
      </c>
      <c r="C69" s="564">
        <v>1894646</v>
      </c>
      <c r="D69" s="564">
        <v>0</v>
      </c>
    </row>
    <row r="70" spans="1:4" ht="14.1" customHeight="1" x14ac:dyDescent="0.2">
      <c r="A70" s="562" t="s">
        <v>227</v>
      </c>
      <c r="B70" s="564">
        <v>153307</v>
      </c>
      <c r="C70" s="564">
        <v>25016</v>
      </c>
      <c r="D70" s="564">
        <v>0</v>
      </c>
    </row>
    <row r="71" spans="1:4" ht="14.1" customHeight="1" x14ac:dyDescent="0.2">
      <c r="A71" s="60" t="s">
        <v>228</v>
      </c>
      <c r="B71" s="564">
        <v>4860093</v>
      </c>
      <c r="C71" s="564">
        <v>2903972</v>
      </c>
      <c r="D71" s="564">
        <v>0</v>
      </c>
    </row>
    <row r="72" spans="1:4" ht="14.1" customHeight="1" x14ac:dyDescent="0.2">
      <c r="A72" s="60" t="s">
        <v>229</v>
      </c>
      <c r="B72" s="564">
        <v>157601</v>
      </c>
      <c r="C72" s="564">
        <v>161247</v>
      </c>
      <c r="D72" s="564">
        <v>0</v>
      </c>
    </row>
    <row r="73" spans="1:4" ht="23.25" customHeight="1" x14ac:dyDescent="0.2">
      <c r="A73" s="60" t="s">
        <v>230</v>
      </c>
      <c r="B73" s="564">
        <v>6559785</v>
      </c>
      <c r="C73" s="564">
        <v>5028162</v>
      </c>
      <c r="D73" s="564">
        <v>0</v>
      </c>
    </row>
    <row r="74" spans="1:4" ht="14.1" customHeight="1" x14ac:dyDescent="0.2">
      <c r="A74" s="60" t="s">
        <v>231</v>
      </c>
      <c r="B74" s="564">
        <v>7053683</v>
      </c>
      <c r="C74" s="564">
        <v>7784751</v>
      </c>
      <c r="D74" s="564">
        <v>0</v>
      </c>
    </row>
    <row r="75" spans="1:4" ht="14.1" customHeight="1" x14ac:dyDescent="0.2">
      <c r="A75" s="60" t="s">
        <v>232</v>
      </c>
      <c r="B75" s="564">
        <v>152381622</v>
      </c>
      <c r="C75" s="564">
        <v>110448378</v>
      </c>
      <c r="D75" s="564">
        <v>0</v>
      </c>
    </row>
    <row r="76" spans="1:4" ht="23.25" customHeight="1" x14ac:dyDescent="0.2">
      <c r="A76" s="562" t="s">
        <v>233</v>
      </c>
      <c r="B76" s="564">
        <v>100000</v>
      </c>
      <c r="C76" s="564">
        <v>101255</v>
      </c>
      <c r="D76" s="564">
        <v>0</v>
      </c>
    </row>
    <row r="77" spans="1:4" ht="14.1" customHeight="1" x14ac:dyDescent="0.2">
      <c r="A77" s="60" t="s">
        <v>235</v>
      </c>
      <c r="B77" s="564">
        <v>325000</v>
      </c>
      <c r="C77" s="564">
        <v>1314333</v>
      </c>
      <c r="D77" s="564">
        <v>0</v>
      </c>
    </row>
    <row r="78" spans="1:4" ht="14.1" customHeight="1" x14ac:dyDescent="0.2">
      <c r="A78" s="60" t="s">
        <v>236</v>
      </c>
      <c r="B78" s="564">
        <v>6602188</v>
      </c>
      <c r="C78" s="564">
        <v>7333570</v>
      </c>
      <c r="D78" s="564">
        <v>0</v>
      </c>
    </row>
    <row r="79" spans="1:4" ht="14.1" customHeight="1" x14ac:dyDescent="0.2">
      <c r="A79" s="562" t="s">
        <v>242</v>
      </c>
      <c r="B79" s="564">
        <v>159985</v>
      </c>
      <c r="C79" s="564">
        <v>34265</v>
      </c>
      <c r="D79" s="564">
        <v>0</v>
      </c>
    </row>
    <row r="80" spans="1:4" ht="23.25" customHeight="1" x14ac:dyDescent="0.2">
      <c r="A80" s="60" t="s">
        <v>237</v>
      </c>
      <c r="B80" s="564">
        <v>1647140</v>
      </c>
      <c r="C80" s="564">
        <v>931767</v>
      </c>
      <c r="D80" s="564">
        <v>0</v>
      </c>
    </row>
    <row r="81" spans="1:4" ht="14.1" customHeight="1" x14ac:dyDescent="0.2">
      <c r="A81" s="60" t="s">
        <v>238</v>
      </c>
      <c r="B81" s="564">
        <v>0</v>
      </c>
      <c r="C81" s="564"/>
      <c r="D81" s="564">
        <v>0</v>
      </c>
    </row>
    <row r="82" spans="1:4" ht="14.1" customHeight="1" x14ac:dyDescent="0.2">
      <c r="A82" s="60" t="s">
        <v>239</v>
      </c>
      <c r="B82" s="564">
        <v>0</v>
      </c>
      <c r="C82" s="564">
        <v>322314</v>
      </c>
      <c r="D82" s="564">
        <v>0</v>
      </c>
    </row>
    <row r="83" spans="1:4" ht="15" customHeight="1" x14ac:dyDescent="0.2">
      <c r="A83" s="433" t="s">
        <v>143</v>
      </c>
      <c r="B83" s="565">
        <f t="shared" ref="B83" si="0">SUM(B45:B82)</f>
        <v>759100831</v>
      </c>
      <c r="C83" s="565">
        <f>SUM(C45:C82)</f>
        <v>726168874</v>
      </c>
      <c r="D83" s="565">
        <f>SUM(D45:D82)</f>
        <v>0</v>
      </c>
    </row>
    <row r="84" spans="1:4" ht="15" customHeight="1" x14ac:dyDescent="0.2">
      <c r="A84" s="62"/>
      <c r="B84" s="566"/>
      <c r="C84" s="566"/>
      <c r="D84" s="566"/>
    </row>
    <row r="85" spans="1:4" x14ac:dyDescent="0.2">
      <c r="A85" s="63"/>
      <c r="B85" s="63"/>
      <c r="C85" s="63"/>
      <c r="D85" s="63"/>
    </row>
    <row r="86" spans="1:4" ht="24" x14ac:dyDescent="0.2">
      <c r="A86" s="433" t="s">
        <v>243</v>
      </c>
      <c r="B86" s="433">
        <v>2020</v>
      </c>
      <c r="C86" s="433" t="s">
        <v>141</v>
      </c>
      <c r="D86" s="433" t="s">
        <v>142</v>
      </c>
    </row>
    <row r="87" spans="1:4" ht="14.1" customHeight="1" x14ac:dyDescent="0.2">
      <c r="A87" s="60" t="s">
        <v>203</v>
      </c>
      <c r="B87" s="564">
        <v>52953568.240000002</v>
      </c>
      <c r="C87" s="564">
        <v>29335177.850000001</v>
      </c>
      <c r="D87" s="564">
        <v>0</v>
      </c>
    </row>
    <row r="88" spans="1:4" ht="14.1" customHeight="1" x14ac:dyDescent="0.2">
      <c r="A88" s="60" t="s">
        <v>204</v>
      </c>
      <c r="B88" s="564">
        <v>36276095.619999997</v>
      </c>
      <c r="C88" s="564">
        <v>16329857.460000001</v>
      </c>
      <c r="D88" s="564">
        <v>0</v>
      </c>
    </row>
    <row r="89" spans="1:4" ht="14.1" customHeight="1" x14ac:dyDescent="0.2">
      <c r="A89" s="60" t="s">
        <v>205</v>
      </c>
      <c r="B89" s="564">
        <v>6726423.0700000003</v>
      </c>
      <c r="C89" s="564">
        <v>3421768.38</v>
      </c>
      <c r="D89" s="564">
        <v>0</v>
      </c>
    </row>
    <row r="90" spans="1:4" ht="14.1" customHeight="1" x14ac:dyDescent="0.2">
      <c r="A90" s="60" t="s">
        <v>206</v>
      </c>
      <c r="B90" s="564">
        <v>14778532.640000001</v>
      </c>
      <c r="C90" s="564">
        <v>6054851.1200000001</v>
      </c>
      <c r="D90" s="564">
        <v>0</v>
      </c>
    </row>
    <row r="91" spans="1:4" ht="14.1" customHeight="1" x14ac:dyDescent="0.2">
      <c r="A91" s="60" t="s">
        <v>207</v>
      </c>
      <c r="B91" s="564">
        <v>6004746.0300000003</v>
      </c>
      <c r="C91" s="564">
        <v>3772452.11</v>
      </c>
      <c r="D91" s="564">
        <v>0</v>
      </c>
    </row>
    <row r="92" spans="1:4" ht="14.1" customHeight="1" x14ac:dyDescent="0.2">
      <c r="A92" s="60" t="s">
        <v>208</v>
      </c>
      <c r="B92" s="564">
        <v>3006967.41</v>
      </c>
      <c r="C92" s="564">
        <v>1670095.16</v>
      </c>
      <c r="D92" s="564">
        <v>0</v>
      </c>
    </row>
    <row r="93" spans="1:4" ht="14.1" customHeight="1" x14ac:dyDescent="0.2">
      <c r="A93" s="562" t="s">
        <v>209</v>
      </c>
      <c r="B93" s="564">
        <v>50847.4</v>
      </c>
      <c r="C93" s="564">
        <v>50847.4</v>
      </c>
      <c r="D93" s="564">
        <v>0</v>
      </c>
    </row>
    <row r="94" spans="1:4" ht="14.1" customHeight="1" x14ac:dyDescent="0.2">
      <c r="A94" s="60" t="s">
        <v>210</v>
      </c>
      <c r="B94" s="564">
        <v>13420</v>
      </c>
      <c r="C94" s="564">
        <v>6120</v>
      </c>
      <c r="D94" s="564">
        <v>0</v>
      </c>
    </row>
    <row r="95" spans="1:4" ht="14.1" customHeight="1" x14ac:dyDescent="0.2">
      <c r="A95" s="60" t="s">
        <v>211</v>
      </c>
      <c r="B95" s="564">
        <v>693500.05</v>
      </c>
      <c r="C95" s="564">
        <v>249514.11</v>
      </c>
      <c r="D95" s="564">
        <v>0</v>
      </c>
    </row>
    <row r="96" spans="1:4" ht="24" customHeight="1" x14ac:dyDescent="0.2">
      <c r="A96" s="60" t="s">
        <v>212</v>
      </c>
      <c r="B96" s="564">
        <v>986485.34</v>
      </c>
      <c r="C96" s="564">
        <v>390344.07</v>
      </c>
      <c r="D96" s="564">
        <v>0</v>
      </c>
    </row>
    <row r="97" spans="1:4" ht="14.1" customHeight="1" x14ac:dyDescent="0.2">
      <c r="A97" s="60" t="s">
        <v>213</v>
      </c>
      <c r="B97" s="564">
        <v>4201536.04</v>
      </c>
      <c r="C97" s="564">
        <v>2521752.13</v>
      </c>
      <c r="D97" s="564">
        <v>0</v>
      </c>
    </row>
    <row r="98" spans="1:4" ht="14.1" customHeight="1" x14ac:dyDescent="0.2">
      <c r="A98" s="60" t="s">
        <v>214</v>
      </c>
      <c r="B98" s="564">
        <v>2417348.15</v>
      </c>
      <c r="C98" s="564">
        <v>1077312.56</v>
      </c>
      <c r="D98" s="564">
        <v>0</v>
      </c>
    </row>
    <row r="99" spans="1:4" ht="14.1" customHeight="1" x14ac:dyDescent="0.2">
      <c r="A99" s="562" t="s">
        <v>241</v>
      </c>
      <c r="B99" s="564">
        <v>409357.62</v>
      </c>
      <c r="C99" s="564">
        <v>0</v>
      </c>
      <c r="D99" s="564">
        <v>0</v>
      </c>
    </row>
    <row r="100" spans="1:4" ht="14.1" customHeight="1" x14ac:dyDescent="0.2">
      <c r="A100" s="60" t="s">
        <v>215</v>
      </c>
      <c r="B100" s="564">
        <v>12725128.26</v>
      </c>
      <c r="C100" s="564">
        <v>3926627.65</v>
      </c>
      <c r="D100" s="564">
        <v>0</v>
      </c>
    </row>
    <row r="101" spans="1:4" ht="14.1" customHeight="1" x14ac:dyDescent="0.2">
      <c r="A101" s="60" t="s">
        <v>216</v>
      </c>
      <c r="B101" s="564">
        <v>1647018.5</v>
      </c>
      <c r="C101" s="564">
        <v>4652011.99</v>
      </c>
      <c r="D101" s="564">
        <v>0</v>
      </c>
    </row>
    <row r="102" spans="1:4" ht="14.1" customHeight="1" x14ac:dyDescent="0.2">
      <c r="A102" s="60" t="s">
        <v>217</v>
      </c>
      <c r="B102" s="564">
        <v>0</v>
      </c>
      <c r="C102" s="564">
        <v>0</v>
      </c>
      <c r="D102" s="564">
        <v>0</v>
      </c>
    </row>
    <row r="103" spans="1:4" ht="14.1" customHeight="1" x14ac:dyDescent="0.2">
      <c r="A103" s="60" t="s">
        <v>218</v>
      </c>
      <c r="B103" s="564">
        <v>384413225.88999999</v>
      </c>
      <c r="C103" s="564">
        <v>197049703.47</v>
      </c>
      <c r="D103" s="564">
        <v>0</v>
      </c>
    </row>
    <row r="104" spans="1:4" ht="14.1" customHeight="1" x14ac:dyDescent="0.2">
      <c r="A104" s="60" t="s">
        <v>219</v>
      </c>
      <c r="B104" s="564">
        <v>1515437.98</v>
      </c>
      <c r="C104" s="564">
        <v>501426.86</v>
      </c>
      <c r="D104" s="564">
        <v>0</v>
      </c>
    </row>
    <row r="105" spans="1:4" ht="14.1" customHeight="1" x14ac:dyDescent="0.2">
      <c r="A105" s="60" t="s">
        <v>220</v>
      </c>
      <c r="B105" s="564">
        <v>3113931.41</v>
      </c>
      <c r="C105" s="564">
        <v>1198873.71</v>
      </c>
      <c r="D105" s="564">
        <v>0</v>
      </c>
    </row>
    <row r="106" spans="1:4" ht="14.1" customHeight="1" x14ac:dyDescent="0.2">
      <c r="A106" s="60" t="s">
        <v>221</v>
      </c>
      <c r="B106" s="564">
        <v>887099.65</v>
      </c>
      <c r="C106" s="564">
        <v>292768.06</v>
      </c>
      <c r="D106" s="564">
        <v>0</v>
      </c>
    </row>
    <row r="107" spans="1:4" ht="14.1" customHeight="1" x14ac:dyDescent="0.2">
      <c r="A107" s="60" t="s">
        <v>222</v>
      </c>
      <c r="B107" s="564">
        <v>9263813.0899999999</v>
      </c>
      <c r="C107" s="564">
        <v>5678968.9100000001</v>
      </c>
      <c r="D107" s="564">
        <v>0</v>
      </c>
    </row>
    <row r="108" spans="1:4" ht="24" customHeight="1" x14ac:dyDescent="0.2">
      <c r="A108" s="60" t="s">
        <v>223</v>
      </c>
      <c r="B108" s="564">
        <v>2933292.1</v>
      </c>
      <c r="C108" s="564">
        <v>1321861.51</v>
      </c>
      <c r="D108" s="564">
        <v>0</v>
      </c>
    </row>
    <row r="109" spans="1:4" ht="24" customHeight="1" x14ac:dyDescent="0.2">
      <c r="A109" s="60" t="s">
        <v>224</v>
      </c>
      <c r="B109" s="564">
        <v>2161383.85</v>
      </c>
      <c r="C109" s="564">
        <v>1044062.23</v>
      </c>
      <c r="D109" s="564">
        <v>0</v>
      </c>
    </row>
    <row r="110" spans="1:4" ht="14.1" customHeight="1" x14ac:dyDescent="0.2">
      <c r="A110" s="60" t="s">
        <v>225</v>
      </c>
      <c r="B110" s="564">
        <v>5000</v>
      </c>
      <c r="C110" s="564">
        <v>0</v>
      </c>
      <c r="D110" s="564">
        <v>0</v>
      </c>
    </row>
    <row r="111" spans="1:4" ht="14.1" customHeight="1" x14ac:dyDescent="0.2">
      <c r="A111" s="60" t="s">
        <v>226</v>
      </c>
      <c r="B111" s="564">
        <v>3168578.72</v>
      </c>
      <c r="C111" s="564">
        <v>1006490.08</v>
      </c>
      <c r="D111" s="564">
        <v>0</v>
      </c>
    </row>
    <row r="112" spans="1:4" ht="14.1" customHeight="1" x14ac:dyDescent="0.2">
      <c r="A112" s="562" t="s">
        <v>227</v>
      </c>
      <c r="B112" s="564">
        <v>129251.24</v>
      </c>
      <c r="C112" s="564">
        <v>19800</v>
      </c>
      <c r="D112" s="564">
        <v>0</v>
      </c>
    </row>
    <row r="113" spans="1:4" ht="14.1" customHeight="1" x14ac:dyDescent="0.2">
      <c r="A113" s="60" t="s">
        <v>228</v>
      </c>
      <c r="B113" s="564">
        <v>3748827.32</v>
      </c>
      <c r="C113" s="564">
        <v>1077210.6499999999</v>
      </c>
      <c r="D113" s="564">
        <v>0</v>
      </c>
    </row>
    <row r="114" spans="1:4" ht="14.1" customHeight="1" x14ac:dyDescent="0.2">
      <c r="A114" s="60" t="s">
        <v>229</v>
      </c>
      <c r="B114" s="564">
        <v>157599.4</v>
      </c>
      <c r="C114" s="564">
        <v>82759.67</v>
      </c>
      <c r="D114" s="564">
        <v>0</v>
      </c>
    </row>
    <row r="115" spans="1:4" ht="24" customHeight="1" x14ac:dyDescent="0.2">
      <c r="A115" s="60" t="s">
        <v>230</v>
      </c>
      <c r="B115" s="564">
        <v>5383272.9800000004</v>
      </c>
      <c r="C115" s="564">
        <v>3291033.14</v>
      </c>
      <c r="D115" s="564">
        <v>0</v>
      </c>
    </row>
    <row r="116" spans="1:4" ht="14.1" customHeight="1" x14ac:dyDescent="0.2">
      <c r="A116" s="60" t="s">
        <v>231</v>
      </c>
      <c r="B116" s="564">
        <v>6665941.2599999998</v>
      </c>
      <c r="C116" s="564">
        <v>4028681.08</v>
      </c>
      <c r="D116" s="564">
        <v>0</v>
      </c>
    </row>
    <row r="117" spans="1:4" ht="14.1" customHeight="1" x14ac:dyDescent="0.2">
      <c r="A117" s="60" t="s">
        <v>232</v>
      </c>
      <c r="B117" s="564">
        <v>129250036.04000001</v>
      </c>
      <c r="C117" s="564">
        <v>26141197.289999999</v>
      </c>
      <c r="D117" s="564">
        <v>0</v>
      </c>
    </row>
    <row r="118" spans="1:4" ht="24" customHeight="1" x14ac:dyDescent="0.2">
      <c r="A118" s="562" t="s">
        <v>233</v>
      </c>
      <c r="B118" s="564">
        <v>98998.9</v>
      </c>
      <c r="C118" s="564" t="s">
        <v>234</v>
      </c>
      <c r="D118" s="564">
        <v>0</v>
      </c>
    </row>
    <row r="119" spans="1:4" ht="14.1" customHeight="1" x14ac:dyDescent="0.2">
      <c r="A119" s="60" t="s">
        <v>235</v>
      </c>
      <c r="B119" s="564">
        <v>143700</v>
      </c>
      <c r="C119" s="564">
        <v>103150</v>
      </c>
      <c r="D119" s="564">
        <v>0</v>
      </c>
    </row>
    <row r="120" spans="1:4" ht="14.1" customHeight="1" x14ac:dyDescent="0.2">
      <c r="A120" s="60" t="s">
        <v>236</v>
      </c>
      <c r="B120" s="564">
        <v>6577399.5</v>
      </c>
      <c r="C120" s="564">
        <v>3587687.69</v>
      </c>
      <c r="D120" s="564">
        <v>0</v>
      </c>
    </row>
    <row r="121" spans="1:4" ht="14.1" customHeight="1" x14ac:dyDescent="0.2">
      <c r="A121" s="562" t="s">
        <v>242</v>
      </c>
      <c r="B121" s="564">
        <v>97518</v>
      </c>
      <c r="C121" s="564" t="s">
        <v>234</v>
      </c>
      <c r="D121" s="564">
        <v>0</v>
      </c>
    </row>
    <row r="122" spans="1:4" ht="24" customHeight="1" x14ac:dyDescent="0.2">
      <c r="A122" s="60" t="s">
        <v>237</v>
      </c>
      <c r="B122" s="564">
        <v>1137334.9099999999</v>
      </c>
      <c r="C122" s="564">
        <v>325182.71000000002</v>
      </c>
      <c r="D122" s="564">
        <v>0</v>
      </c>
    </row>
    <row r="123" spans="1:4" ht="14.1" customHeight="1" x14ac:dyDescent="0.2">
      <c r="A123" s="60" t="s">
        <v>238</v>
      </c>
      <c r="B123" s="564">
        <v>0</v>
      </c>
      <c r="C123" s="564">
        <v>0</v>
      </c>
      <c r="D123" s="564">
        <v>0</v>
      </c>
    </row>
    <row r="124" spans="1:4" ht="14.1" customHeight="1" x14ac:dyDescent="0.2">
      <c r="A124" s="60" t="s">
        <v>239</v>
      </c>
      <c r="B124" s="564">
        <v>0</v>
      </c>
      <c r="C124" s="564">
        <v>144418.76</v>
      </c>
      <c r="D124" s="564">
        <v>0</v>
      </c>
    </row>
    <row r="125" spans="1:4" ht="15.75" customHeight="1" x14ac:dyDescent="0.2">
      <c r="A125" s="433" t="s">
        <v>244</v>
      </c>
      <c r="B125" s="565">
        <f t="shared" ref="B125" si="1">SUM(B87:B124)</f>
        <v>703742616.61000001</v>
      </c>
      <c r="C125" s="565">
        <f>SUM(C87:C124)</f>
        <v>320354007.80999994</v>
      </c>
      <c r="D125" s="565">
        <f>SUM(D87:D124)</f>
        <v>0</v>
      </c>
    </row>
    <row r="126" spans="1:4" x14ac:dyDescent="0.2">
      <c r="A126" s="504" t="s">
        <v>146</v>
      </c>
      <c r="B126" s="63"/>
      <c r="C126" s="63"/>
      <c r="D126" s="63"/>
    </row>
    <row r="127" spans="1:4" x14ac:dyDescent="0.2">
      <c r="A127" s="505" t="s">
        <v>147</v>
      </c>
      <c r="B127" s="63"/>
      <c r="C127" s="63"/>
      <c r="D127" s="63"/>
    </row>
  </sheetData>
  <mergeCells count="2">
    <mergeCell ref="A2:D2"/>
    <mergeCell ref="A1:D1"/>
  </mergeCells>
  <pageMargins left="0.47244094488188981" right="0.51181102362204722" top="0.74803149606299213" bottom="0.74803149606299213" header="0.31496062992125984" footer="0.31496062992125984"/>
  <pageSetup paperSize="9" scale="92" orientation="landscape"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rowBreaks count="3" manualBreakCount="3">
    <brk id="33" max="3" man="1"/>
    <brk id="63" max="16383" man="1"/>
    <brk id="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sheetPr>
  <dimension ref="A1:N52"/>
  <sheetViews>
    <sheetView zoomScaleNormal="100" zoomScaleSheetLayoutView="70" zoomScalePageLayoutView="90" workbookViewId="0">
      <selection activeCell="E36" sqref="E36"/>
    </sheetView>
  </sheetViews>
  <sheetFormatPr baseColWidth="10" defaultColWidth="11.28515625" defaultRowHeight="12" x14ac:dyDescent="0.2"/>
  <cols>
    <col min="1" max="1" width="30.7109375" style="451" customWidth="1"/>
    <col min="2" max="14" width="13.42578125" style="498" customWidth="1"/>
    <col min="15" max="16384" width="11.28515625" style="451"/>
  </cols>
  <sheetData>
    <row r="1" spans="1:14" s="450" customFormat="1" ht="34.5" customHeight="1" x14ac:dyDescent="0.2">
      <c r="A1" s="1444" t="s">
        <v>245</v>
      </c>
      <c r="B1" s="1444"/>
      <c r="C1" s="1444"/>
      <c r="D1" s="1444"/>
      <c r="E1" s="1444"/>
      <c r="F1" s="1444"/>
      <c r="G1" s="1444"/>
      <c r="H1" s="1444"/>
      <c r="I1" s="1444"/>
      <c r="J1" s="1444"/>
      <c r="K1" s="1444"/>
      <c r="L1" s="1444"/>
      <c r="M1" s="1444"/>
      <c r="N1" s="1444"/>
    </row>
    <row r="2" spans="1:14" ht="19.5" customHeight="1" x14ac:dyDescent="0.2">
      <c r="A2" s="1452" t="s">
        <v>43</v>
      </c>
      <c r="B2" s="1452"/>
      <c r="C2" s="1452"/>
      <c r="D2" s="1452"/>
      <c r="E2" s="1452"/>
      <c r="F2" s="1452"/>
      <c r="G2" s="1452"/>
      <c r="H2" s="1452"/>
      <c r="I2" s="1452"/>
      <c r="J2" s="1452"/>
      <c r="K2" s="1452"/>
      <c r="L2" s="1452"/>
      <c r="M2" s="1452"/>
      <c r="N2" s="1452"/>
    </row>
    <row r="3" spans="1:14" ht="19.5" customHeight="1" thickBot="1" x14ac:dyDescent="0.25">
      <c r="A3" s="172"/>
      <c r="B3" s="452"/>
      <c r="C3" s="452"/>
      <c r="D3" s="452"/>
      <c r="E3" s="306"/>
      <c r="F3" s="306"/>
      <c r="G3" s="306"/>
      <c r="H3" s="306"/>
      <c r="I3" s="306"/>
      <c r="J3" s="306"/>
      <c r="K3" s="306"/>
      <c r="L3" s="306"/>
      <c r="M3" s="306"/>
      <c r="N3" s="306"/>
    </row>
    <row r="4" spans="1:14" s="450" customFormat="1" ht="24" customHeight="1" thickBot="1" x14ac:dyDescent="0.25">
      <c r="A4" s="1450" t="s">
        <v>246</v>
      </c>
      <c r="B4" s="1448" t="s">
        <v>247</v>
      </c>
      <c r="C4" s="1449"/>
      <c r="D4" s="1449"/>
      <c r="E4" s="1449"/>
      <c r="F4" s="1445" t="s">
        <v>248</v>
      </c>
      <c r="G4" s="1446"/>
      <c r="H4" s="1447"/>
      <c r="I4" s="1445" t="s">
        <v>249</v>
      </c>
      <c r="J4" s="1446"/>
      <c r="K4" s="1446"/>
      <c r="L4" s="1446"/>
      <c r="M4" s="1446"/>
      <c r="N4" s="1447"/>
    </row>
    <row r="5" spans="1:14" s="453" customFormat="1" ht="57.75" customHeight="1" thickBot="1" x14ac:dyDescent="0.25">
      <c r="A5" s="1451"/>
      <c r="B5" s="499">
        <v>2020</v>
      </c>
      <c r="C5" s="500">
        <v>2021</v>
      </c>
      <c r="D5" s="500" t="s">
        <v>250</v>
      </c>
      <c r="E5" s="501" t="s">
        <v>251</v>
      </c>
      <c r="F5" s="499">
        <v>2020</v>
      </c>
      <c r="G5" s="500">
        <v>2021</v>
      </c>
      <c r="H5" s="500" t="s">
        <v>250</v>
      </c>
      <c r="I5" s="499">
        <v>2020</v>
      </c>
      <c r="J5" s="500" t="s">
        <v>141</v>
      </c>
      <c r="K5" s="500" t="s">
        <v>250</v>
      </c>
      <c r="L5" s="502" t="s">
        <v>252</v>
      </c>
      <c r="M5" s="502" t="s">
        <v>251</v>
      </c>
      <c r="N5" s="501" t="s">
        <v>253</v>
      </c>
    </row>
    <row r="6" spans="1:14" x14ac:dyDescent="0.2">
      <c r="A6" s="454"/>
      <c r="B6" s="455"/>
      <c r="C6" s="456"/>
      <c r="D6" s="456"/>
      <c r="E6" s="457"/>
      <c r="F6" s="455"/>
      <c r="G6" s="458"/>
      <c r="H6" s="459"/>
      <c r="I6" s="460"/>
      <c r="J6" s="458"/>
      <c r="K6" s="461"/>
      <c r="L6" s="455"/>
      <c r="M6" s="458"/>
      <c r="N6" s="459"/>
    </row>
    <row r="7" spans="1:14" ht="24" x14ac:dyDescent="0.2">
      <c r="A7" s="462" t="s">
        <v>254</v>
      </c>
      <c r="B7" s="463"/>
      <c r="C7" s="464"/>
      <c r="D7" s="464"/>
      <c r="E7" s="465"/>
      <c r="F7" s="463"/>
      <c r="G7" s="466"/>
      <c r="H7" s="467"/>
      <c r="I7" s="468"/>
      <c r="J7" s="466"/>
      <c r="K7" s="468"/>
      <c r="L7" s="463"/>
      <c r="M7" s="466"/>
      <c r="N7" s="467"/>
    </row>
    <row r="8" spans="1:14" x14ac:dyDescent="0.2">
      <c r="A8" s="469" t="s">
        <v>255</v>
      </c>
      <c r="B8" s="470"/>
      <c r="C8" s="471"/>
      <c r="D8" s="471"/>
      <c r="E8" s="472"/>
      <c r="F8" s="470"/>
      <c r="G8" s="473"/>
      <c r="H8" s="474"/>
      <c r="I8" s="475"/>
      <c r="J8" s="473"/>
      <c r="K8" s="475"/>
      <c r="L8" s="470"/>
      <c r="M8" s="473"/>
      <c r="N8" s="474"/>
    </row>
    <row r="9" spans="1:14" s="450" customFormat="1" x14ac:dyDescent="0.2">
      <c r="A9" s="476"/>
      <c r="B9" s="470"/>
      <c r="C9" s="471"/>
      <c r="D9" s="471"/>
      <c r="E9" s="472"/>
      <c r="F9" s="470"/>
      <c r="G9" s="473"/>
      <c r="H9" s="474"/>
      <c r="I9" s="475"/>
      <c r="J9" s="473"/>
      <c r="K9" s="475"/>
      <c r="L9" s="470"/>
      <c r="M9" s="473"/>
      <c r="N9" s="474"/>
    </row>
    <row r="10" spans="1:14" x14ac:dyDescent="0.2">
      <c r="A10" s="462" t="s">
        <v>256</v>
      </c>
      <c r="B10" s="470"/>
      <c r="C10" s="471"/>
      <c r="D10" s="471"/>
      <c r="E10" s="472"/>
      <c r="F10" s="470"/>
      <c r="G10" s="473"/>
      <c r="H10" s="474"/>
      <c r="I10" s="475"/>
      <c r="J10" s="473"/>
      <c r="K10" s="475"/>
      <c r="L10" s="470"/>
      <c r="M10" s="473"/>
      <c r="N10" s="474"/>
    </row>
    <row r="11" spans="1:14" x14ac:dyDescent="0.2">
      <c r="A11" s="477" t="s">
        <v>257</v>
      </c>
      <c r="B11" s="470"/>
      <c r="C11" s="471"/>
      <c r="D11" s="471"/>
      <c r="E11" s="472"/>
      <c r="F11" s="470"/>
      <c r="G11" s="473"/>
      <c r="H11" s="474"/>
      <c r="I11" s="475"/>
      <c r="J11" s="473"/>
      <c r="K11" s="475"/>
      <c r="L11" s="470"/>
      <c r="M11" s="473"/>
      <c r="N11" s="474"/>
    </row>
    <row r="12" spans="1:14" x14ac:dyDescent="0.2">
      <c r="A12" s="477" t="s">
        <v>258</v>
      </c>
      <c r="B12" s="470"/>
      <c r="C12" s="471"/>
      <c r="D12" s="471"/>
      <c r="E12" s="472"/>
      <c r="F12" s="470"/>
      <c r="G12" s="473"/>
      <c r="H12" s="474"/>
      <c r="I12" s="475"/>
      <c r="J12" s="473"/>
      <c r="K12" s="475"/>
      <c r="L12" s="470"/>
      <c r="M12" s="473"/>
      <c r="N12" s="474"/>
    </row>
    <row r="13" spans="1:14" x14ac:dyDescent="0.2">
      <c r="A13" s="477" t="s">
        <v>259</v>
      </c>
      <c r="B13" s="470"/>
      <c r="C13" s="471"/>
      <c r="D13" s="471"/>
      <c r="E13" s="472"/>
      <c r="F13" s="470"/>
      <c r="G13" s="473"/>
      <c r="H13" s="474"/>
      <c r="I13" s="475"/>
      <c r="J13" s="473"/>
      <c r="K13" s="475"/>
      <c r="L13" s="470"/>
      <c r="M13" s="473"/>
      <c r="N13" s="474"/>
    </row>
    <row r="14" spans="1:14" x14ac:dyDescent="0.2">
      <c r="A14" s="477" t="s">
        <v>260</v>
      </c>
      <c r="B14" s="470"/>
      <c r="C14" s="471"/>
      <c r="D14" s="471"/>
      <c r="E14" s="472"/>
      <c r="F14" s="470"/>
      <c r="G14" s="473"/>
      <c r="H14" s="474"/>
      <c r="I14" s="475"/>
      <c r="J14" s="473"/>
      <c r="K14" s="475"/>
      <c r="L14" s="470"/>
      <c r="M14" s="473"/>
      <c r="N14" s="474"/>
    </row>
    <row r="15" spans="1:14" x14ac:dyDescent="0.2">
      <c r="A15" s="477"/>
      <c r="B15" s="463"/>
      <c r="C15" s="464"/>
      <c r="D15" s="464"/>
      <c r="E15" s="465"/>
      <c r="F15" s="463"/>
      <c r="G15" s="466"/>
      <c r="H15" s="467"/>
      <c r="I15" s="468"/>
      <c r="J15" s="466"/>
      <c r="K15" s="468"/>
      <c r="L15" s="463"/>
      <c r="M15" s="466"/>
      <c r="N15" s="467"/>
    </row>
    <row r="16" spans="1:14" x14ac:dyDescent="0.2">
      <c r="A16" s="462" t="s">
        <v>261</v>
      </c>
      <c r="B16" s="470"/>
      <c r="C16" s="471"/>
      <c r="D16" s="471"/>
      <c r="E16" s="472"/>
      <c r="F16" s="470"/>
      <c r="G16" s="473"/>
      <c r="H16" s="474"/>
      <c r="I16" s="475"/>
      <c r="J16" s="473"/>
      <c r="K16" s="475"/>
      <c r="L16" s="470"/>
      <c r="M16" s="473"/>
      <c r="N16" s="474"/>
    </row>
    <row r="17" spans="1:14" x14ac:dyDescent="0.2">
      <c r="A17" s="477" t="s">
        <v>262</v>
      </c>
      <c r="B17" s="470"/>
      <c r="C17" s="471"/>
      <c r="D17" s="471"/>
      <c r="E17" s="472"/>
      <c r="F17" s="470"/>
      <c r="G17" s="473"/>
      <c r="H17" s="474"/>
      <c r="I17" s="475"/>
      <c r="J17" s="473"/>
      <c r="K17" s="475"/>
      <c r="L17" s="470"/>
      <c r="M17" s="473"/>
      <c r="N17" s="474"/>
    </row>
    <row r="18" spans="1:14" x14ac:dyDescent="0.2">
      <c r="A18" s="477" t="s">
        <v>263</v>
      </c>
      <c r="B18" s="470"/>
      <c r="C18" s="471"/>
      <c r="D18" s="471"/>
      <c r="E18" s="472"/>
      <c r="F18" s="470"/>
      <c r="G18" s="473"/>
      <c r="H18" s="474"/>
      <c r="I18" s="475"/>
      <c r="J18" s="473"/>
      <c r="K18" s="475"/>
      <c r="L18" s="470"/>
      <c r="M18" s="473"/>
      <c r="N18" s="474"/>
    </row>
    <row r="19" spans="1:14" x14ac:dyDescent="0.2">
      <c r="A19" s="477" t="s">
        <v>264</v>
      </c>
      <c r="B19" s="470"/>
      <c r="C19" s="471"/>
      <c r="D19" s="471"/>
      <c r="E19" s="472"/>
      <c r="F19" s="470"/>
      <c r="G19" s="473"/>
      <c r="H19" s="474"/>
      <c r="I19" s="475"/>
      <c r="J19" s="473"/>
      <c r="K19" s="475"/>
      <c r="L19" s="470"/>
      <c r="M19" s="473"/>
      <c r="N19" s="474"/>
    </row>
    <row r="20" spans="1:14" x14ac:dyDescent="0.2">
      <c r="A20" s="477" t="s">
        <v>265</v>
      </c>
      <c r="B20" s="470"/>
      <c r="C20" s="471"/>
      <c r="D20" s="471"/>
      <c r="E20" s="472"/>
      <c r="F20" s="470"/>
      <c r="G20" s="473"/>
      <c r="H20" s="474"/>
      <c r="I20" s="475"/>
      <c r="J20" s="473"/>
      <c r="K20" s="475"/>
      <c r="L20" s="470"/>
      <c r="M20" s="473"/>
      <c r="N20" s="474"/>
    </row>
    <row r="21" spans="1:14" ht="24" x14ac:dyDescent="0.2">
      <c r="A21" s="477" t="s">
        <v>266</v>
      </c>
      <c r="B21" s="470"/>
      <c r="C21" s="471"/>
      <c r="D21" s="471"/>
      <c r="E21" s="472"/>
      <c r="F21" s="470"/>
      <c r="G21" s="473"/>
      <c r="H21" s="474"/>
      <c r="I21" s="475"/>
      <c r="J21" s="473"/>
      <c r="K21" s="475"/>
      <c r="L21" s="470"/>
      <c r="M21" s="473"/>
      <c r="N21" s="474"/>
    </row>
    <row r="22" spans="1:14" x14ac:dyDescent="0.2">
      <c r="A22" s="478"/>
      <c r="B22" s="470"/>
      <c r="C22" s="471"/>
      <c r="D22" s="471"/>
      <c r="E22" s="472"/>
      <c r="F22" s="470"/>
      <c r="G22" s="473"/>
      <c r="H22" s="474"/>
      <c r="I22" s="475"/>
      <c r="J22" s="473"/>
      <c r="K22" s="475"/>
      <c r="L22" s="470"/>
      <c r="M22" s="473"/>
      <c r="N22" s="474"/>
    </row>
    <row r="23" spans="1:14" x14ac:dyDescent="0.2">
      <c r="A23" s="479" t="s">
        <v>267</v>
      </c>
      <c r="B23" s="470"/>
      <c r="C23" s="471"/>
      <c r="D23" s="471"/>
      <c r="E23" s="472"/>
      <c r="F23" s="470"/>
      <c r="G23" s="473"/>
      <c r="H23" s="474"/>
      <c r="I23" s="475"/>
      <c r="J23" s="473"/>
      <c r="K23" s="475"/>
      <c r="L23" s="470"/>
      <c r="M23" s="473"/>
      <c r="N23" s="474"/>
    </row>
    <row r="24" spans="1:14" x14ac:dyDescent="0.2">
      <c r="A24" s="477" t="s">
        <v>268</v>
      </c>
      <c r="B24" s="470">
        <v>56803238</v>
      </c>
      <c r="C24" s="471">
        <v>78137994</v>
      </c>
      <c r="D24" s="471">
        <v>-21334756</v>
      </c>
      <c r="E24" s="472">
        <v>74401014</v>
      </c>
      <c r="F24" s="470">
        <v>74824596</v>
      </c>
      <c r="G24" s="473">
        <v>81459133</v>
      </c>
      <c r="H24" s="474">
        <v>-6634537</v>
      </c>
      <c r="I24" s="475">
        <v>11752</v>
      </c>
      <c r="J24" s="473">
        <v>11297</v>
      </c>
      <c r="K24" s="475">
        <v>455</v>
      </c>
      <c r="L24" s="470">
        <v>11306</v>
      </c>
      <c r="M24" s="473">
        <v>11663</v>
      </c>
      <c r="N24" s="474">
        <v>-357</v>
      </c>
    </row>
    <row r="25" spans="1:14" x14ac:dyDescent="0.2">
      <c r="A25" s="477" t="s">
        <v>269</v>
      </c>
      <c r="B25" s="470"/>
      <c r="C25" s="471"/>
      <c r="D25" s="471"/>
      <c r="E25" s="472"/>
      <c r="F25" s="470"/>
      <c r="G25" s="473"/>
      <c r="H25" s="474"/>
      <c r="I25" s="475"/>
      <c r="J25" s="473"/>
      <c r="K25" s="475"/>
      <c r="L25" s="470"/>
      <c r="M25" s="473"/>
      <c r="N25" s="474"/>
    </row>
    <row r="26" spans="1:14" x14ac:dyDescent="0.2">
      <c r="A26" s="477" t="s">
        <v>270</v>
      </c>
      <c r="B26" s="470"/>
      <c r="C26" s="471"/>
      <c r="D26" s="471"/>
      <c r="E26" s="472"/>
      <c r="F26" s="470"/>
      <c r="G26" s="473"/>
      <c r="H26" s="474"/>
      <c r="I26" s="475"/>
      <c r="J26" s="473"/>
      <c r="K26" s="475"/>
      <c r="L26" s="470"/>
      <c r="M26" s="473"/>
      <c r="N26" s="474"/>
    </row>
    <row r="27" spans="1:14" x14ac:dyDescent="0.2">
      <c r="A27" s="477"/>
      <c r="B27" s="470"/>
      <c r="C27" s="471"/>
      <c r="D27" s="471"/>
      <c r="E27" s="472"/>
      <c r="F27" s="470"/>
      <c r="G27" s="473"/>
      <c r="H27" s="474"/>
      <c r="I27" s="475"/>
      <c r="J27" s="473"/>
      <c r="K27" s="475"/>
      <c r="L27" s="470"/>
      <c r="M27" s="473"/>
      <c r="N27" s="474"/>
    </row>
    <row r="28" spans="1:14" x14ac:dyDescent="0.2">
      <c r="A28" s="479" t="s">
        <v>271</v>
      </c>
      <c r="B28" s="470"/>
      <c r="C28" s="471"/>
      <c r="D28" s="471"/>
      <c r="E28" s="472"/>
      <c r="F28" s="470"/>
      <c r="G28" s="473"/>
      <c r="H28" s="474"/>
      <c r="I28" s="475"/>
      <c r="J28" s="473"/>
      <c r="K28" s="475"/>
      <c r="L28" s="470"/>
      <c r="M28" s="473"/>
      <c r="N28" s="474"/>
    </row>
    <row r="29" spans="1:14" x14ac:dyDescent="0.2">
      <c r="A29" s="477" t="s">
        <v>272</v>
      </c>
      <c r="B29" s="470">
        <v>134617228</v>
      </c>
      <c r="C29" s="471">
        <v>162041345</v>
      </c>
      <c r="D29" s="471">
        <v>-27424117</v>
      </c>
      <c r="E29" s="472">
        <v>151251643</v>
      </c>
      <c r="F29" s="470">
        <v>149970888</v>
      </c>
      <c r="G29" s="473">
        <v>178761168</v>
      </c>
      <c r="H29" s="474">
        <v>-28790280</v>
      </c>
      <c r="I29" s="475">
        <v>30470</v>
      </c>
      <c r="J29" s="473">
        <v>30585</v>
      </c>
      <c r="K29" s="475">
        <v>-115</v>
      </c>
      <c r="L29" s="470">
        <v>30595</v>
      </c>
      <c r="M29" s="473">
        <v>31412</v>
      </c>
      <c r="N29" s="474">
        <v>-817</v>
      </c>
    </row>
    <row r="30" spans="1:14" x14ac:dyDescent="0.2">
      <c r="A30" s="477" t="s">
        <v>269</v>
      </c>
      <c r="B30" s="470"/>
      <c r="C30" s="471"/>
      <c r="D30" s="471"/>
      <c r="E30" s="472"/>
      <c r="F30" s="470"/>
      <c r="G30" s="473"/>
      <c r="H30" s="474"/>
      <c r="I30" s="475"/>
      <c r="J30" s="473"/>
      <c r="K30" s="475"/>
      <c r="L30" s="470"/>
      <c r="M30" s="473"/>
      <c r="N30" s="474"/>
    </row>
    <row r="31" spans="1:14" x14ac:dyDescent="0.2">
      <c r="A31" s="477"/>
      <c r="B31" s="470"/>
      <c r="C31" s="471"/>
      <c r="D31" s="471"/>
      <c r="E31" s="472"/>
      <c r="F31" s="470"/>
      <c r="G31" s="473"/>
      <c r="H31" s="474"/>
      <c r="I31" s="475"/>
      <c r="J31" s="473"/>
      <c r="K31" s="475"/>
      <c r="L31" s="470"/>
      <c r="M31" s="473"/>
      <c r="N31" s="474"/>
    </row>
    <row r="32" spans="1:14" x14ac:dyDescent="0.2">
      <c r="A32" s="479" t="s">
        <v>273</v>
      </c>
      <c r="B32" s="470"/>
      <c r="C32" s="471"/>
      <c r="D32" s="471"/>
      <c r="E32" s="472"/>
      <c r="F32" s="470"/>
      <c r="G32" s="473"/>
      <c r="H32" s="474"/>
      <c r="I32" s="475"/>
      <c r="J32" s="473"/>
      <c r="K32" s="475"/>
      <c r="L32" s="470"/>
      <c r="M32" s="473"/>
      <c r="N32" s="474"/>
    </row>
    <row r="33" spans="1:14" x14ac:dyDescent="0.2">
      <c r="A33" s="477" t="s">
        <v>274</v>
      </c>
      <c r="B33" s="470">
        <v>104196318</v>
      </c>
      <c r="C33" s="471">
        <v>107402427</v>
      </c>
      <c r="D33" s="471">
        <v>-3206109</v>
      </c>
      <c r="E33" s="472">
        <v>102975832</v>
      </c>
      <c r="F33" s="470">
        <v>123593354</v>
      </c>
      <c r="G33" s="473">
        <v>118015537</v>
      </c>
      <c r="H33" s="474">
        <v>5577817</v>
      </c>
      <c r="I33" s="475">
        <v>15418</v>
      </c>
      <c r="J33" s="473">
        <v>16295</v>
      </c>
      <c r="K33" s="475">
        <v>-877</v>
      </c>
      <c r="L33" s="470">
        <v>16305</v>
      </c>
      <c r="M33" s="473">
        <v>16856</v>
      </c>
      <c r="N33" s="474">
        <v>-551</v>
      </c>
    </row>
    <row r="34" spans="1:14" x14ac:dyDescent="0.2">
      <c r="A34" s="477" t="s">
        <v>270</v>
      </c>
      <c r="B34" s="470"/>
      <c r="C34" s="471"/>
      <c r="D34" s="471"/>
      <c r="E34" s="472"/>
      <c r="F34" s="470"/>
      <c r="G34" s="473"/>
      <c r="H34" s="474"/>
      <c r="I34" s="475"/>
      <c r="J34" s="473"/>
      <c r="K34" s="475"/>
      <c r="L34" s="470"/>
      <c r="M34" s="473"/>
      <c r="N34" s="474"/>
    </row>
    <row r="35" spans="1:14" x14ac:dyDescent="0.2">
      <c r="A35" s="477" t="s">
        <v>275</v>
      </c>
      <c r="B35" s="470"/>
      <c r="C35" s="471"/>
      <c r="D35" s="471"/>
      <c r="E35" s="472"/>
      <c r="F35" s="470"/>
      <c r="G35" s="473"/>
      <c r="H35" s="474"/>
      <c r="I35" s="475"/>
      <c r="J35" s="473"/>
      <c r="K35" s="475"/>
      <c r="L35" s="470"/>
      <c r="M35" s="473"/>
      <c r="N35" s="474"/>
    </row>
    <row r="36" spans="1:14" x14ac:dyDescent="0.2">
      <c r="A36" s="477" t="s">
        <v>276</v>
      </c>
      <c r="B36" s="470"/>
      <c r="C36" s="471"/>
      <c r="D36" s="471"/>
      <c r="E36" s="472"/>
      <c r="F36" s="470"/>
      <c r="G36" s="473"/>
      <c r="H36" s="474"/>
      <c r="I36" s="475"/>
      <c r="J36" s="473"/>
      <c r="K36" s="475"/>
      <c r="L36" s="470"/>
      <c r="M36" s="473"/>
      <c r="N36" s="474"/>
    </row>
    <row r="37" spans="1:14" x14ac:dyDescent="0.2">
      <c r="A37" s="477"/>
      <c r="B37" s="470"/>
      <c r="C37" s="471"/>
      <c r="D37" s="471"/>
      <c r="E37" s="472"/>
      <c r="F37" s="470"/>
      <c r="G37" s="473"/>
      <c r="H37" s="474"/>
      <c r="I37" s="475"/>
      <c r="J37" s="473"/>
      <c r="K37" s="475"/>
      <c r="L37" s="470"/>
      <c r="M37" s="473"/>
      <c r="N37" s="474"/>
    </row>
    <row r="38" spans="1:14" x14ac:dyDescent="0.2">
      <c r="A38" s="479" t="s">
        <v>277</v>
      </c>
      <c r="B38" s="470"/>
      <c r="C38" s="471"/>
      <c r="D38" s="471"/>
      <c r="E38" s="472"/>
      <c r="F38" s="470"/>
      <c r="G38" s="473"/>
      <c r="H38" s="474"/>
      <c r="I38" s="475"/>
      <c r="J38" s="473"/>
      <c r="K38" s="475"/>
      <c r="L38" s="470"/>
      <c r="M38" s="473"/>
      <c r="N38" s="474"/>
    </row>
    <row r="39" spans="1:14" x14ac:dyDescent="0.2">
      <c r="A39" s="477" t="s">
        <v>278</v>
      </c>
      <c r="B39" s="470"/>
      <c r="C39" s="471"/>
      <c r="D39" s="471"/>
      <c r="E39" s="472"/>
      <c r="F39" s="470"/>
      <c r="G39" s="473"/>
      <c r="H39" s="474"/>
      <c r="I39" s="475"/>
      <c r="J39" s="473"/>
      <c r="K39" s="475"/>
      <c r="L39" s="470"/>
      <c r="M39" s="473"/>
      <c r="N39" s="474"/>
    </row>
    <row r="40" spans="1:14" x14ac:dyDescent="0.2">
      <c r="A40" s="477" t="s">
        <v>279</v>
      </c>
      <c r="B40" s="470"/>
      <c r="C40" s="471"/>
      <c r="D40" s="471"/>
      <c r="E40" s="472"/>
      <c r="F40" s="470"/>
      <c r="G40" s="473"/>
      <c r="H40" s="474"/>
      <c r="I40" s="475"/>
      <c r="J40" s="473"/>
      <c r="K40" s="475"/>
      <c r="L40" s="470"/>
      <c r="M40" s="473"/>
      <c r="N40" s="474"/>
    </row>
    <row r="41" spans="1:14" ht="24" x14ac:dyDescent="0.2">
      <c r="A41" s="477" t="s">
        <v>280</v>
      </c>
      <c r="B41" s="470"/>
      <c r="C41" s="471"/>
      <c r="D41" s="471"/>
      <c r="E41" s="472"/>
      <c r="F41" s="470"/>
      <c r="G41" s="473"/>
      <c r="H41" s="474"/>
      <c r="I41" s="475"/>
      <c r="J41" s="473"/>
      <c r="K41" s="475"/>
      <c r="L41" s="470"/>
      <c r="M41" s="473"/>
      <c r="N41" s="474"/>
    </row>
    <row r="42" spans="1:14" ht="24" x14ac:dyDescent="0.2">
      <c r="A42" s="477" t="s">
        <v>281</v>
      </c>
      <c r="B42" s="470"/>
      <c r="C42" s="471"/>
      <c r="D42" s="471"/>
      <c r="E42" s="472"/>
      <c r="F42" s="470"/>
      <c r="G42" s="473"/>
      <c r="H42" s="474"/>
      <c r="I42" s="475"/>
      <c r="J42" s="473"/>
      <c r="K42" s="475"/>
      <c r="L42" s="470"/>
      <c r="M42" s="473"/>
      <c r="N42" s="474"/>
    </row>
    <row r="43" spans="1:14" x14ac:dyDescent="0.2">
      <c r="A43" s="477"/>
      <c r="B43" s="470"/>
      <c r="C43" s="471"/>
      <c r="D43" s="471"/>
      <c r="E43" s="472"/>
      <c r="F43" s="470"/>
      <c r="G43" s="473"/>
      <c r="H43" s="474"/>
      <c r="I43" s="475"/>
      <c r="J43" s="473"/>
      <c r="K43" s="475"/>
      <c r="L43" s="470"/>
      <c r="M43" s="473"/>
      <c r="N43" s="474"/>
    </row>
    <row r="44" spans="1:14" x14ac:dyDescent="0.2">
      <c r="A44" s="479" t="s">
        <v>282</v>
      </c>
      <c r="B44" s="470"/>
      <c r="C44" s="471"/>
      <c r="D44" s="471"/>
      <c r="E44" s="472"/>
      <c r="F44" s="470"/>
      <c r="G44" s="473"/>
      <c r="H44" s="474"/>
      <c r="I44" s="475"/>
      <c r="J44" s="473"/>
      <c r="K44" s="475"/>
      <c r="L44" s="470"/>
      <c r="M44" s="473"/>
      <c r="N44" s="474"/>
    </row>
    <row r="45" spans="1:14" x14ac:dyDescent="0.2">
      <c r="A45" s="477" t="s">
        <v>283</v>
      </c>
      <c r="B45" s="470"/>
      <c r="C45" s="471"/>
      <c r="D45" s="471"/>
      <c r="E45" s="472"/>
      <c r="F45" s="470"/>
      <c r="G45" s="473"/>
      <c r="H45" s="474"/>
      <c r="I45" s="475"/>
      <c r="J45" s="473"/>
      <c r="K45" s="475"/>
      <c r="L45" s="470"/>
      <c r="M45" s="473"/>
      <c r="N45" s="474"/>
    </row>
    <row r="46" spans="1:14" s="450" customFormat="1" ht="24" x14ac:dyDescent="0.2">
      <c r="A46" s="477" t="s">
        <v>284</v>
      </c>
      <c r="B46" s="470"/>
      <c r="C46" s="471"/>
      <c r="D46" s="471"/>
      <c r="E46" s="472"/>
      <c r="F46" s="470"/>
      <c r="G46" s="473"/>
      <c r="H46" s="474"/>
      <c r="I46" s="475"/>
      <c r="J46" s="473"/>
      <c r="K46" s="475"/>
      <c r="L46" s="470"/>
      <c r="M46" s="473"/>
      <c r="N46" s="474"/>
    </row>
    <row r="47" spans="1:14" ht="12.75" thickBot="1" x14ac:dyDescent="0.25">
      <c r="A47" s="480"/>
      <c r="B47" s="481"/>
      <c r="C47" s="482"/>
      <c r="D47" s="482"/>
      <c r="E47" s="483"/>
      <c r="F47" s="481"/>
      <c r="G47" s="484"/>
      <c r="H47" s="485"/>
      <c r="I47" s="475"/>
      <c r="J47" s="484"/>
      <c r="K47" s="475"/>
      <c r="L47" s="481"/>
      <c r="M47" s="484"/>
      <c r="N47" s="485"/>
    </row>
    <row r="48" spans="1:14" ht="19.5" customHeight="1" thickBot="1" x14ac:dyDescent="0.25">
      <c r="A48" s="486" t="s">
        <v>169</v>
      </c>
      <c r="B48" s="487">
        <v>295616784</v>
      </c>
      <c r="C48" s="487">
        <v>347581766</v>
      </c>
      <c r="D48" s="487">
        <v>-51964982</v>
      </c>
      <c r="E48" s="487">
        <v>328628489</v>
      </c>
      <c r="F48" s="487">
        <v>348388838</v>
      </c>
      <c r="G48" s="487">
        <v>378235838</v>
      </c>
      <c r="H48" s="487">
        <v>-29847000</v>
      </c>
      <c r="I48" s="487">
        <v>57640</v>
      </c>
      <c r="J48" s="487">
        <v>58177</v>
      </c>
      <c r="K48" s="487">
        <v>-537</v>
      </c>
      <c r="L48" s="487">
        <v>58206</v>
      </c>
      <c r="M48" s="487">
        <v>59931</v>
      </c>
      <c r="N48" s="488">
        <v>-1725</v>
      </c>
    </row>
    <row r="49" spans="1:14" ht="12.75" thickBot="1" x14ac:dyDescent="0.25">
      <c r="A49" s="489"/>
      <c r="B49" s="475"/>
      <c r="C49" s="475"/>
      <c r="D49" s="475"/>
      <c r="E49" s="475"/>
      <c r="F49" s="475"/>
      <c r="G49" s="475"/>
      <c r="H49" s="475"/>
      <c r="I49" s="475"/>
      <c r="J49" s="475"/>
      <c r="K49" s="475"/>
      <c r="L49" s="475"/>
      <c r="M49" s="475"/>
      <c r="N49" s="475"/>
    </row>
    <row r="50" spans="1:14" ht="12.75" thickBot="1" x14ac:dyDescent="0.25">
      <c r="A50" s="490" t="s">
        <v>285</v>
      </c>
      <c r="B50" s="491"/>
      <c r="C50" s="492"/>
      <c r="D50" s="493"/>
      <c r="E50" s="494"/>
      <c r="F50" s="491"/>
      <c r="G50" s="495"/>
      <c r="H50" s="494"/>
      <c r="I50" s="491"/>
      <c r="J50" s="492"/>
      <c r="K50" s="496"/>
      <c r="L50" s="495"/>
      <c r="M50" s="495"/>
      <c r="N50" s="494"/>
    </row>
    <row r="51" spans="1:14" x14ac:dyDescent="0.2">
      <c r="A51" s="497" t="s">
        <v>286</v>
      </c>
      <c r="B51" s="475"/>
      <c r="C51" s="475"/>
      <c r="D51" s="475"/>
      <c r="E51" s="475"/>
      <c r="F51" s="475"/>
      <c r="G51" s="475"/>
      <c r="H51" s="475"/>
      <c r="I51" s="475"/>
      <c r="J51" s="475"/>
      <c r="K51" s="475"/>
      <c r="L51" s="475"/>
      <c r="M51" s="475"/>
      <c r="N51" s="475"/>
    </row>
    <row r="52" spans="1:14" x14ac:dyDescent="0.2">
      <c r="A52" s="497" t="s">
        <v>287</v>
      </c>
      <c r="B52" s="475"/>
      <c r="C52" s="475"/>
      <c r="D52" s="475"/>
      <c r="E52" s="475"/>
      <c r="F52" s="475"/>
      <c r="G52" s="475"/>
      <c r="H52" s="475"/>
      <c r="I52" s="475"/>
      <c r="J52" s="475"/>
      <c r="K52" s="475"/>
      <c r="L52" s="475"/>
      <c r="M52" s="475"/>
      <c r="N52" s="475"/>
    </row>
  </sheetData>
  <mergeCells count="6">
    <mergeCell ref="A1:N1"/>
    <mergeCell ref="I4:N4"/>
    <mergeCell ref="B4:E4"/>
    <mergeCell ref="F4:H4"/>
    <mergeCell ref="A4:A5"/>
    <mergeCell ref="A2:N2"/>
  </mergeCells>
  <pageMargins left="0.23622047244094491" right="0.23622047244094491" top="0.74803149606299213" bottom="0.74803149606299213" header="0.31496062992125984" footer="0.31496062992125984"/>
  <pageSetup paperSize="9" scale="71"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sheetPr>
  <dimension ref="A1:V26"/>
  <sheetViews>
    <sheetView zoomScaleNormal="100" zoomScaleSheetLayoutView="90" workbookViewId="0">
      <selection activeCell="E31" sqref="E31"/>
    </sheetView>
  </sheetViews>
  <sheetFormatPr baseColWidth="10" defaultColWidth="11.28515625" defaultRowHeight="12" x14ac:dyDescent="0.2"/>
  <cols>
    <col min="1" max="1" width="34.7109375" style="451" customWidth="1"/>
    <col min="2" max="2" width="10.85546875" style="451" customWidth="1"/>
    <col min="3" max="3" width="14" style="451" customWidth="1"/>
    <col min="4" max="4" width="12.42578125" style="451" customWidth="1"/>
    <col min="5" max="5" width="14" style="451" customWidth="1"/>
    <col min="6" max="6" width="11.28515625" style="451" customWidth="1"/>
    <col min="7" max="7" width="10.85546875" style="451" customWidth="1"/>
    <col min="8" max="8" width="14" style="451" customWidth="1"/>
    <col min="9" max="10" width="12.140625" style="451" customWidth="1"/>
    <col min="11" max="11" width="13.7109375" style="451" customWidth="1"/>
    <col min="12" max="12" width="12.140625" style="451" customWidth="1"/>
    <col min="13" max="13" width="14.5703125" style="451" customWidth="1"/>
    <col min="14" max="14" width="13.28515625" style="451" customWidth="1"/>
    <col min="15" max="15" width="13.140625" style="451" customWidth="1"/>
    <col min="16" max="16" width="13.85546875" style="451" customWidth="1"/>
    <col min="17" max="17" width="10.5703125" style="451" customWidth="1"/>
    <col min="18" max="16384" width="11.28515625" style="451"/>
  </cols>
  <sheetData>
    <row r="1" spans="1:22" s="573" customFormat="1" ht="24" customHeight="1" x14ac:dyDescent="0.2">
      <c r="A1" s="1411" t="s">
        <v>288</v>
      </c>
      <c r="B1" s="1411"/>
      <c r="C1" s="1411"/>
      <c r="D1" s="1411"/>
      <c r="E1" s="1411"/>
      <c r="F1" s="1411"/>
      <c r="G1" s="1411"/>
      <c r="H1" s="1411"/>
      <c r="I1" s="1411"/>
      <c r="J1" s="1411"/>
      <c r="K1" s="1411"/>
      <c r="L1" s="1411"/>
      <c r="M1" s="1411"/>
      <c r="N1" s="1411"/>
      <c r="O1" s="1411"/>
      <c r="P1" s="1411"/>
      <c r="Q1" s="1411"/>
    </row>
    <row r="2" spans="1:22" ht="17.25" customHeight="1" x14ac:dyDescent="0.2">
      <c r="A2" s="1431" t="s">
        <v>43</v>
      </c>
      <c r="B2" s="1431"/>
      <c r="C2" s="1431"/>
      <c r="D2" s="1431"/>
      <c r="E2" s="2"/>
      <c r="F2" s="2"/>
      <c r="G2" s="2"/>
      <c r="H2" s="2"/>
      <c r="I2" s="2"/>
      <c r="J2" s="2"/>
      <c r="K2" s="2"/>
      <c r="L2" s="2"/>
      <c r="M2" s="2"/>
      <c r="N2" s="2"/>
      <c r="O2" s="2"/>
      <c r="P2" s="2"/>
      <c r="Q2" s="2"/>
      <c r="R2" s="567"/>
      <c r="S2" s="567"/>
      <c r="T2" s="567"/>
      <c r="U2" s="567"/>
      <c r="V2" s="567"/>
    </row>
    <row r="3" spans="1:22" ht="12.75" thickBot="1" x14ac:dyDescent="0.25">
      <c r="A3" s="172"/>
      <c r="B3" s="172"/>
      <c r="C3" s="172"/>
      <c r="D3" s="172"/>
      <c r="E3" s="2"/>
      <c r="F3" s="2"/>
      <c r="G3" s="2"/>
      <c r="H3" s="2"/>
      <c r="I3" s="2"/>
      <c r="J3" s="2"/>
      <c r="K3" s="2"/>
      <c r="L3" s="2"/>
      <c r="M3" s="2"/>
      <c r="N3" s="2"/>
      <c r="O3" s="2"/>
      <c r="P3" s="2"/>
      <c r="Q3" s="2"/>
      <c r="R3" s="567"/>
      <c r="S3" s="567"/>
      <c r="T3" s="567"/>
      <c r="U3" s="567"/>
      <c r="V3" s="567"/>
    </row>
    <row r="4" spans="1:22" ht="24" customHeight="1" thickBot="1" x14ac:dyDescent="0.25">
      <c r="A4" s="1455" t="s">
        <v>289</v>
      </c>
      <c r="B4" s="1455" t="s">
        <v>290</v>
      </c>
      <c r="C4" s="1456"/>
      <c r="D4" s="1456"/>
      <c r="E4" s="1456"/>
      <c r="F4" s="1456"/>
      <c r="G4" s="1456"/>
      <c r="H4" s="1454"/>
      <c r="I4" s="1453" t="s">
        <v>291</v>
      </c>
      <c r="J4" s="1456"/>
      <c r="K4" s="1456"/>
      <c r="L4" s="1456"/>
      <c r="M4" s="1454"/>
      <c r="N4" s="1453" t="s">
        <v>292</v>
      </c>
      <c r="O4" s="1454"/>
      <c r="P4" s="1453" t="s">
        <v>169</v>
      </c>
      <c r="Q4" s="1454"/>
    </row>
    <row r="5" spans="1:22" s="571" customFormat="1" ht="94.5" customHeight="1" thickBot="1" x14ac:dyDescent="0.25">
      <c r="A5" s="1457"/>
      <c r="B5" s="568" t="s">
        <v>293</v>
      </c>
      <c r="C5" s="569" t="s">
        <v>294</v>
      </c>
      <c r="D5" s="568" t="s">
        <v>295</v>
      </c>
      <c r="E5" s="568" t="s">
        <v>296</v>
      </c>
      <c r="F5" s="568" t="s">
        <v>297</v>
      </c>
      <c r="G5" s="570" t="s">
        <v>298</v>
      </c>
      <c r="H5" s="570" t="s">
        <v>299</v>
      </c>
      <c r="I5" s="568" t="s">
        <v>300</v>
      </c>
      <c r="J5" s="570" t="s">
        <v>298</v>
      </c>
      <c r="K5" s="570" t="s">
        <v>301</v>
      </c>
      <c r="L5" s="570" t="s">
        <v>302</v>
      </c>
      <c r="M5" s="570" t="s">
        <v>303</v>
      </c>
      <c r="N5" s="570" t="s">
        <v>304</v>
      </c>
      <c r="O5" s="569" t="s">
        <v>305</v>
      </c>
      <c r="P5" s="568" t="s">
        <v>306</v>
      </c>
      <c r="Q5" s="570" t="s">
        <v>307</v>
      </c>
    </row>
    <row r="6" spans="1:22" x14ac:dyDescent="0.2">
      <c r="A6" s="411"/>
      <c r="B6" s="436"/>
      <c r="C6" s="437"/>
      <c r="D6" s="437"/>
      <c r="E6" s="437"/>
      <c r="F6" s="437"/>
      <c r="G6" s="437"/>
      <c r="H6" s="438">
        <f>SUM(B6:G6)</f>
        <v>0</v>
      </c>
      <c r="I6" s="437"/>
      <c r="J6" s="439"/>
      <c r="K6" s="437"/>
      <c r="L6" s="439"/>
      <c r="M6" s="438">
        <f>SUM(I6:L6)</f>
        <v>0</v>
      </c>
      <c r="N6" s="437"/>
      <c r="O6" s="438">
        <f>SUM(N6)</f>
        <v>0</v>
      </c>
      <c r="P6" s="440">
        <f>+H6+M6+O6</f>
        <v>0</v>
      </c>
      <c r="Q6" s="441">
        <f>P6/P25*100</f>
        <v>0</v>
      </c>
    </row>
    <row r="7" spans="1:22" x14ac:dyDescent="0.2">
      <c r="A7" s="411" t="s">
        <v>308</v>
      </c>
      <c r="B7" s="436"/>
      <c r="C7" s="442">
        <v>551211533</v>
      </c>
      <c r="D7" s="442">
        <v>24352012</v>
      </c>
      <c r="E7" s="442">
        <v>78293385</v>
      </c>
      <c r="F7" s="442"/>
      <c r="G7" s="442">
        <v>573357</v>
      </c>
      <c r="H7" s="443">
        <f>SUM(B7:G7)</f>
        <v>654430287</v>
      </c>
      <c r="I7" s="442"/>
      <c r="J7" s="439"/>
      <c r="K7" s="442">
        <v>56841339</v>
      </c>
      <c r="L7" s="439"/>
      <c r="M7" s="443">
        <f>SUM(I7:L7)</f>
        <v>56841339</v>
      </c>
      <c r="N7" s="442"/>
      <c r="O7" s="443">
        <f>SUM(N7)</f>
        <v>0</v>
      </c>
      <c r="P7" s="440">
        <f>+O7+M7+H7</f>
        <v>711271626</v>
      </c>
      <c r="Q7" s="444">
        <f>P7/P25*100</f>
        <v>72.162556883494034</v>
      </c>
    </row>
    <row r="8" spans="1:22" x14ac:dyDescent="0.2">
      <c r="A8" s="411"/>
      <c r="B8" s="436"/>
      <c r="C8" s="413"/>
      <c r="D8" s="413"/>
      <c r="E8" s="413"/>
      <c r="F8" s="413"/>
      <c r="G8" s="413"/>
      <c r="H8" s="443">
        <f t="shared" ref="H8:H23" si="0">SUM(B8:G8)</f>
        <v>0</v>
      </c>
      <c r="I8" s="413"/>
      <c r="J8" s="439"/>
      <c r="K8" s="413"/>
      <c r="L8" s="439"/>
      <c r="M8" s="443">
        <f t="shared" ref="M8:M23" si="1">SUM(I8:L8)</f>
        <v>0</v>
      </c>
      <c r="N8" s="413"/>
      <c r="O8" s="443">
        <f t="shared" ref="O8:O23" si="2">SUM(N8)</f>
        <v>0</v>
      </c>
      <c r="P8" s="440">
        <f t="shared" ref="P8:P23" si="3">+O8+M8+H8</f>
        <v>0</v>
      </c>
      <c r="Q8" s="444">
        <f>P8/P25*100</f>
        <v>0</v>
      </c>
    </row>
    <row r="9" spans="1:22" x14ac:dyDescent="0.2">
      <c r="A9" s="411" t="s">
        <v>309</v>
      </c>
      <c r="B9" s="436"/>
      <c r="C9" s="413"/>
      <c r="D9" s="413"/>
      <c r="E9" s="413">
        <v>8987523</v>
      </c>
      <c r="F9" s="413"/>
      <c r="G9" s="413"/>
      <c r="H9" s="443">
        <f t="shared" si="0"/>
        <v>8987523</v>
      </c>
      <c r="I9" s="413"/>
      <c r="J9" s="439"/>
      <c r="K9" s="413"/>
      <c r="L9" s="439"/>
      <c r="M9" s="443">
        <f t="shared" si="1"/>
        <v>0</v>
      </c>
      <c r="N9" s="413"/>
      <c r="O9" s="443">
        <f t="shared" si="2"/>
        <v>0</v>
      </c>
      <c r="P9" s="440">
        <f t="shared" si="3"/>
        <v>8987523</v>
      </c>
      <c r="Q9" s="444">
        <f>P9/P25*100</f>
        <v>0.91183538893088223</v>
      </c>
    </row>
    <row r="10" spans="1:22" x14ac:dyDescent="0.2">
      <c r="A10" s="411"/>
      <c r="B10" s="436"/>
      <c r="C10" s="413"/>
      <c r="D10" s="413"/>
      <c r="E10" s="413"/>
      <c r="F10" s="413"/>
      <c r="G10" s="413"/>
      <c r="H10" s="443">
        <f t="shared" si="0"/>
        <v>0</v>
      </c>
      <c r="I10" s="413"/>
      <c r="J10" s="439"/>
      <c r="K10" s="413"/>
      <c r="L10" s="439"/>
      <c r="M10" s="443">
        <f t="shared" si="1"/>
        <v>0</v>
      </c>
      <c r="N10" s="413"/>
      <c r="O10" s="443">
        <f t="shared" si="2"/>
        <v>0</v>
      </c>
      <c r="P10" s="440">
        <f t="shared" si="3"/>
        <v>0</v>
      </c>
      <c r="Q10" s="444">
        <f>P10/P25*100</f>
        <v>0</v>
      </c>
    </row>
    <row r="11" spans="1:22" x14ac:dyDescent="0.2">
      <c r="A11" s="411" t="s">
        <v>310</v>
      </c>
      <c r="B11" s="436"/>
      <c r="C11" s="413"/>
      <c r="D11" s="413"/>
      <c r="E11" s="413">
        <v>13018149</v>
      </c>
      <c r="F11" s="413"/>
      <c r="G11" s="413"/>
      <c r="H11" s="443">
        <f t="shared" si="0"/>
        <v>13018149</v>
      </c>
      <c r="I11" s="413"/>
      <c r="J11" s="439"/>
      <c r="K11" s="413"/>
      <c r="L11" s="439"/>
      <c r="M11" s="443">
        <f t="shared" si="1"/>
        <v>0</v>
      </c>
      <c r="N11" s="413"/>
      <c r="O11" s="443">
        <f t="shared" si="2"/>
        <v>0</v>
      </c>
      <c r="P11" s="440">
        <f t="shared" si="3"/>
        <v>13018149</v>
      </c>
      <c r="Q11" s="444">
        <f>P11/P25*100</f>
        <v>1.320765349537929</v>
      </c>
    </row>
    <row r="12" spans="1:22" x14ac:dyDescent="0.2">
      <c r="A12" s="411" t="s">
        <v>311</v>
      </c>
      <c r="B12" s="436"/>
      <c r="C12" s="413"/>
      <c r="D12" s="413"/>
      <c r="E12" s="413"/>
      <c r="F12" s="413"/>
      <c r="G12" s="413"/>
      <c r="H12" s="443">
        <f t="shared" si="0"/>
        <v>0</v>
      </c>
      <c r="I12" s="413"/>
      <c r="J12" s="439"/>
      <c r="K12" s="413"/>
      <c r="L12" s="439"/>
      <c r="M12" s="443">
        <f t="shared" si="1"/>
        <v>0</v>
      </c>
      <c r="N12" s="413"/>
      <c r="O12" s="443">
        <f t="shared" si="2"/>
        <v>0</v>
      </c>
      <c r="P12" s="440">
        <f t="shared" si="3"/>
        <v>0</v>
      </c>
      <c r="Q12" s="444">
        <f>P12/P25*100</f>
        <v>0</v>
      </c>
    </row>
    <row r="13" spans="1:22" x14ac:dyDescent="0.2">
      <c r="A13" s="441"/>
      <c r="B13" s="436"/>
      <c r="C13" s="413"/>
      <c r="D13" s="413"/>
      <c r="E13" s="413"/>
      <c r="F13" s="413"/>
      <c r="G13" s="413"/>
      <c r="H13" s="443">
        <f t="shared" si="0"/>
        <v>0</v>
      </c>
      <c r="I13" s="413"/>
      <c r="J13" s="439"/>
      <c r="K13" s="413"/>
      <c r="L13" s="439"/>
      <c r="M13" s="443">
        <f t="shared" si="1"/>
        <v>0</v>
      </c>
      <c r="N13" s="413"/>
      <c r="O13" s="443">
        <f t="shared" si="2"/>
        <v>0</v>
      </c>
      <c r="P13" s="440">
        <f t="shared" si="3"/>
        <v>0</v>
      </c>
      <c r="Q13" s="444">
        <f>P13/P25*100</f>
        <v>0</v>
      </c>
    </row>
    <row r="14" spans="1:22" x14ac:dyDescent="0.2">
      <c r="A14" s="411" t="s">
        <v>312</v>
      </c>
      <c r="B14" s="436"/>
      <c r="C14" s="413"/>
      <c r="D14" s="413"/>
      <c r="E14" s="413">
        <v>9047</v>
      </c>
      <c r="F14" s="413"/>
      <c r="G14" s="413"/>
      <c r="H14" s="443">
        <f t="shared" si="0"/>
        <v>9047</v>
      </c>
      <c r="I14" s="413"/>
      <c r="J14" s="439"/>
      <c r="K14" s="413"/>
      <c r="L14" s="439"/>
      <c r="M14" s="443">
        <f t="shared" si="1"/>
        <v>0</v>
      </c>
      <c r="N14" s="413"/>
      <c r="O14" s="443">
        <f t="shared" si="2"/>
        <v>0</v>
      </c>
      <c r="P14" s="440">
        <f t="shared" si="3"/>
        <v>9047</v>
      </c>
      <c r="Q14" s="444">
        <f>P14/P25*100</f>
        <v>9.1786966928014441E-4</v>
      </c>
    </row>
    <row r="15" spans="1:22" x14ac:dyDescent="0.2">
      <c r="A15" s="411"/>
      <c r="B15" s="436"/>
      <c r="C15" s="413"/>
      <c r="D15" s="413"/>
      <c r="E15" s="413"/>
      <c r="F15" s="413"/>
      <c r="G15" s="413"/>
      <c r="H15" s="443">
        <f t="shared" si="0"/>
        <v>0</v>
      </c>
      <c r="I15" s="413"/>
      <c r="J15" s="439"/>
      <c r="K15" s="413"/>
      <c r="L15" s="439"/>
      <c r="M15" s="443">
        <f t="shared" si="1"/>
        <v>0</v>
      </c>
      <c r="N15" s="413"/>
      <c r="O15" s="443">
        <f t="shared" si="2"/>
        <v>0</v>
      </c>
      <c r="P15" s="440">
        <f t="shared" si="3"/>
        <v>0</v>
      </c>
      <c r="Q15" s="444">
        <f>P15/P25*100</f>
        <v>0</v>
      </c>
    </row>
    <row r="16" spans="1:22" x14ac:dyDescent="0.2">
      <c r="A16" s="411" t="s">
        <v>313</v>
      </c>
      <c r="B16" s="436"/>
      <c r="C16" s="413"/>
      <c r="D16" s="413"/>
      <c r="E16" s="413">
        <v>13518092</v>
      </c>
      <c r="F16" s="413">
        <v>400000</v>
      </c>
      <c r="G16" s="413"/>
      <c r="H16" s="443">
        <f t="shared" si="0"/>
        <v>13918092</v>
      </c>
      <c r="I16" s="413">
        <v>500000</v>
      </c>
      <c r="J16" s="439"/>
      <c r="K16" s="413">
        <v>235128702</v>
      </c>
      <c r="L16" s="439"/>
      <c r="M16" s="443">
        <f t="shared" si="1"/>
        <v>235628702</v>
      </c>
      <c r="N16" s="413">
        <v>2818779</v>
      </c>
      <c r="O16" s="443">
        <f t="shared" si="2"/>
        <v>2818779</v>
      </c>
      <c r="P16" s="440">
        <f t="shared" si="3"/>
        <v>252365573</v>
      </c>
      <c r="Q16" s="444">
        <f>P16/P25*100</f>
        <v>25.603924508367871</v>
      </c>
    </row>
    <row r="17" spans="1:17" x14ac:dyDescent="0.2">
      <c r="A17" s="411"/>
      <c r="B17" s="436"/>
      <c r="C17" s="413"/>
      <c r="D17" s="413"/>
      <c r="E17" s="413"/>
      <c r="F17" s="413"/>
      <c r="G17" s="413"/>
      <c r="H17" s="443">
        <f t="shared" si="0"/>
        <v>0</v>
      </c>
      <c r="I17" s="413"/>
      <c r="J17" s="439"/>
      <c r="K17" s="413"/>
      <c r="L17" s="439"/>
      <c r="M17" s="443">
        <f t="shared" si="1"/>
        <v>0</v>
      </c>
      <c r="N17" s="413"/>
      <c r="O17" s="443">
        <f t="shared" si="2"/>
        <v>0</v>
      </c>
      <c r="P17" s="440">
        <f t="shared" si="3"/>
        <v>0</v>
      </c>
      <c r="Q17" s="444">
        <f>P17/P25*100</f>
        <v>0</v>
      </c>
    </row>
    <row r="18" spans="1:17" x14ac:dyDescent="0.2">
      <c r="A18" s="411" t="s">
        <v>314</v>
      </c>
      <c r="B18" s="436"/>
      <c r="C18" s="413"/>
      <c r="D18" s="413"/>
      <c r="E18" s="413"/>
      <c r="F18" s="413"/>
      <c r="G18" s="413"/>
      <c r="H18" s="443">
        <f t="shared" si="0"/>
        <v>0</v>
      </c>
      <c r="I18" s="413"/>
      <c r="J18" s="439"/>
      <c r="K18" s="413"/>
      <c r="L18" s="439"/>
      <c r="M18" s="443">
        <f t="shared" si="1"/>
        <v>0</v>
      </c>
      <c r="N18" s="413"/>
      <c r="O18" s="443">
        <f t="shared" si="2"/>
        <v>0</v>
      </c>
      <c r="P18" s="440">
        <f t="shared" si="3"/>
        <v>0</v>
      </c>
      <c r="Q18" s="444">
        <f>P18/P25*100</f>
        <v>0</v>
      </c>
    </row>
    <row r="19" spans="1:17" x14ac:dyDescent="0.2">
      <c r="A19" s="411" t="s">
        <v>315</v>
      </c>
      <c r="B19" s="436"/>
      <c r="C19" s="413"/>
      <c r="D19" s="413"/>
      <c r="E19" s="413"/>
      <c r="F19" s="413"/>
      <c r="G19" s="413"/>
      <c r="H19" s="443">
        <f t="shared" si="0"/>
        <v>0</v>
      </c>
      <c r="I19" s="413"/>
      <c r="J19" s="439"/>
      <c r="K19" s="413"/>
      <c r="L19" s="439"/>
      <c r="M19" s="443">
        <f t="shared" si="1"/>
        <v>0</v>
      </c>
      <c r="N19" s="413"/>
      <c r="O19" s="443">
        <f t="shared" si="2"/>
        <v>0</v>
      </c>
      <c r="P19" s="440">
        <f t="shared" si="3"/>
        <v>0</v>
      </c>
      <c r="Q19" s="444">
        <f>P19/P25*100</f>
        <v>0</v>
      </c>
    </row>
    <row r="20" spans="1:17" x14ac:dyDescent="0.2">
      <c r="A20" s="411" t="s">
        <v>316</v>
      </c>
      <c r="B20" s="436"/>
      <c r="C20" s="413"/>
      <c r="D20" s="413"/>
      <c r="E20" s="413"/>
      <c r="F20" s="413"/>
      <c r="G20" s="413"/>
      <c r="H20" s="443">
        <f t="shared" si="0"/>
        <v>0</v>
      </c>
      <c r="I20" s="413"/>
      <c r="J20" s="439"/>
      <c r="K20" s="413"/>
      <c r="L20" s="439"/>
      <c r="M20" s="443">
        <f t="shared" si="1"/>
        <v>0</v>
      </c>
      <c r="N20" s="413"/>
      <c r="O20" s="443">
        <f t="shared" si="2"/>
        <v>0</v>
      </c>
      <c r="P20" s="440">
        <f t="shared" si="3"/>
        <v>0</v>
      </c>
      <c r="Q20" s="444">
        <f>P20/P25*100</f>
        <v>0</v>
      </c>
    </row>
    <row r="21" spans="1:17" x14ac:dyDescent="0.2">
      <c r="A21" s="411" t="s">
        <v>317</v>
      </c>
      <c r="B21" s="436"/>
      <c r="C21" s="413"/>
      <c r="D21" s="413"/>
      <c r="E21" s="413"/>
      <c r="F21" s="413"/>
      <c r="G21" s="413"/>
      <c r="H21" s="443">
        <f t="shared" si="0"/>
        <v>0</v>
      </c>
      <c r="I21" s="413"/>
      <c r="J21" s="439"/>
      <c r="K21" s="413"/>
      <c r="L21" s="439"/>
      <c r="M21" s="443">
        <f t="shared" si="1"/>
        <v>0</v>
      </c>
      <c r="N21" s="413"/>
      <c r="O21" s="443">
        <f t="shared" si="2"/>
        <v>0</v>
      </c>
      <c r="P21" s="440">
        <f t="shared" si="3"/>
        <v>0</v>
      </c>
      <c r="Q21" s="444">
        <f>P21/P25*100</f>
        <v>0</v>
      </c>
    </row>
    <row r="22" spans="1:17" x14ac:dyDescent="0.2">
      <c r="A22" s="411" t="s">
        <v>318</v>
      </c>
      <c r="B22" s="436"/>
      <c r="C22" s="413"/>
      <c r="D22" s="413"/>
      <c r="E22" s="413"/>
      <c r="F22" s="413"/>
      <c r="G22" s="413"/>
      <c r="H22" s="443">
        <f t="shared" si="0"/>
        <v>0</v>
      </c>
      <c r="I22" s="413"/>
      <c r="J22" s="439"/>
      <c r="K22" s="413"/>
      <c r="L22" s="439"/>
      <c r="M22" s="443">
        <f t="shared" si="1"/>
        <v>0</v>
      </c>
      <c r="N22" s="413"/>
      <c r="O22" s="443">
        <f t="shared" si="2"/>
        <v>0</v>
      </c>
      <c r="P22" s="440">
        <f t="shared" si="3"/>
        <v>0</v>
      </c>
      <c r="Q22" s="444">
        <f>P22/P25*100</f>
        <v>0</v>
      </c>
    </row>
    <row r="23" spans="1:17" x14ac:dyDescent="0.2">
      <c r="A23" s="411" t="s">
        <v>319</v>
      </c>
      <c r="B23" s="436"/>
      <c r="C23" s="413"/>
      <c r="D23" s="413"/>
      <c r="E23" s="413"/>
      <c r="F23" s="413"/>
      <c r="G23" s="413"/>
      <c r="H23" s="443">
        <f t="shared" si="0"/>
        <v>0</v>
      </c>
      <c r="I23" s="413"/>
      <c r="J23" s="439"/>
      <c r="K23" s="413"/>
      <c r="L23" s="439"/>
      <c r="M23" s="443">
        <f t="shared" si="1"/>
        <v>0</v>
      </c>
      <c r="N23" s="413"/>
      <c r="O23" s="443">
        <f t="shared" si="2"/>
        <v>0</v>
      </c>
      <c r="P23" s="440">
        <f t="shared" si="3"/>
        <v>0</v>
      </c>
      <c r="Q23" s="444">
        <f>P23/P25*100</f>
        <v>0</v>
      </c>
    </row>
    <row r="24" spans="1:17" ht="12.75" thickBot="1" x14ac:dyDescent="0.25">
      <c r="A24" s="445"/>
      <c r="B24" s="445"/>
      <c r="C24" s="446"/>
      <c r="D24" s="446"/>
      <c r="E24" s="446"/>
      <c r="F24" s="446"/>
      <c r="G24" s="446"/>
      <c r="H24" s="447">
        <f>SUM(B24:G24)</f>
        <v>0</v>
      </c>
      <c r="I24" s="446"/>
      <c r="J24" s="448"/>
      <c r="K24" s="446"/>
      <c r="L24" s="448"/>
      <c r="M24" s="447">
        <f>SUM(I24:L24)</f>
        <v>0</v>
      </c>
      <c r="N24" s="446"/>
      <c r="O24" s="447">
        <f>+N24</f>
        <v>0</v>
      </c>
      <c r="P24" s="449">
        <f>+O24+M24+H24</f>
        <v>0</v>
      </c>
      <c r="Q24" s="444">
        <f>P24/P25*100</f>
        <v>0</v>
      </c>
    </row>
    <row r="25" spans="1:17" ht="18.75" customHeight="1" thickBot="1" x14ac:dyDescent="0.25">
      <c r="A25" s="435" t="s">
        <v>169</v>
      </c>
      <c r="B25" s="379">
        <f t="shared" ref="B25:G25" si="4">SUM(B6:B24)</f>
        <v>0</v>
      </c>
      <c r="C25" s="379">
        <f t="shared" si="4"/>
        <v>551211533</v>
      </c>
      <c r="D25" s="379">
        <f t="shared" si="4"/>
        <v>24352012</v>
      </c>
      <c r="E25" s="379">
        <f t="shared" si="4"/>
        <v>113826196</v>
      </c>
      <c r="F25" s="379">
        <f t="shared" si="4"/>
        <v>400000</v>
      </c>
      <c r="G25" s="379">
        <f t="shared" si="4"/>
        <v>573357</v>
      </c>
      <c r="H25" s="379">
        <f>SUM(H6:H24)</f>
        <v>690363098</v>
      </c>
      <c r="I25" s="379">
        <f t="shared" ref="I25:P25" si="5">SUM(I6:I24)</f>
        <v>500000</v>
      </c>
      <c r="J25" s="379">
        <f t="shared" si="5"/>
        <v>0</v>
      </c>
      <c r="K25" s="379">
        <f t="shared" si="5"/>
        <v>291970041</v>
      </c>
      <c r="L25" s="379">
        <f t="shared" si="5"/>
        <v>0</v>
      </c>
      <c r="M25" s="379">
        <f t="shared" si="5"/>
        <v>292470041</v>
      </c>
      <c r="N25" s="379">
        <f t="shared" si="5"/>
        <v>2818779</v>
      </c>
      <c r="O25" s="379">
        <f t="shared" si="5"/>
        <v>2818779</v>
      </c>
      <c r="P25" s="379">
        <f t="shared" si="5"/>
        <v>985651918</v>
      </c>
      <c r="Q25" s="379">
        <f>P25/P25*100</f>
        <v>100</v>
      </c>
    </row>
    <row r="26" spans="1:17" x14ac:dyDescent="0.2">
      <c r="A26" s="572"/>
    </row>
  </sheetData>
  <mergeCells count="7">
    <mergeCell ref="A1:Q1"/>
    <mergeCell ref="A2:D2"/>
    <mergeCell ref="P4:Q4"/>
    <mergeCell ref="B4:H4"/>
    <mergeCell ref="I4:M4"/>
    <mergeCell ref="A4:A5"/>
    <mergeCell ref="N4:O4"/>
  </mergeCells>
  <phoneticPr fontId="0" type="noConversion"/>
  <pageMargins left="0.23622047244094491" right="0.23622047244094491" top="0.74803149606299213" bottom="0.74803149606299213" header="0.31496062992125984" footer="0.31496062992125984"/>
  <pageSetup paperSize="9" scale="61" orientation="landscape" r:id="rId1"/>
  <headerFooter alignWithMargins="0">
    <oddHeader xml:space="preserve">&amp;C&amp;"Arial,Negrita"&amp;18PROYECTO DEL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sheetPr>
  <dimension ref="A1:V113"/>
  <sheetViews>
    <sheetView zoomScaleNormal="100" zoomScaleSheetLayoutView="70" zoomScalePageLayoutView="90" workbookViewId="0">
      <selection activeCell="E22" sqref="E22"/>
    </sheetView>
  </sheetViews>
  <sheetFormatPr baseColWidth="10" defaultColWidth="11.42578125" defaultRowHeight="12" x14ac:dyDescent="0.2"/>
  <cols>
    <col min="1" max="1" width="25" style="331" customWidth="1"/>
    <col min="2" max="2" width="16.28515625" style="331" bestFit="1" customWidth="1"/>
    <col min="3" max="3" width="8.7109375" style="331" customWidth="1"/>
    <col min="4" max="4" width="14.140625" style="331" customWidth="1"/>
    <col min="5" max="5" width="14.85546875" style="331" customWidth="1"/>
    <col min="6" max="6" width="15.5703125" style="331" customWidth="1"/>
    <col min="7" max="7" width="13.85546875" style="331" customWidth="1"/>
    <col min="8" max="8" width="12.28515625" style="331" customWidth="1"/>
    <col min="9" max="9" width="14.7109375" style="331" customWidth="1"/>
    <col min="10" max="11" width="8.7109375" style="331" customWidth="1"/>
    <col min="12" max="12" width="14.7109375" style="331" customWidth="1"/>
    <col min="13" max="13" width="8.7109375" style="331" customWidth="1"/>
    <col min="14" max="14" width="15.140625" style="331" customWidth="1"/>
    <col min="15" max="16" width="13.7109375" style="331" customWidth="1"/>
    <col min="17" max="17" width="16.85546875" style="331" customWidth="1"/>
    <col min="18" max="18" width="9.140625" style="331" customWidth="1"/>
    <col min="19" max="16384" width="11.42578125" style="331"/>
  </cols>
  <sheetData>
    <row r="1" spans="1:22" ht="21.75" customHeight="1" x14ac:dyDescent="0.2">
      <c r="A1" s="1460" t="s">
        <v>320</v>
      </c>
      <c r="B1" s="1460"/>
      <c r="C1" s="1460"/>
      <c r="D1" s="1460"/>
      <c r="E1" s="1460"/>
      <c r="F1" s="1460"/>
      <c r="G1" s="1460"/>
      <c r="H1" s="1460"/>
      <c r="I1" s="1460"/>
      <c r="J1" s="1460"/>
      <c r="K1" s="1460"/>
      <c r="L1" s="1460"/>
      <c r="M1" s="1460"/>
      <c r="N1" s="1460"/>
      <c r="O1" s="1460"/>
      <c r="P1" s="1460"/>
      <c r="Q1" s="1460"/>
      <c r="R1" s="1460"/>
    </row>
    <row r="2" spans="1:22" ht="17.25" customHeight="1" x14ac:dyDescent="0.2">
      <c r="A2" s="1461" t="s">
        <v>43</v>
      </c>
      <c r="B2" s="1461"/>
      <c r="C2" s="1461"/>
      <c r="D2" s="1461"/>
      <c r="E2" s="2"/>
      <c r="F2" s="2"/>
      <c r="G2" s="2"/>
      <c r="H2" s="2"/>
      <c r="I2" s="2"/>
      <c r="J2" s="2"/>
      <c r="K2" s="2"/>
      <c r="L2" s="2"/>
      <c r="M2" s="2"/>
      <c r="N2" s="2"/>
      <c r="O2" s="2"/>
      <c r="P2" s="2"/>
      <c r="Q2" s="2"/>
      <c r="R2" s="2"/>
      <c r="S2" s="2"/>
      <c r="T2" s="2"/>
      <c r="U2" s="2"/>
      <c r="V2" s="2"/>
    </row>
    <row r="3" spans="1:22" ht="12.75" thickBot="1" x14ac:dyDescent="0.25">
      <c r="A3" s="2"/>
      <c r="B3" s="2"/>
      <c r="C3" s="2"/>
      <c r="D3" s="2"/>
      <c r="E3" s="2"/>
      <c r="F3" s="2"/>
      <c r="G3" s="2"/>
      <c r="H3" s="2"/>
      <c r="I3" s="2"/>
      <c r="J3" s="2"/>
      <c r="K3" s="2"/>
      <c r="L3" s="2"/>
      <c r="M3" s="2"/>
      <c r="N3" s="2"/>
      <c r="O3" s="2"/>
      <c r="P3" s="2"/>
      <c r="Q3" s="2"/>
      <c r="R3" s="2"/>
      <c r="S3" s="2"/>
      <c r="T3" s="2"/>
      <c r="U3" s="2"/>
      <c r="V3" s="2"/>
    </row>
    <row r="4" spans="1:22" ht="27" customHeight="1" x14ac:dyDescent="0.2">
      <c r="A4" s="1458" t="s">
        <v>321</v>
      </c>
      <c r="B4" s="1405" t="s">
        <v>322</v>
      </c>
      <c r="C4" s="1464" t="s">
        <v>323</v>
      </c>
      <c r="D4" s="1465"/>
      <c r="E4" s="1465"/>
      <c r="F4" s="1465"/>
      <c r="G4" s="1465"/>
      <c r="H4" s="1465"/>
      <c r="I4" s="1466"/>
      <c r="J4" s="1467" t="s">
        <v>157</v>
      </c>
      <c r="K4" s="1462"/>
      <c r="L4" s="1462"/>
      <c r="M4" s="1462"/>
      <c r="N4" s="1463"/>
      <c r="O4" s="1468" t="s">
        <v>162</v>
      </c>
      <c r="P4" s="1462"/>
      <c r="Q4" s="1462" t="s">
        <v>169</v>
      </c>
      <c r="R4" s="1463"/>
    </row>
    <row r="5" spans="1:22" ht="114" customHeight="1" thickBot="1" x14ac:dyDescent="0.25">
      <c r="A5" s="1457"/>
      <c r="B5" s="1469"/>
      <c r="C5" s="619" t="s">
        <v>324</v>
      </c>
      <c r="D5" s="620" t="s">
        <v>325</v>
      </c>
      <c r="E5" s="620" t="s">
        <v>326</v>
      </c>
      <c r="F5" s="620" t="s">
        <v>327</v>
      </c>
      <c r="G5" s="620" t="s">
        <v>328</v>
      </c>
      <c r="H5" s="620" t="s">
        <v>329</v>
      </c>
      <c r="I5" s="621" t="s">
        <v>172</v>
      </c>
      <c r="J5" s="619" t="s">
        <v>328</v>
      </c>
      <c r="K5" s="620" t="s">
        <v>329</v>
      </c>
      <c r="L5" s="620" t="s">
        <v>330</v>
      </c>
      <c r="M5" s="620" t="s">
        <v>331</v>
      </c>
      <c r="N5" s="621" t="s">
        <v>175</v>
      </c>
      <c r="O5" s="622" t="s">
        <v>332</v>
      </c>
      <c r="P5" s="620" t="s">
        <v>176</v>
      </c>
      <c r="Q5" s="623" t="s">
        <v>333</v>
      </c>
      <c r="R5" s="624" t="s">
        <v>178</v>
      </c>
    </row>
    <row r="6" spans="1:22" x14ac:dyDescent="0.2">
      <c r="A6" s="574" t="s">
        <v>334</v>
      </c>
      <c r="B6" s="575">
        <v>2020</v>
      </c>
      <c r="C6" s="576"/>
      <c r="D6" s="577"/>
      <c r="E6" s="577"/>
      <c r="F6" s="577"/>
      <c r="G6" s="577"/>
      <c r="H6" s="577"/>
      <c r="I6" s="578"/>
      <c r="J6" s="576"/>
      <c r="K6" s="577"/>
      <c r="L6" s="577"/>
      <c r="M6" s="577"/>
      <c r="N6" s="578"/>
      <c r="O6" s="579"/>
      <c r="P6" s="577"/>
      <c r="Q6" s="577"/>
      <c r="R6" s="578"/>
    </row>
    <row r="7" spans="1:22" x14ac:dyDescent="0.2">
      <c r="A7" s="580"/>
      <c r="B7" s="411">
        <v>2021</v>
      </c>
      <c r="C7" s="581"/>
      <c r="D7" s="417"/>
      <c r="E7" s="61"/>
      <c r="F7" s="417"/>
      <c r="G7" s="417"/>
      <c r="H7" s="417"/>
      <c r="I7" s="582"/>
      <c r="J7" s="581"/>
      <c r="K7" s="417"/>
      <c r="L7" s="417"/>
      <c r="M7" s="417"/>
      <c r="N7" s="582"/>
      <c r="O7" s="583"/>
      <c r="P7" s="417"/>
      <c r="Q7" s="417"/>
      <c r="R7" s="582"/>
    </row>
    <row r="8" spans="1:22" x14ac:dyDescent="0.2">
      <c r="A8" s="580"/>
      <c r="B8" s="411">
        <v>2022</v>
      </c>
      <c r="C8" s="584"/>
      <c r="D8" s="585"/>
      <c r="E8" s="585"/>
      <c r="F8" s="585"/>
      <c r="G8" s="585"/>
      <c r="H8" s="585"/>
      <c r="I8" s="586"/>
      <c r="J8" s="584"/>
      <c r="K8" s="585"/>
      <c r="L8" s="585"/>
      <c r="M8" s="585"/>
      <c r="N8" s="586"/>
      <c r="O8" s="587"/>
      <c r="P8" s="585"/>
      <c r="Q8" s="585"/>
      <c r="R8" s="586"/>
    </row>
    <row r="9" spans="1:22" ht="12.75" thickBot="1" x14ac:dyDescent="0.25">
      <c r="A9" s="588"/>
      <c r="B9" s="589" t="s">
        <v>335</v>
      </c>
      <c r="C9" s="590"/>
      <c r="D9" s="591"/>
      <c r="E9" s="591"/>
      <c r="F9" s="591"/>
      <c r="G9" s="591"/>
      <c r="H9" s="591"/>
      <c r="I9" s="592"/>
      <c r="J9" s="590"/>
      <c r="K9" s="591"/>
      <c r="L9" s="591"/>
      <c r="M9" s="591"/>
      <c r="N9" s="592"/>
      <c r="O9" s="593"/>
      <c r="P9" s="591"/>
      <c r="Q9" s="591"/>
      <c r="R9" s="592"/>
    </row>
    <row r="10" spans="1:22" x14ac:dyDescent="0.2">
      <c r="A10" s="594" t="s">
        <v>336</v>
      </c>
      <c r="B10" s="575">
        <v>2020</v>
      </c>
      <c r="C10" s="595"/>
      <c r="D10" s="596"/>
      <c r="E10" s="596"/>
      <c r="F10" s="596"/>
      <c r="G10" s="596"/>
      <c r="H10" s="596"/>
      <c r="I10" s="597"/>
      <c r="J10" s="595"/>
      <c r="K10" s="596"/>
      <c r="L10" s="596"/>
      <c r="M10" s="596"/>
      <c r="N10" s="597"/>
      <c r="O10" s="598"/>
      <c r="P10" s="596"/>
      <c r="Q10" s="596"/>
      <c r="R10" s="597"/>
    </row>
    <row r="11" spans="1:22" x14ac:dyDescent="0.2">
      <c r="A11" s="580"/>
      <c r="B11" s="411">
        <v>2021</v>
      </c>
      <c r="C11" s="581"/>
      <c r="D11" s="61"/>
      <c r="E11" s="599"/>
      <c r="F11" s="417"/>
      <c r="G11" s="417"/>
      <c r="H11" s="417"/>
      <c r="I11" s="582"/>
      <c r="J11" s="581"/>
      <c r="K11" s="417"/>
      <c r="L11" s="417"/>
      <c r="M11" s="417"/>
      <c r="N11" s="582"/>
      <c r="O11" s="583"/>
      <c r="P11" s="417"/>
      <c r="Q11" s="417"/>
      <c r="R11" s="582"/>
    </row>
    <row r="12" spans="1:22" x14ac:dyDescent="0.2">
      <c r="A12" s="580"/>
      <c r="B12" s="411">
        <v>2022</v>
      </c>
      <c r="C12" s="581"/>
      <c r="D12" s="417"/>
      <c r="E12" s="417"/>
      <c r="F12" s="417"/>
      <c r="G12" s="417"/>
      <c r="H12" s="417"/>
      <c r="I12" s="582"/>
      <c r="J12" s="581"/>
      <c r="K12" s="417"/>
      <c r="L12" s="417"/>
      <c r="M12" s="417"/>
      <c r="N12" s="582"/>
      <c r="O12" s="583"/>
      <c r="P12" s="417"/>
      <c r="Q12" s="417"/>
      <c r="R12" s="582"/>
    </row>
    <row r="13" spans="1:22" ht="12.75" thickBot="1" x14ac:dyDescent="0.25">
      <c r="A13" s="600"/>
      <c r="B13" s="589" t="s">
        <v>335</v>
      </c>
      <c r="C13" s="590"/>
      <c r="D13" s="591"/>
      <c r="E13" s="591"/>
      <c r="F13" s="591" t="s">
        <v>337</v>
      </c>
      <c r="G13" s="591"/>
      <c r="H13" s="591"/>
      <c r="I13" s="592"/>
      <c r="J13" s="590"/>
      <c r="K13" s="591"/>
      <c r="L13" s="591"/>
      <c r="M13" s="591"/>
      <c r="N13" s="592"/>
      <c r="O13" s="593"/>
      <c r="P13" s="591"/>
      <c r="Q13" s="591"/>
      <c r="R13" s="592"/>
    </row>
    <row r="14" spans="1:22" x14ac:dyDescent="0.2">
      <c r="A14" s="574" t="s">
        <v>338</v>
      </c>
      <c r="B14" s="575">
        <v>2020</v>
      </c>
      <c r="C14" s="576"/>
      <c r="D14" s="601">
        <v>16408126</v>
      </c>
      <c r="E14" s="601">
        <v>54032</v>
      </c>
      <c r="F14" s="601">
        <v>22842579</v>
      </c>
      <c r="G14" s="601">
        <v>0</v>
      </c>
      <c r="H14" s="601">
        <v>145080</v>
      </c>
      <c r="I14" s="602">
        <f>SUM(D14:H14)</f>
        <v>39449817</v>
      </c>
      <c r="J14" s="603"/>
      <c r="K14" s="601"/>
      <c r="L14" s="601">
        <v>24322894</v>
      </c>
      <c r="M14" s="601"/>
      <c r="N14" s="602">
        <f>SUM(J14:M14)</f>
        <v>24322894</v>
      </c>
      <c r="O14" s="604">
        <v>0</v>
      </c>
      <c r="P14" s="605">
        <v>0</v>
      </c>
      <c r="Q14" s="605">
        <f>+P14+N14+I14</f>
        <v>63772711</v>
      </c>
      <c r="R14" s="602">
        <f>Q14/Q106*100</f>
        <v>7.3997037768182423</v>
      </c>
    </row>
    <row r="15" spans="1:22" x14ac:dyDescent="0.2">
      <c r="A15" s="580"/>
      <c r="B15" s="411">
        <v>2021</v>
      </c>
      <c r="C15" s="581"/>
      <c r="D15" s="61">
        <v>12266545</v>
      </c>
      <c r="E15" s="61">
        <v>27417</v>
      </c>
      <c r="F15" s="369">
        <v>18243127</v>
      </c>
      <c r="G15" s="61">
        <v>0</v>
      </c>
      <c r="H15" s="61">
        <v>173080</v>
      </c>
      <c r="I15" s="606">
        <f>SUM(D15:H15)</f>
        <v>30710169</v>
      </c>
      <c r="J15" s="607"/>
      <c r="K15" s="61"/>
      <c r="L15" s="61">
        <v>22445921</v>
      </c>
      <c r="M15" s="61"/>
      <c r="N15" s="606">
        <f>SUM(J15:M15)</f>
        <v>22445921</v>
      </c>
      <c r="O15" s="608">
        <v>2421199</v>
      </c>
      <c r="P15" s="609">
        <f>SUM(O15)</f>
        <v>2421199</v>
      </c>
      <c r="Q15" s="609">
        <f>+P15+N15+I15</f>
        <v>55577289</v>
      </c>
      <c r="R15" s="606">
        <f>Q15/Q107*100</f>
        <v>6.1043015472511142</v>
      </c>
    </row>
    <row r="16" spans="1:22" x14ac:dyDescent="0.2">
      <c r="A16" s="580"/>
      <c r="B16" s="411">
        <v>2022</v>
      </c>
      <c r="C16" s="581"/>
      <c r="D16" s="61">
        <v>12249038</v>
      </c>
      <c r="E16" s="61">
        <v>22939</v>
      </c>
      <c r="F16" s="61">
        <v>18217246</v>
      </c>
      <c r="G16" s="61">
        <v>900000</v>
      </c>
      <c r="H16" s="61">
        <v>81970</v>
      </c>
      <c r="I16" s="606">
        <f>SUM(D16:H16)</f>
        <v>31471193</v>
      </c>
      <c r="J16" s="607"/>
      <c r="K16" s="61"/>
      <c r="L16" s="61">
        <v>77542408</v>
      </c>
      <c r="M16" s="61"/>
      <c r="N16" s="606">
        <f>SUM(J16:M16)</f>
        <v>77542408</v>
      </c>
      <c r="O16" s="608">
        <v>2818779</v>
      </c>
      <c r="P16" s="609">
        <f>SUM(O16)</f>
        <v>2818779</v>
      </c>
      <c r="Q16" s="609">
        <f>+P16+N16+I16</f>
        <v>111832380</v>
      </c>
      <c r="R16" s="606">
        <f>Q16/Q108*100</f>
        <v>11.346031794562997</v>
      </c>
    </row>
    <row r="17" spans="1:18" ht="15" customHeight="1" thickBot="1" x14ac:dyDescent="0.25">
      <c r="A17" s="600"/>
      <c r="B17" s="589" t="s">
        <v>335</v>
      </c>
      <c r="C17" s="590"/>
      <c r="D17" s="610">
        <f>(+D16*100/D15)-100</f>
        <v>-0.14272152427598428</v>
      </c>
      <c r="E17" s="610">
        <f>(+E16*100/E15)-100</f>
        <v>-16.332932122405808</v>
      </c>
      <c r="F17" s="610">
        <f t="shared" ref="F17:R17" si="0">(+F16*100/F15)-100</f>
        <v>-0.14186712617853914</v>
      </c>
      <c r="G17" s="611" t="e">
        <f>(+G16*100/G15)-100</f>
        <v>#DIV/0!</v>
      </c>
      <c r="H17" s="610">
        <f t="shared" si="0"/>
        <v>-52.640397504044373</v>
      </c>
      <c r="I17" s="610">
        <f t="shared" si="0"/>
        <v>2.4780847021714578</v>
      </c>
      <c r="J17" s="610"/>
      <c r="K17" s="610"/>
      <c r="L17" s="610">
        <f t="shared" si="0"/>
        <v>245.46324920238294</v>
      </c>
      <c r="M17" s="610"/>
      <c r="N17" s="610">
        <f t="shared" si="0"/>
        <v>245.46324920238294</v>
      </c>
      <c r="O17" s="610">
        <f t="shared" si="0"/>
        <v>16.420789864856218</v>
      </c>
      <c r="P17" s="610">
        <f t="shared" si="0"/>
        <v>16.420789864856218</v>
      </c>
      <c r="Q17" s="610">
        <f t="shared" si="0"/>
        <v>101.21956650314485</v>
      </c>
      <c r="R17" s="610">
        <f t="shared" si="0"/>
        <v>85.869451348980874</v>
      </c>
    </row>
    <row r="18" spans="1:18" x14ac:dyDescent="0.2">
      <c r="A18" s="574" t="s">
        <v>339</v>
      </c>
      <c r="B18" s="575">
        <v>2020</v>
      </c>
      <c r="C18" s="576"/>
      <c r="D18" s="601"/>
      <c r="E18" s="601"/>
      <c r="F18" s="601"/>
      <c r="G18" s="601"/>
      <c r="H18" s="601"/>
      <c r="I18" s="612"/>
      <c r="J18" s="603"/>
      <c r="K18" s="601"/>
      <c r="L18" s="601"/>
      <c r="M18" s="601"/>
      <c r="N18" s="612"/>
      <c r="O18" s="604"/>
      <c r="P18" s="601"/>
      <c r="Q18" s="601"/>
      <c r="R18" s="612"/>
    </row>
    <row r="19" spans="1:18" x14ac:dyDescent="0.2">
      <c r="A19" s="580"/>
      <c r="B19" s="411">
        <v>2021</v>
      </c>
      <c r="C19" s="581"/>
      <c r="D19" s="61"/>
      <c r="E19" s="61"/>
      <c r="F19" s="61"/>
      <c r="G19" s="61"/>
      <c r="H19" s="61"/>
      <c r="I19" s="613"/>
      <c r="J19" s="607"/>
      <c r="K19" s="61"/>
      <c r="L19" s="61"/>
      <c r="M19" s="61"/>
      <c r="N19" s="613"/>
      <c r="O19" s="608"/>
      <c r="P19" s="61"/>
      <c r="Q19" s="61"/>
      <c r="R19" s="613"/>
    </row>
    <row r="20" spans="1:18" x14ac:dyDescent="0.2">
      <c r="A20" s="580"/>
      <c r="B20" s="411">
        <v>2022</v>
      </c>
      <c r="C20" s="581"/>
      <c r="D20" s="61"/>
      <c r="E20" s="61"/>
      <c r="F20" s="61"/>
      <c r="G20" s="61"/>
      <c r="H20" s="61"/>
      <c r="I20" s="613"/>
      <c r="J20" s="607"/>
      <c r="K20" s="61"/>
      <c r="L20" s="61"/>
      <c r="M20" s="61"/>
      <c r="N20" s="613"/>
      <c r="O20" s="608"/>
      <c r="P20" s="61"/>
      <c r="Q20" s="61"/>
      <c r="R20" s="613"/>
    </row>
    <row r="21" spans="1:18" ht="12.75" thickBot="1" x14ac:dyDescent="0.25">
      <c r="A21" s="600"/>
      <c r="B21" s="589" t="s">
        <v>335</v>
      </c>
      <c r="C21" s="590"/>
      <c r="D21" s="614"/>
      <c r="E21" s="614"/>
      <c r="F21" s="614"/>
      <c r="G21" s="614"/>
      <c r="H21" s="614"/>
      <c r="I21" s="615"/>
      <c r="J21" s="616"/>
      <c r="K21" s="614"/>
      <c r="L21" s="614"/>
      <c r="M21" s="614"/>
      <c r="N21" s="615"/>
      <c r="O21" s="617"/>
      <c r="P21" s="614"/>
      <c r="Q21" s="614"/>
      <c r="R21" s="615"/>
    </row>
    <row r="22" spans="1:18" x14ac:dyDescent="0.2">
      <c r="A22" s="574" t="s">
        <v>340</v>
      </c>
      <c r="B22" s="575">
        <v>2020</v>
      </c>
      <c r="C22" s="576"/>
      <c r="D22" s="601"/>
      <c r="E22" s="601">
        <v>1500000</v>
      </c>
      <c r="F22" s="601">
        <v>855361</v>
      </c>
      <c r="G22" s="601">
        <v>0</v>
      </c>
      <c r="H22" s="601">
        <v>0</v>
      </c>
      <c r="I22" s="602">
        <f>SUM(D22:H22)</f>
        <v>2355361</v>
      </c>
      <c r="J22" s="603"/>
      <c r="K22" s="601"/>
      <c r="L22" s="601">
        <v>300000</v>
      </c>
      <c r="M22" s="601"/>
      <c r="N22" s="602">
        <f>SUM(J22:M22)</f>
        <v>300000</v>
      </c>
      <c r="O22" s="604"/>
      <c r="P22" s="601"/>
      <c r="Q22" s="605">
        <f>+P22+N22+I22</f>
        <v>2655361</v>
      </c>
      <c r="R22" s="602">
        <f>Q22/Q106*100</f>
        <v>0.30810803731577074</v>
      </c>
    </row>
    <row r="23" spans="1:18" x14ac:dyDescent="0.2">
      <c r="A23" s="580"/>
      <c r="B23" s="411">
        <v>2021</v>
      </c>
      <c r="C23" s="581"/>
      <c r="D23" s="61"/>
      <c r="E23" s="61">
        <v>1499998</v>
      </c>
      <c r="F23" s="61">
        <v>736818</v>
      </c>
      <c r="G23" s="61">
        <v>0</v>
      </c>
      <c r="H23" s="61">
        <v>0</v>
      </c>
      <c r="I23" s="606">
        <f>SUM(D23:H23)</f>
        <v>2236816</v>
      </c>
      <c r="J23" s="607"/>
      <c r="K23" s="61"/>
      <c r="L23" s="61">
        <v>0</v>
      </c>
      <c r="M23" s="61"/>
      <c r="N23" s="606">
        <f t="shared" ref="N23:N24" si="1">SUM(J23:M23)</f>
        <v>0</v>
      </c>
      <c r="O23" s="608"/>
      <c r="P23" s="61"/>
      <c r="Q23" s="609">
        <f>+P23+N23+I23</f>
        <v>2236816</v>
      </c>
      <c r="R23" s="606">
        <f>Q23/Q107*100</f>
        <v>0.24567947835159873</v>
      </c>
    </row>
    <row r="24" spans="1:18" x14ac:dyDescent="0.2">
      <c r="A24" s="580"/>
      <c r="B24" s="411">
        <v>2022</v>
      </c>
      <c r="C24" s="581"/>
      <c r="D24" s="61"/>
      <c r="E24" s="61">
        <v>1499998</v>
      </c>
      <c r="F24" s="61">
        <v>952081</v>
      </c>
      <c r="G24" s="61">
        <v>0</v>
      </c>
      <c r="H24" s="61">
        <v>0</v>
      </c>
      <c r="I24" s="606">
        <f>SUM(D24:H24)</f>
        <v>2452079</v>
      </c>
      <c r="J24" s="607"/>
      <c r="K24" s="61"/>
      <c r="L24" s="61">
        <v>105000</v>
      </c>
      <c r="M24" s="61"/>
      <c r="N24" s="606">
        <f t="shared" si="1"/>
        <v>105000</v>
      </c>
      <c r="O24" s="608"/>
      <c r="P24" s="61"/>
      <c r="Q24" s="609">
        <f>+P24+N24+I24</f>
        <v>2557079</v>
      </c>
      <c r="R24" s="606">
        <f>Q24/Q108*100</f>
        <v>0.25943022615819633</v>
      </c>
    </row>
    <row r="25" spans="1:18" ht="12.75" thickBot="1" x14ac:dyDescent="0.25">
      <c r="A25" s="600"/>
      <c r="B25" s="589" t="s">
        <v>335</v>
      </c>
      <c r="C25" s="590"/>
      <c r="D25" s="614"/>
      <c r="E25" s="610">
        <f>(+E24*100/E23)-100</f>
        <v>0</v>
      </c>
      <c r="F25" s="610">
        <f t="shared" ref="F25:R25" si="2">(+F24*100/F23)-100</f>
        <v>29.215220040769907</v>
      </c>
      <c r="G25" s="611">
        <v>0</v>
      </c>
      <c r="H25" s="611">
        <v>0</v>
      </c>
      <c r="I25" s="611">
        <f t="shared" si="2"/>
        <v>9.6236346664186954</v>
      </c>
      <c r="J25" s="611"/>
      <c r="K25" s="611"/>
      <c r="L25" s="611" t="e">
        <f t="shared" si="2"/>
        <v>#DIV/0!</v>
      </c>
      <c r="M25" s="611"/>
      <c r="N25" s="611" t="e">
        <f t="shared" si="2"/>
        <v>#DIV/0!</v>
      </c>
      <c r="O25" s="611"/>
      <c r="P25" s="611"/>
      <c r="Q25" s="611">
        <f t="shared" si="2"/>
        <v>14.317807097231068</v>
      </c>
      <c r="R25" s="611">
        <f t="shared" si="2"/>
        <v>5.5970274354451846</v>
      </c>
    </row>
    <row r="26" spans="1:18" x14ac:dyDescent="0.2">
      <c r="A26" s="574" t="s">
        <v>341</v>
      </c>
      <c r="B26" s="575">
        <v>2020</v>
      </c>
      <c r="C26" s="576"/>
      <c r="D26" s="601"/>
      <c r="E26" s="601"/>
      <c r="F26" s="601"/>
      <c r="G26" s="601"/>
      <c r="H26" s="601"/>
      <c r="I26" s="612"/>
      <c r="J26" s="603"/>
      <c r="K26" s="601"/>
      <c r="L26" s="601"/>
      <c r="M26" s="601"/>
      <c r="N26" s="612"/>
      <c r="O26" s="604"/>
      <c r="P26" s="601"/>
      <c r="Q26" s="601"/>
      <c r="R26" s="612"/>
    </row>
    <row r="27" spans="1:18" x14ac:dyDescent="0.2">
      <c r="A27" s="580"/>
      <c r="B27" s="411">
        <v>2021</v>
      </c>
      <c r="C27" s="581"/>
      <c r="D27" s="61"/>
      <c r="E27" s="61"/>
      <c r="F27" s="61"/>
      <c r="G27" s="61"/>
      <c r="H27" s="61"/>
      <c r="I27" s="613"/>
      <c r="J27" s="607"/>
      <c r="K27" s="61"/>
      <c r="L27" s="61"/>
      <c r="M27" s="61"/>
      <c r="N27" s="613"/>
      <c r="O27" s="608"/>
      <c r="P27" s="61"/>
      <c r="Q27" s="61"/>
      <c r="R27" s="613"/>
    </row>
    <row r="28" spans="1:18" x14ac:dyDescent="0.2">
      <c r="A28" s="580"/>
      <c r="B28" s="411">
        <v>2022</v>
      </c>
      <c r="C28" s="581"/>
      <c r="D28" s="61"/>
      <c r="E28" s="61"/>
      <c r="F28" s="61"/>
      <c r="G28" s="61"/>
      <c r="H28" s="61"/>
      <c r="I28" s="613"/>
      <c r="J28" s="607"/>
      <c r="K28" s="61"/>
      <c r="L28" s="61"/>
      <c r="M28" s="61"/>
      <c r="N28" s="613"/>
      <c r="O28" s="608"/>
      <c r="P28" s="61"/>
      <c r="Q28" s="61"/>
      <c r="R28" s="613"/>
    </row>
    <row r="29" spans="1:18" ht="12.75" thickBot="1" x14ac:dyDescent="0.25">
      <c r="A29" s="600"/>
      <c r="B29" s="589" t="s">
        <v>335</v>
      </c>
      <c r="C29" s="590"/>
      <c r="D29" s="614"/>
      <c r="E29" s="614"/>
      <c r="F29" s="614"/>
      <c r="G29" s="614"/>
      <c r="H29" s="614"/>
      <c r="I29" s="615"/>
      <c r="J29" s="616"/>
      <c r="K29" s="614"/>
      <c r="L29" s="614"/>
      <c r="M29" s="614"/>
      <c r="N29" s="615"/>
      <c r="O29" s="617"/>
      <c r="P29" s="614"/>
      <c r="Q29" s="614"/>
      <c r="R29" s="615"/>
    </row>
    <row r="30" spans="1:18" x14ac:dyDescent="0.2">
      <c r="A30" s="574" t="s">
        <v>342</v>
      </c>
      <c r="B30" s="575">
        <v>2020</v>
      </c>
      <c r="C30" s="576"/>
      <c r="D30" s="61">
        <v>680451</v>
      </c>
      <c r="E30" s="61">
        <v>10000</v>
      </c>
      <c r="F30" s="61">
        <v>1388386</v>
      </c>
      <c r="G30" s="61"/>
      <c r="H30" s="61">
        <v>4560</v>
      </c>
      <c r="I30" s="606">
        <f>SUM(D30:H30)</f>
        <v>2083397</v>
      </c>
      <c r="J30" s="607"/>
      <c r="K30" s="61"/>
      <c r="L30" s="61">
        <v>83000</v>
      </c>
      <c r="M30" s="61"/>
      <c r="N30" s="606">
        <f>SUM(J30:M30)</f>
        <v>83000</v>
      </c>
      <c r="O30" s="608"/>
      <c r="P30" s="61"/>
      <c r="Q30" s="609">
        <f>+P30+N30+I30</f>
        <v>2166397</v>
      </c>
      <c r="R30" s="602">
        <f>Q30/Q106*100</f>
        <v>0.25137234738205982</v>
      </c>
    </row>
    <row r="31" spans="1:18" x14ac:dyDescent="0.2">
      <c r="A31" s="580"/>
      <c r="B31" s="411">
        <v>2021</v>
      </c>
      <c r="C31" s="581"/>
      <c r="D31" s="61">
        <v>618247</v>
      </c>
      <c r="E31" s="61">
        <v>0</v>
      </c>
      <c r="F31" s="61">
        <v>1166652</v>
      </c>
      <c r="G31" s="61"/>
      <c r="H31" s="61">
        <v>4560</v>
      </c>
      <c r="I31" s="606">
        <f>SUM(D31:H31)</f>
        <v>1789459</v>
      </c>
      <c r="J31" s="607"/>
      <c r="K31" s="61"/>
      <c r="L31" s="61">
        <v>0</v>
      </c>
      <c r="M31" s="61"/>
      <c r="N31" s="606">
        <f t="shared" ref="N31:N32" si="3">SUM(J31:M31)</f>
        <v>0</v>
      </c>
      <c r="O31" s="608"/>
      <c r="P31" s="61"/>
      <c r="Q31" s="609">
        <f>+P31+N31+I31</f>
        <v>1789459</v>
      </c>
      <c r="R31" s="606">
        <f>Q31/Q107*100</f>
        <v>0.19654426365493341</v>
      </c>
    </row>
    <row r="32" spans="1:18" ht="12.75" customHeight="1" x14ac:dyDescent="0.2">
      <c r="A32" s="580"/>
      <c r="B32" s="411">
        <v>2022</v>
      </c>
      <c r="C32" s="581"/>
      <c r="D32" s="61">
        <v>596812</v>
      </c>
      <c r="E32" s="61">
        <v>3000</v>
      </c>
      <c r="F32" s="61">
        <v>890264</v>
      </c>
      <c r="G32" s="61"/>
      <c r="H32" s="61">
        <v>0</v>
      </c>
      <c r="I32" s="606">
        <f>SUM(D32:H32)</f>
        <v>1490076</v>
      </c>
      <c r="J32" s="607"/>
      <c r="K32" s="61"/>
      <c r="L32" s="61">
        <v>25695</v>
      </c>
      <c r="M32" s="61"/>
      <c r="N32" s="606">
        <f t="shared" si="3"/>
        <v>25695</v>
      </c>
      <c r="O32" s="608"/>
      <c r="P32" s="61"/>
      <c r="Q32" s="609">
        <f>+P32+N32+I32</f>
        <v>1515771</v>
      </c>
      <c r="R32" s="606">
        <f>Q32/Q108*100</f>
        <v>0.15378359969873259</v>
      </c>
    </row>
    <row r="33" spans="1:18" ht="12" customHeight="1" thickBot="1" x14ac:dyDescent="0.25">
      <c r="A33" s="600"/>
      <c r="B33" s="589" t="s">
        <v>335</v>
      </c>
      <c r="C33" s="590"/>
      <c r="D33" s="610">
        <f>(+D32*100/D31)-100</f>
        <v>-3.4670608996080858</v>
      </c>
      <c r="E33" s="611" t="e">
        <f t="shared" ref="E33:N33" si="4">(+E32*100/E31)-100</f>
        <v>#DIV/0!</v>
      </c>
      <c r="F33" s="610">
        <f t="shared" si="4"/>
        <v>-23.690697825915521</v>
      </c>
      <c r="G33" s="610"/>
      <c r="H33" s="610">
        <f t="shared" si="4"/>
        <v>-100</v>
      </c>
      <c r="I33" s="610">
        <f t="shared" si="4"/>
        <v>-16.730363757984961</v>
      </c>
      <c r="J33" s="610"/>
      <c r="K33" s="610"/>
      <c r="L33" s="611" t="e">
        <f t="shared" si="4"/>
        <v>#DIV/0!</v>
      </c>
      <c r="M33" s="610"/>
      <c r="N33" s="611" t="e">
        <f t="shared" si="4"/>
        <v>#DIV/0!</v>
      </c>
      <c r="O33" s="610"/>
      <c r="P33" s="610"/>
      <c r="Q33" s="610">
        <f>(+Q32*100/Q31)-100</f>
        <v>-15.294454916262396</v>
      </c>
      <c r="R33" s="610">
        <f>(+R32*100/R31)-100</f>
        <v>-21.756251320198473</v>
      </c>
    </row>
    <row r="34" spans="1:18" x14ac:dyDescent="0.2">
      <c r="A34" s="574" t="s">
        <v>343</v>
      </c>
      <c r="B34" s="575">
        <v>2020</v>
      </c>
      <c r="C34" s="576"/>
      <c r="D34" s="61">
        <v>83109</v>
      </c>
      <c r="E34" s="61"/>
      <c r="F34" s="61">
        <v>52301</v>
      </c>
      <c r="G34" s="61"/>
      <c r="H34" s="61"/>
      <c r="I34" s="606">
        <f>SUM(D34:H34)</f>
        <v>135410</v>
      </c>
      <c r="J34" s="607"/>
      <c r="K34" s="61"/>
      <c r="L34" s="61">
        <v>0</v>
      </c>
      <c r="M34" s="61"/>
      <c r="N34" s="606">
        <f>SUM(J34:M34)</f>
        <v>0</v>
      </c>
      <c r="O34" s="608"/>
      <c r="P34" s="61"/>
      <c r="Q34" s="609">
        <f>+P34+N34+I34</f>
        <v>135410</v>
      </c>
      <c r="R34" s="602">
        <f>Q34/Q106*100</f>
        <v>1.5711953791943359E-2</v>
      </c>
    </row>
    <row r="35" spans="1:18" x14ac:dyDescent="0.2">
      <c r="A35" s="580"/>
      <c r="B35" s="411">
        <v>2021</v>
      </c>
      <c r="C35" s="581"/>
      <c r="D35" s="61">
        <v>83109</v>
      </c>
      <c r="E35" s="61"/>
      <c r="F35" s="61">
        <v>24279</v>
      </c>
      <c r="G35" s="61"/>
      <c r="H35" s="61"/>
      <c r="I35" s="606">
        <f>SUM(D35:H35)</f>
        <v>107388</v>
      </c>
      <c r="J35" s="607"/>
      <c r="K35" s="61"/>
      <c r="L35" s="61">
        <v>0</v>
      </c>
      <c r="M35" s="61"/>
      <c r="N35" s="606">
        <f t="shared" ref="N35:N36" si="5">SUM(J35:M35)</f>
        <v>0</v>
      </c>
      <c r="O35" s="608"/>
      <c r="P35" s="61"/>
      <c r="Q35" s="609">
        <f>+P35+N35+I35</f>
        <v>107388</v>
      </c>
      <c r="R35" s="606">
        <f>Q35/Q107*100</f>
        <v>1.1794903032355582E-2</v>
      </c>
    </row>
    <row r="36" spans="1:18" x14ac:dyDescent="0.2">
      <c r="A36" s="580"/>
      <c r="B36" s="411">
        <v>2022</v>
      </c>
      <c r="C36" s="581"/>
      <c r="D36" s="61">
        <v>88504</v>
      </c>
      <c r="E36" s="61"/>
      <c r="F36" s="61">
        <v>26789</v>
      </c>
      <c r="G36" s="61"/>
      <c r="H36" s="61"/>
      <c r="I36" s="606">
        <f>SUM(D36:H36)</f>
        <v>115293</v>
      </c>
      <c r="J36" s="607"/>
      <c r="K36" s="61"/>
      <c r="L36" s="61">
        <v>2904667</v>
      </c>
      <c r="M36" s="61"/>
      <c r="N36" s="606">
        <f t="shared" si="5"/>
        <v>2904667</v>
      </c>
      <c r="O36" s="608"/>
      <c r="P36" s="61"/>
      <c r="Q36" s="609">
        <f>+P36+N36+I36</f>
        <v>3019960</v>
      </c>
      <c r="R36" s="606">
        <f>Q36/Q108*100</f>
        <v>0.30639213954230848</v>
      </c>
    </row>
    <row r="37" spans="1:18" ht="12.75" thickBot="1" x14ac:dyDescent="0.25">
      <c r="A37" s="600"/>
      <c r="B37" s="589" t="s">
        <v>335</v>
      </c>
      <c r="C37" s="590"/>
      <c r="D37" s="610">
        <f>(+D36*100/D35)-100</f>
        <v>6.4914750508368542</v>
      </c>
      <c r="E37" s="610"/>
      <c r="F37" s="610">
        <f>(+F36*100/F35)-100</f>
        <v>10.338152312698213</v>
      </c>
      <c r="G37" s="610"/>
      <c r="H37" s="610"/>
      <c r="I37" s="610">
        <f t="shared" ref="I37:N37" si="6">(+I36*100/I35)-100</f>
        <v>7.3611576712481792</v>
      </c>
      <c r="J37" s="610"/>
      <c r="K37" s="610"/>
      <c r="L37" s="611" t="e">
        <f t="shared" si="6"/>
        <v>#DIV/0!</v>
      </c>
      <c r="M37" s="611"/>
      <c r="N37" s="611" t="e">
        <f t="shared" si="6"/>
        <v>#DIV/0!</v>
      </c>
      <c r="O37" s="610"/>
      <c r="P37" s="610"/>
      <c r="Q37" s="610">
        <f>(+Q36*100/Q35)-100</f>
        <v>2712.1950311021715</v>
      </c>
      <c r="R37" s="610">
        <f>(+R36*100/R35)-100</f>
        <v>2497.665607778365</v>
      </c>
    </row>
    <row r="38" spans="1:18" x14ac:dyDescent="0.2">
      <c r="A38" s="574" t="s">
        <v>344</v>
      </c>
      <c r="B38" s="575">
        <v>2020</v>
      </c>
      <c r="C38" s="576"/>
      <c r="D38" s="61">
        <v>632161</v>
      </c>
      <c r="E38" s="61">
        <v>3666</v>
      </c>
      <c r="F38" s="61">
        <v>1501413</v>
      </c>
      <c r="G38" s="61"/>
      <c r="H38" s="61">
        <v>1500</v>
      </c>
      <c r="I38" s="606">
        <f>SUM(D38:H38)</f>
        <v>2138740</v>
      </c>
      <c r="J38" s="607"/>
      <c r="K38" s="61"/>
      <c r="L38" s="61">
        <v>1236000</v>
      </c>
      <c r="M38" s="61"/>
      <c r="N38" s="606">
        <f>SUM(J38:M38)</f>
        <v>1236000</v>
      </c>
      <c r="O38" s="608"/>
      <c r="P38" s="61"/>
      <c r="Q38" s="609">
        <f>+P38+N38+I38</f>
        <v>3374740</v>
      </c>
      <c r="R38" s="602">
        <f>Q38/Q106*100</f>
        <v>0.39157934376946268</v>
      </c>
    </row>
    <row r="39" spans="1:18" x14ac:dyDescent="0.2">
      <c r="A39" s="580"/>
      <c r="B39" s="411">
        <v>2021</v>
      </c>
      <c r="C39" s="581"/>
      <c r="D39" s="61">
        <v>628017</v>
      </c>
      <c r="E39" s="61">
        <v>0</v>
      </c>
      <c r="F39" s="369">
        <v>1319509</v>
      </c>
      <c r="G39" s="61"/>
      <c r="H39" s="61">
        <v>1500</v>
      </c>
      <c r="I39" s="606">
        <f>SUM(D39:H39)</f>
        <v>1949026</v>
      </c>
      <c r="J39" s="607"/>
      <c r="K39" s="61"/>
      <c r="L39" s="61">
        <v>4161046</v>
      </c>
      <c r="M39" s="61"/>
      <c r="N39" s="606">
        <f>SUM(J39:M39)</f>
        <v>4161046</v>
      </c>
      <c r="O39" s="608"/>
      <c r="P39" s="61"/>
      <c r="Q39" s="609">
        <f>+P39+N39+I39</f>
        <v>6110072</v>
      </c>
      <c r="R39" s="606">
        <f>Q39/Q107*100</f>
        <v>0.67109646106372167</v>
      </c>
    </row>
    <row r="40" spans="1:18" x14ac:dyDescent="0.2">
      <c r="A40" s="580"/>
      <c r="B40" s="411">
        <v>2022</v>
      </c>
      <c r="C40" s="581"/>
      <c r="D40" s="61">
        <v>621366</v>
      </c>
      <c r="E40" s="61">
        <v>4167</v>
      </c>
      <c r="F40" s="61">
        <v>1382630</v>
      </c>
      <c r="G40" s="61"/>
      <c r="H40" s="61">
        <v>1500</v>
      </c>
      <c r="I40" s="606">
        <f>SUM(D40:H40)</f>
        <v>2009663</v>
      </c>
      <c r="J40" s="607"/>
      <c r="K40" s="61"/>
      <c r="L40" s="61">
        <v>1000000</v>
      </c>
      <c r="M40" s="61"/>
      <c r="N40" s="606">
        <f>SUM(J40:M40)</f>
        <v>1000000</v>
      </c>
      <c r="O40" s="608"/>
      <c r="P40" s="61"/>
      <c r="Q40" s="609">
        <f>+P40+N40+I40</f>
        <v>3009663</v>
      </c>
      <c r="R40" s="606">
        <f>Q40/Q108*100</f>
        <v>0.30534745025474602</v>
      </c>
    </row>
    <row r="41" spans="1:18" ht="12.75" thickBot="1" x14ac:dyDescent="0.25">
      <c r="A41" s="600"/>
      <c r="B41" s="589" t="s">
        <v>335</v>
      </c>
      <c r="C41" s="590"/>
      <c r="D41" s="610">
        <f>(+D40*100/D39)-100</f>
        <v>-1.0590477646305771</v>
      </c>
      <c r="E41" s="611" t="e">
        <f t="shared" ref="E41:Q41" si="7">(+E40*100/E39)-100</f>
        <v>#DIV/0!</v>
      </c>
      <c r="F41" s="610">
        <f t="shared" si="7"/>
        <v>4.7836733209095144</v>
      </c>
      <c r="G41" s="610"/>
      <c r="H41" s="610">
        <f t="shared" si="7"/>
        <v>0</v>
      </c>
      <c r="I41" s="610">
        <f t="shared" si="7"/>
        <v>3.1111437199914178</v>
      </c>
      <c r="J41" s="610"/>
      <c r="K41" s="610"/>
      <c r="L41" s="610">
        <f t="shared" si="7"/>
        <v>-75.967581228373831</v>
      </c>
      <c r="M41" s="610"/>
      <c r="N41" s="610">
        <f t="shared" si="7"/>
        <v>-75.967581228373831</v>
      </c>
      <c r="O41" s="610"/>
      <c r="P41" s="610"/>
      <c r="Q41" s="610">
        <f t="shared" si="7"/>
        <v>-50.742593540632583</v>
      </c>
      <c r="R41" s="610">
        <f>(+R40*100/R39)-100</f>
        <v>-54.500214504073682</v>
      </c>
    </row>
    <row r="42" spans="1:18" x14ac:dyDescent="0.2">
      <c r="A42" s="574" t="s">
        <v>345</v>
      </c>
      <c r="B42" s="575">
        <v>2020</v>
      </c>
      <c r="C42" s="576"/>
      <c r="D42" s="61">
        <v>2075616</v>
      </c>
      <c r="E42" s="61">
        <v>17849</v>
      </c>
      <c r="F42" s="61">
        <v>8650776</v>
      </c>
      <c r="G42" s="61"/>
      <c r="H42" s="61">
        <v>25000</v>
      </c>
      <c r="I42" s="606">
        <f>SUM(D42:H42)</f>
        <v>10769241</v>
      </c>
      <c r="J42" s="607"/>
      <c r="K42" s="61"/>
      <c r="L42" s="61">
        <v>7473673</v>
      </c>
      <c r="M42" s="61"/>
      <c r="N42" s="606">
        <f>SUM(J42:M42)</f>
        <v>7473673</v>
      </c>
      <c r="O42" s="608"/>
      <c r="P42" s="61"/>
      <c r="Q42" s="609">
        <f>+P42+N42+I42</f>
        <v>18242914</v>
      </c>
      <c r="R42" s="602">
        <f>Q42/Q106*100</f>
        <v>2.1167699711867414</v>
      </c>
    </row>
    <row r="43" spans="1:18" x14ac:dyDescent="0.2">
      <c r="A43" s="580"/>
      <c r="B43" s="411">
        <v>2021</v>
      </c>
      <c r="C43" s="581"/>
      <c r="D43" s="61">
        <v>2122180</v>
      </c>
      <c r="E43" s="61">
        <v>17849</v>
      </c>
      <c r="F43" s="61">
        <v>7943786</v>
      </c>
      <c r="G43" s="61"/>
      <c r="H43" s="61">
        <v>18000</v>
      </c>
      <c r="I43" s="606">
        <f>SUM(D43:H43)</f>
        <v>10101815</v>
      </c>
      <c r="J43" s="607"/>
      <c r="K43" s="61"/>
      <c r="L43" s="61">
        <v>2180162</v>
      </c>
      <c r="M43" s="61"/>
      <c r="N43" s="606">
        <f>SUM(J43:M43)</f>
        <v>2180162</v>
      </c>
      <c r="O43" s="608"/>
      <c r="P43" s="61"/>
      <c r="Q43" s="609">
        <f>+P43+N43+I43</f>
        <v>12281977</v>
      </c>
      <c r="R43" s="606">
        <f>Q43/Q107*100</f>
        <v>1.348984316316735</v>
      </c>
    </row>
    <row r="44" spans="1:18" x14ac:dyDescent="0.2">
      <c r="A44" s="580"/>
      <c r="B44" s="411">
        <v>2022</v>
      </c>
      <c r="C44" s="581"/>
      <c r="D44" s="61">
        <v>2193749</v>
      </c>
      <c r="E44" s="61">
        <v>20000</v>
      </c>
      <c r="F44" s="61">
        <v>8629554</v>
      </c>
      <c r="G44" s="61"/>
      <c r="H44" s="61">
        <v>0</v>
      </c>
      <c r="I44" s="606">
        <f>SUM(D44:H44)</f>
        <v>10843303</v>
      </c>
      <c r="J44" s="607"/>
      <c r="K44" s="61"/>
      <c r="L44" s="61">
        <v>684036</v>
      </c>
      <c r="M44" s="61"/>
      <c r="N44" s="606">
        <f>SUM(J44:M44)</f>
        <v>684036</v>
      </c>
      <c r="O44" s="608"/>
      <c r="P44" s="61"/>
      <c r="Q44" s="609">
        <f>+P44+N44+I44</f>
        <v>11527339</v>
      </c>
      <c r="R44" s="606">
        <f>Q44/Q108*100</f>
        <v>1.1695141854327522</v>
      </c>
    </row>
    <row r="45" spans="1:18" ht="12.75" thickBot="1" x14ac:dyDescent="0.25">
      <c r="A45" s="600"/>
      <c r="B45" s="589" t="s">
        <v>335</v>
      </c>
      <c r="C45" s="590"/>
      <c r="D45" s="610">
        <f>(+D44*100/D43)-100</f>
        <v>3.372428351977689</v>
      </c>
      <c r="E45" s="610">
        <f t="shared" ref="E45:R45" si="8">(+E44*100/E43)-100</f>
        <v>12.051095299456549</v>
      </c>
      <c r="F45" s="610">
        <f t="shared" si="8"/>
        <v>8.6327602480731542</v>
      </c>
      <c r="G45" s="610"/>
      <c r="H45" s="610">
        <f t="shared" si="8"/>
        <v>-100</v>
      </c>
      <c r="I45" s="610">
        <f t="shared" si="8"/>
        <v>7.3401463004420435</v>
      </c>
      <c r="J45" s="610"/>
      <c r="K45" s="610"/>
      <c r="L45" s="610">
        <f t="shared" si="8"/>
        <v>-68.624533406233112</v>
      </c>
      <c r="M45" s="610"/>
      <c r="N45" s="610">
        <f t="shared" si="8"/>
        <v>-68.624533406233112</v>
      </c>
      <c r="O45" s="610"/>
      <c r="P45" s="610"/>
      <c r="Q45" s="610">
        <f t="shared" si="8"/>
        <v>-6.1442713986518669</v>
      </c>
      <c r="R45" s="610">
        <f t="shared" si="8"/>
        <v>-13.304093213923181</v>
      </c>
    </row>
    <row r="46" spans="1:18" x14ac:dyDescent="0.2">
      <c r="A46" s="574" t="s">
        <v>346</v>
      </c>
      <c r="B46" s="575">
        <v>2020</v>
      </c>
      <c r="C46" s="576"/>
      <c r="D46" s="61">
        <v>266896</v>
      </c>
      <c r="E46" s="61"/>
      <c r="F46" s="61">
        <v>147243</v>
      </c>
      <c r="G46" s="61"/>
      <c r="H46" s="61"/>
      <c r="I46" s="606">
        <f>SUM(D46:H46)</f>
        <v>414139</v>
      </c>
      <c r="J46" s="607"/>
      <c r="K46" s="61"/>
      <c r="L46" s="61">
        <v>3602000</v>
      </c>
      <c r="M46" s="61"/>
      <c r="N46" s="606">
        <f>SUM(J46:M46)</f>
        <v>3602000</v>
      </c>
      <c r="O46" s="608"/>
      <c r="P46" s="61"/>
      <c r="Q46" s="609">
        <f>+P46+N46+I46</f>
        <v>4016139</v>
      </c>
      <c r="R46" s="602">
        <f>Q46/Q106*100</f>
        <v>0.46600243992335588</v>
      </c>
    </row>
    <row r="47" spans="1:18" x14ac:dyDescent="0.2">
      <c r="A47" s="580"/>
      <c r="B47" s="411">
        <v>2021</v>
      </c>
      <c r="C47" s="581"/>
      <c r="D47" s="61">
        <v>264693</v>
      </c>
      <c r="E47" s="61"/>
      <c r="F47" s="61">
        <v>153051</v>
      </c>
      <c r="G47" s="61"/>
      <c r="H47" s="61"/>
      <c r="I47" s="606">
        <f>SUM(D47:H47)</f>
        <v>417744</v>
      </c>
      <c r="J47" s="607"/>
      <c r="K47" s="61"/>
      <c r="L47" s="61">
        <v>1060931</v>
      </c>
      <c r="M47" s="61"/>
      <c r="N47" s="606">
        <f>SUM(J47:M47)</f>
        <v>1060931</v>
      </c>
      <c r="O47" s="608"/>
      <c r="P47" s="61"/>
      <c r="Q47" s="609">
        <f>+P47+N47+I47</f>
        <v>1478675</v>
      </c>
      <c r="R47" s="606">
        <f>Q47/Q107*100</f>
        <v>0.16240947071710427</v>
      </c>
    </row>
    <row r="48" spans="1:18" x14ac:dyDescent="0.2">
      <c r="A48" s="580"/>
      <c r="B48" s="411">
        <v>2022</v>
      </c>
      <c r="C48" s="581"/>
      <c r="D48" s="61">
        <v>261057</v>
      </c>
      <c r="E48" s="61"/>
      <c r="F48" s="61">
        <v>25151</v>
      </c>
      <c r="G48" s="61"/>
      <c r="H48" s="61"/>
      <c r="I48" s="606">
        <f>SUM(D48:H48)</f>
        <v>286208</v>
      </c>
      <c r="J48" s="607"/>
      <c r="K48" s="61"/>
      <c r="L48" s="61">
        <v>0</v>
      </c>
      <c r="M48" s="61"/>
      <c r="N48" s="606">
        <f>SUM(J48:M48)</f>
        <v>0</v>
      </c>
      <c r="O48" s="608"/>
      <c r="P48" s="61"/>
      <c r="Q48" s="609">
        <f>+P48+N48+I48</f>
        <v>286208</v>
      </c>
      <c r="R48" s="606">
        <f>Q48/Q108*100</f>
        <v>2.903743144747779E-2</v>
      </c>
    </row>
    <row r="49" spans="1:18" ht="12.75" thickBot="1" x14ac:dyDescent="0.25">
      <c r="A49" s="600"/>
      <c r="B49" s="589" t="s">
        <v>335</v>
      </c>
      <c r="C49" s="590"/>
      <c r="D49" s="610">
        <f>(+D48*100/D47)-100</f>
        <v>-1.373666851786794</v>
      </c>
      <c r="E49" s="611" t="e">
        <f t="shared" ref="E49:R49" si="9">(+E48*100/E47)-100</f>
        <v>#DIV/0!</v>
      </c>
      <c r="F49" s="610">
        <f t="shared" si="9"/>
        <v>-83.566915603295627</v>
      </c>
      <c r="G49" s="610"/>
      <c r="H49" s="610"/>
      <c r="I49" s="610">
        <f t="shared" si="9"/>
        <v>-31.48722662683366</v>
      </c>
      <c r="J49" s="610"/>
      <c r="K49" s="610"/>
      <c r="L49" s="610">
        <f t="shared" si="9"/>
        <v>-100</v>
      </c>
      <c r="M49" s="610"/>
      <c r="N49" s="610">
        <f t="shared" si="9"/>
        <v>-100</v>
      </c>
      <c r="O49" s="610"/>
      <c r="P49" s="610"/>
      <c r="Q49" s="610">
        <f t="shared" si="9"/>
        <v>-80.64429303261366</v>
      </c>
      <c r="R49" s="610">
        <f t="shared" si="9"/>
        <v>-82.12085088433227</v>
      </c>
    </row>
    <row r="50" spans="1:18" x14ac:dyDescent="0.2">
      <c r="A50" s="574" t="s">
        <v>347</v>
      </c>
      <c r="B50" s="575">
        <v>2020</v>
      </c>
      <c r="C50" s="576"/>
      <c r="D50" s="61">
        <v>210169</v>
      </c>
      <c r="E50" s="61">
        <v>10000</v>
      </c>
      <c r="F50" s="61">
        <v>259817</v>
      </c>
      <c r="G50" s="61"/>
      <c r="H50" s="61"/>
      <c r="I50" s="606">
        <f>SUM(D50:H50)</f>
        <v>479986</v>
      </c>
      <c r="J50" s="607"/>
      <c r="K50" s="61"/>
      <c r="L50" s="61">
        <v>10000</v>
      </c>
      <c r="M50" s="61"/>
      <c r="N50" s="606">
        <f>SUM(J50:M50)</f>
        <v>10000</v>
      </c>
      <c r="O50" s="608"/>
      <c r="P50" s="61"/>
      <c r="Q50" s="609">
        <f>+P50+N50+I50</f>
        <v>489986</v>
      </c>
      <c r="R50" s="602">
        <f>Q50/Q106*100</f>
        <v>5.6854275095629271E-2</v>
      </c>
    </row>
    <row r="51" spans="1:18" x14ac:dyDescent="0.2">
      <c r="A51" s="580"/>
      <c r="B51" s="411">
        <v>2021</v>
      </c>
      <c r="C51" s="581"/>
      <c r="D51" s="61">
        <v>191157</v>
      </c>
      <c r="E51" s="61">
        <v>0</v>
      </c>
      <c r="F51" s="61">
        <v>175262</v>
      </c>
      <c r="G51" s="61"/>
      <c r="H51" s="61"/>
      <c r="I51" s="606">
        <f>SUM(D51:H51)</f>
        <v>366419</v>
      </c>
      <c r="J51" s="607"/>
      <c r="K51" s="61"/>
      <c r="L51" s="61">
        <v>0</v>
      </c>
      <c r="M51" s="61"/>
      <c r="N51" s="606">
        <f>SUM(J51:M51)</f>
        <v>0</v>
      </c>
      <c r="O51" s="608"/>
      <c r="P51" s="61"/>
      <c r="Q51" s="609">
        <f>+P51+N51+I51</f>
        <v>366419</v>
      </c>
      <c r="R51" s="606">
        <f>Q51/Q107*100</f>
        <v>4.0245433141623835E-2</v>
      </c>
    </row>
    <row r="52" spans="1:18" x14ac:dyDescent="0.2">
      <c r="A52" s="580"/>
      <c r="B52" s="411">
        <v>2022</v>
      </c>
      <c r="C52" s="581"/>
      <c r="D52" s="61">
        <v>177234</v>
      </c>
      <c r="E52" s="61">
        <v>3000</v>
      </c>
      <c r="F52" s="61">
        <v>202048</v>
      </c>
      <c r="G52" s="61"/>
      <c r="H52" s="61"/>
      <c r="I52" s="606">
        <f>SUM(D52:H52)</f>
        <v>382282</v>
      </c>
      <c r="J52" s="607"/>
      <c r="K52" s="61"/>
      <c r="L52" s="61">
        <v>25695</v>
      </c>
      <c r="M52" s="61"/>
      <c r="N52" s="606">
        <f>SUM(J52:M52)</f>
        <v>25695</v>
      </c>
      <c r="O52" s="608"/>
      <c r="P52" s="61"/>
      <c r="Q52" s="609">
        <f>+P52+N52+I52</f>
        <v>407977</v>
      </c>
      <c r="R52" s="606">
        <f>Q52/Q108*100</f>
        <v>4.1391589926373984E-2</v>
      </c>
    </row>
    <row r="53" spans="1:18" ht="12.75" thickBot="1" x14ac:dyDescent="0.25">
      <c r="A53" s="600"/>
      <c r="B53" s="589" t="s">
        <v>335</v>
      </c>
      <c r="C53" s="590"/>
      <c r="D53" s="610">
        <f>(+D52*100/D51)-100</f>
        <v>-7.2835418007187798</v>
      </c>
      <c r="E53" s="611" t="e">
        <f t="shared" ref="E53:R53" si="10">(+E52*100/E51)-100</f>
        <v>#DIV/0!</v>
      </c>
      <c r="F53" s="610">
        <f t="shared" si="10"/>
        <v>15.283404274742949</v>
      </c>
      <c r="G53" s="610"/>
      <c r="H53" s="610"/>
      <c r="I53" s="610">
        <f t="shared" si="10"/>
        <v>4.3291969029990298</v>
      </c>
      <c r="J53" s="610"/>
      <c r="K53" s="610"/>
      <c r="L53" s="611" t="e">
        <f t="shared" si="10"/>
        <v>#DIV/0!</v>
      </c>
      <c r="M53" s="610"/>
      <c r="N53" s="611" t="e">
        <f t="shared" si="10"/>
        <v>#DIV/0!</v>
      </c>
      <c r="O53" s="610"/>
      <c r="P53" s="610"/>
      <c r="Q53" s="610">
        <f t="shared" si="10"/>
        <v>11.341660776324375</v>
      </c>
      <c r="R53" s="610">
        <f t="shared" si="10"/>
        <v>2.8479176276145779</v>
      </c>
    </row>
    <row r="54" spans="1:18" x14ac:dyDescent="0.2">
      <c r="A54" s="574" t="s">
        <v>348</v>
      </c>
      <c r="B54" s="575">
        <v>2020</v>
      </c>
      <c r="C54" s="576"/>
      <c r="D54" s="601"/>
      <c r="E54" s="601"/>
      <c r="F54" s="61">
        <v>42804</v>
      </c>
      <c r="G54" s="61"/>
      <c r="H54" s="61"/>
      <c r="I54" s="606">
        <f>SUM(D54:H54)</f>
        <v>42804</v>
      </c>
      <c r="J54" s="607"/>
      <c r="K54" s="61"/>
      <c r="L54" s="61"/>
      <c r="M54" s="61"/>
      <c r="N54" s="613"/>
      <c r="O54" s="608"/>
      <c r="P54" s="61"/>
      <c r="Q54" s="609">
        <f>+P54+N54+I54</f>
        <v>42804</v>
      </c>
      <c r="R54" s="602">
        <f>Q54/Q106*100</f>
        <v>4.9666529068041034E-3</v>
      </c>
    </row>
    <row r="55" spans="1:18" x14ac:dyDescent="0.2">
      <c r="A55" s="580"/>
      <c r="B55" s="411">
        <v>2021</v>
      </c>
      <c r="C55" s="581"/>
      <c r="D55" s="61"/>
      <c r="E55" s="61"/>
      <c r="F55" s="61">
        <v>25683</v>
      </c>
      <c r="G55" s="61"/>
      <c r="H55" s="61"/>
      <c r="I55" s="606">
        <f>SUM(D55:H55)</f>
        <v>25683</v>
      </c>
      <c r="J55" s="607"/>
      <c r="K55" s="61"/>
      <c r="L55" s="61"/>
      <c r="M55" s="61"/>
      <c r="N55" s="613"/>
      <c r="O55" s="608"/>
      <c r="P55" s="61"/>
      <c r="Q55" s="609">
        <f>+P55+N55+I55</f>
        <v>25683</v>
      </c>
      <c r="R55" s="606">
        <f>Q55/Q107*100</f>
        <v>2.8208784461949978E-3</v>
      </c>
    </row>
    <row r="56" spans="1:18" x14ac:dyDescent="0.2">
      <c r="A56" s="580"/>
      <c r="B56" s="411">
        <v>2022</v>
      </c>
      <c r="C56" s="581"/>
      <c r="D56" s="61"/>
      <c r="E56" s="61"/>
      <c r="F56" s="61">
        <v>24483</v>
      </c>
      <c r="G56" s="61"/>
      <c r="H56" s="61"/>
      <c r="I56" s="606">
        <f>SUM(D56:H56)</f>
        <v>24483</v>
      </c>
      <c r="J56" s="607"/>
      <c r="K56" s="61"/>
      <c r="L56" s="61"/>
      <c r="M56" s="61"/>
      <c r="N56" s="613"/>
      <c r="O56" s="608"/>
      <c r="P56" s="61"/>
      <c r="Q56" s="609">
        <f>+P56+N56+I56</f>
        <v>24483</v>
      </c>
      <c r="R56" s="606">
        <f>Q56/Q108*100</f>
        <v>2.4839397715249005E-3</v>
      </c>
    </row>
    <row r="57" spans="1:18" ht="12.75" thickBot="1" x14ac:dyDescent="0.25">
      <c r="A57" s="600"/>
      <c r="B57" s="589" t="s">
        <v>335</v>
      </c>
      <c r="C57" s="590"/>
      <c r="D57" s="610"/>
      <c r="E57" s="610"/>
      <c r="F57" s="610">
        <f>(+F56*100/F55)-100</f>
        <v>-4.6723513608223328</v>
      </c>
      <c r="G57" s="610"/>
      <c r="H57" s="610"/>
      <c r="I57" s="610">
        <f t="shared" ref="I57:R57" si="11">(+I56*100/I55)-100</f>
        <v>-4.6723513608223328</v>
      </c>
      <c r="J57" s="610"/>
      <c r="K57" s="610"/>
      <c r="L57" s="610"/>
      <c r="M57" s="610"/>
      <c r="N57" s="610"/>
      <c r="O57" s="610"/>
      <c r="P57" s="610"/>
      <c r="Q57" s="610">
        <f t="shared" si="11"/>
        <v>-4.6723513608223328</v>
      </c>
      <c r="R57" s="610">
        <f t="shared" si="11"/>
        <v>-11.944459185208217</v>
      </c>
    </row>
    <row r="58" spans="1:18" x14ac:dyDescent="0.2">
      <c r="A58" s="574" t="s">
        <v>349</v>
      </c>
      <c r="B58" s="575">
        <v>2020</v>
      </c>
      <c r="C58" s="576"/>
      <c r="D58" s="61">
        <v>127933</v>
      </c>
      <c r="E58" s="61"/>
      <c r="F58" s="61">
        <v>66519</v>
      </c>
      <c r="G58" s="61"/>
      <c r="H58" s="61"/>
      <c r="I58" s="606">
        <f>SUM(D58:H58)</f>
        <v>194452</v>
      </c>
      <c r="J58" s="607"/>
      <c r="K58" s="61"/>
      <c r="L58" s="61">
        <v>3000000</v>
      </c>
      <c r="M58" s="61"/>
      <c r="N58" s="606">
        <f>SUM(J58:M58)</f>
        <v>3000000</v>
      </c>
      <c r="O58" s="608"/>
      <c r="P58" s="61"/>
      <c r="Q58" s="609">
        <f>+P58+N58+I58</f>
        <v>3194452</v>
      </c>
      <c r="R58" s="602">
        <f>Q58/Q106*100</f>
        <v>0.37066008577343662</v>
      </c>
    </row>
    <row r="59" spans="1:18" x14ac:dyDescent="0.2">
      <c r="A59" s="580"/>
      <c r="B59" s="411">
        <v>2021</v>
      </c>
      <c r="C59" s="581"/>
      <c r="D59" s="61">
        <v>127933</v>
      </c>
      <c r="E59" s="61"/>
      <c r="F59" s="420">
        <v>37618</v>
      </c>
      <c r="G59" s="61"/>
      <c r="H59" s="61"/>
      <c r="I59" s="606">
        <f>SUM(D59:H59)</f>
        <v>165551</v>
      </c>
      <c r="J59" s="607"/>
      <c r="K59" s="61"/>
      <c r="L59" s="61">
        <v>2700000</v>
      </c>
      <c r="M59" s="61"/>
      <c r="N59" s="606">
        <f>SUM(J59:M59)</f>
        <v>2700000</v>
      </c>
      <c r="O59" s="608"/>
      <c r="P59" s="61"/>
      <c r="Q59" s="609">
        <f>+P59+N59+I59</f>
        <v>2865551</v>
      </c>
      <c r="R59" s="606">
        <f>Q59/Q107*100</f>
        <v>0.3147362478048718</v>
      </c>
    </row>
    <row r="60" spans="1:18" x14ac:dyDescent="0.2">
      <c r="A60" s="580"/>
      <c r="B60" s="411">
        <v>2022</v>
      </c>
      <c r="C60" s="581"/>
      <c r="D60" s="61">
        <v>124865</v>
      </c>
      <c r="E60" s="61"/>
      <c r="F60" s="61">
        <v>10618</v>
      </c>
      <c r="G60" s="61"/>
      <c r="H60" s="61"/>
      <c r="I60" s="606">
        <f>SUM(D60:H60)</f>
        <v>135483</v>
      </c>
      <c r="J60" s="607"/>
      <c r="K60" s="61"/>
      <c r="L60" s="61">
        <v>2455109</v>
      </c>
      <c r="M60" s="61"/>
      <c r="N60" s="606">
        <f>SUM(J60:M60)</f>
        <v>2455109</v>
      </c>
      <c r="O60" s="608"/>
      <c r="P60" s="61"/>
      <c r="Q60" s="609">
        <f>+P60+N60+I60</f>
        <v>2590592</v>
      </c>
      <c r="R60" s="606">
        <f>Q60/Q108*100</f>
        <v>0.26283031085219272</v>
      </c>
    </row>
    <row r="61" spans="1:18" ht="12.75" thickBot="1" x14ac:dyDescent="0.25">
      <c r="A61" s="600"/>
      <c r="B61" s="589" t="s">
        <v>335</v>
      </c>
      <c r="C61" s="590"/>
      <c r="D61" s="610">
        <f>(+D60*100/D59)-100</f>
        <v>-2.3981302713138888</v>
      </c>
      <c r="E61" s="610"/>
      <c r="F61" s="610">
        <f t="shared" ref="F61:R61" si="12">(+F60*100/F59)-100</f>
        <v>-71.774150672550377</v>
      </c>
      <c r="G61" s="610"/>
      <c r="H61" s="610"/>
      <c r="I61" s="610">
        <f t="shared" si="12"/>
        <v>-18.162378964790307</v>
      </c>
      <c r="J61" s="610"/>
      <c r="K61" s="610"/>
      <c r="L61" s="610">
        <f t="shared" si="12"/>
        <v>-9.0700370370370393</v>
      </c>
      <c r="M61" s="610"/>
      <c r="N61" s="610">
        <f t="shared" si="12"/>
        <v>-9.0700370370370393</v>
      </c>
      <c r="O61" s="610"/>
      <c r="P61" s="610"/>
      <c r="Q61" s="610">
        <f t="shared" si="12"/>
        <v>-9.5953273907880146</v>
      </c>
      <c r="R61" s="610">
        <f t="shared" si="12"/>
        <v>-16.491884018665502</v>
      </c>
    </row>
    <row r="62" spans="1:18" x14ac:dyDescent="0.2">
      <c r="A62" s="574" t="s">
        <v>350</v>
      </c>
      <c r="B62" s="575">
        <v>2020</v>
      </c>
      <c r="C62" s="576"/>
      <c r="D62" s="61">
        <v>1568332</v>
      </c>
      <c r="E62" s="61">
        <v>20002</v>
      </c>
      <c r="F62" s="61">
        <v>5148746</v>
      </c>
      <c r="G62" s="61"/>
      <c r="H62" s="61">
        <v>3756</v>
      </c>
      <c r="I62" s="606">
        <f>SUM(D62:H62)</f>
        <v>6740836</v>
      </c>
      <c r="J62" s="607"/>
      <c r="K62" s="61"/>
      <c r="L62" s="61">
        <v>119049726</v>
      </c>
      <c r="M62" s="61"/>
      <c r="N62" s="606">
        <f>SUM(J62:M62)</f>
        <v>119049726</v>
      </c>
      <c r="O62" s="608"/>
      <c r="P62" s="61"/>
      <c r="Q62" s="609">
        <f>+P62+N62+I62</f>
        <v>125790562</v>
      </c>
      <c r="R62" s="602">
        <f>Q62/Q106*100</f>
        <v>14.595786851832113</v>
      </c>
    </row>
    <row r="63" spans="1:18" x14ac:dyDescent="0.2">
      <c r="A63" s="580"/>
      <c r="B63" s="411">
        <v>2021</v>
      </c>
      <c r="C63" s="581"/>
      <c r="D63" s="61">
        <v>1880804</v>
      </c>
      <c r="E63" s="61">
        <v>4000</v>
      </c>
      <c r="F63" s="369">
        <v>1419942</v>
      </c>
      <c r="G63" s="61"/>
      <c r="H63" s="61">
        <v>3756</v>
      </c>
      <c r="I63" s="606">
        <f>SUM(D63:H63)</f>
        <v>3308502</v>
      </c>
      <c r="J63" s="607"/>
      <c r="K63" s="61"/>
      <c r="L63" s="369">
        <v>85172047</v>
      </c>
      <c r="M63" s="61"/>
      <c r="N63" s="606">
        <f>SUM(J63:M63)</f>
        <v>85172047</v>
      </c>
      <c r="O63" s="608"/>
      <c r="P63" s="61"/>
      <c r="Q63" s="609">
        <f>+P63+N63+I63</f>
        <v>88480549</v>
      </c>
      <c r="R63" s="606">
        <f>Q63/Q107*100</f>
        <v>9.718213354421227</v>
      </c>
    </row>
    <row r="64" spans="1:18" x14ac:dyDescent="0.2">
      <c r="A64" s="580"/>
      <c r="B64" s="411">
        <v>2022</v>
      </c>
      <c r="C64" s="581"/>
      <c r="D64" s="61">
        <v>1975348</v>
      </c>
      <c r="E64" s="61">
        <v>7908</v>
      </c>
      <c r="F64" s="61">
        <v>8121390</v>
      </c>
      <c r="G64" s="61"/>
      <c r="H64" s="61">
        <v>0</v>
      </c>
      <c r="I64" s="606">
        <f>SUM(D64:H64)</f>
        <v>10104646</v>
      </c>
      <c r="J64" s="607"/>
      <c r="K64" s="61"/>
      <c r="L64" s="61">
        <v>80065816</v>
      </c>
      <c r="M64" s="61"/>
      <c r="N64" s="606">
        <f>SUM(J64:M64)</f>
        <v>80065816</v>
      </c>
      <c r="O64" s="608"/>
      <c r="P64" s="61"/>
      <c r="Q64" s="609">
        <f>+P64+N64+I64</f>
        <v>90170462</v>
      </c>
      <c r="R64" s="606">
        <f>Q64/Q108*100</f>
        <v>9.148306856944604</v>
      </c>
    </row>
    <row r="65" spans="1:18" ht="12.75" thickBot="1" x14ac:dyDescent="0.25">
      <c r="A65" s="600"/>
      <c r="B65" s="589" t="s">
        <v>335</v>
      </c>
      <c r="C65" s="590"/>
      <c r="D65" s="610">
        <f>(+D64*100/D63)-100</f>
        <v>5.0267864168727812</v>
      </c>
      <c r="E65" s="610">
        <f t="shared" ref="E65:R65" si="13">(+E64*100/E63)-100</f>
        <v>97.699999999999989</v>
      </c>
      <c r="F65" s="610">
        <f t="shared" si="13"/>
        <v>471.95223466873995</v>
      </c>
      <c r="G65" s="610"/>
      <c r="H65" s="610">
        <f t="shared" si="13"/>
        <v>-100</v>
      </c>
      <c r="I65" s="610">
        <f t="shared" si="13"/>
        <v>205.4145350373069</v>
      </c>
      <c r="J65" s="610"/>
      <c r="K65" s="610"/>
      <c r="L65" s="610">
        <f t="shared" si="13"/>
        <v>-5.9951958181772937</v>
      </c>
      <c r="M65" s="610"/>
      <c r="N65" s="610">
        <f t="shared" si="13"/>
        <v>-5.9951958181772937</v>
      </c>
      <c r="O65" s="610"/>
      <c r="P65" s="610"/>
      <c r="Q65" s="610">
        <f t="shared" si="13"/>
        <v>1.9099259883660977</v>
      </c>
      <c r="R65" s="610">
        <f t="shared" si="13"/>
        <v>-5.864313497679575</v>
      </c>
    </row>
    <row r="66" spans="1:18" x14ac:dyDescent="0.2">
      <c r="A66" s="574" t="s">
        <v>351</v>
      </c>
      <c r="B66" s="575">
        <v>2020</v>
      </c>
      <c r="C66" s="576"/>
      <c r="D66" s="61">
        <v>39191</v>
      </c>
      <c r="E66" s="61"/>
      <c r="F66" s="61">
        <v>23017</v>
      </c>
      <c r="G66" s="61"/>
      <c r="H66" s="61"/>
      <c r="I66" s="606">
        <f>SUM(D66:H66)</f>
        <v>62208</v>
      </c>
      <c r="J66" s="607"/>
      <c r="K66" s="61"/>
      <c r="L66" s="61">
        <v>7450</v>
      </c>
      <c r="M66" s="61"/>
      <c r="N66" s="606">
        <f>SUM(J66:M66)</f>
        <v>7450</v>
      </c>
      <c r="O66" s="608"/>
      <c r="P66" s="61"/>
      <c r="Q66" s="609">
        <f>+P66+N66+I66</f>
        <v>69658</v>
      </c>
      <c r="R66" s="602">
        <f>Q66/Q106*100</f>
        <v>8.0825882670348629E-3</v>
      </c>
    </row>
    <row r="67" spans="1:18" x14ac:dyDescent="0.2">
      <c r="A67" s="580"/>
      <c r="B67" s="411">
        <v>2021</v>
      </c>
      <c r="C67" s="581"/>
      <c r="D67" s="61">
        <v>42106</v>
      </c>
      <c r="E67" s="61"/>
      <c r="F67" s="61">
        <v>33076</v>
      </c>
      <c r="G67" s="61"/>
      <c r="H67" s="61"/>
      <c r="I67" s="606">
        <f>SUM(D67:H67)</f>
        <v>75182</v>
      </c>
      <c r="J67" s="607"/>
      <c r="K67" s="61"/>
      <c r="L67" s="61">
        <v>0</v>
      </c>
      <c r="M67" s="61"/>
      <c r="N67" s="606">
        <f>SUM(J67:M67)</f>
        <v>0</v>
      </c>
      <c r="O67" s="608"/>
      <c r="P67" s="61"/>
      <c r="Q67" s="609">
        <f>+P67+N67+I67</f>
        <v>75182</v>
      </c>
      <c r="R67" s="606">
        <f>Q67/Q107*100</f>
        <v>8.2575744010369642E-3</v>
      </c>
    </row>
    <row r="68" spans="1:18" x14ac:dyDescent="0.2">
      <c r="A68" s="580"/>
      <c r="B68" s="411">
        <v>2022</v>
      </c>
      <c r="C68" s="581"/>
      <c r="D68" s="61">
        <v>24509</v>
      </c>
      <c r="E68" s="61"/>
      <c r="F68" s="61">
        <v>26220</v>
      </c>
      <c r="G68" s="61"/>
      <c r="H68" s="61"/>
      <c r="I68" s="606">
        <f>SUM(D68:H68)</f>
        <v>50729</v>
      </c>
      <c r="J68" s="607"/>
      <c r="K68" s="61"/>
      <c r="L68" s="61">
        <v>0</v>
      </c>
      <c r="M68" s="61"/>
      <c r="N68" s="606">
        <f>SUM(J68:M68)</f>
        <v>0</v>
      </c>
      <c r="O68" s="608"/>
      <c r="P68" s="61"/>
      <c r="Q68" s="609">
        <f>+P68+N68+I68</f>
        <v>50729</v>
      </c>
      <c r="R68" s="606">
        <f>Q68/Q108*100</f>
        <v>5.14674593267519E-3</v>
      </c>
    </row>
    <row r="69" spans="1:18" ht="12.75" thickBot="1" x14ac:dyDescent="0.25">
      <c r="A69" s="600"/>
      <c r="B69" s="589" t="s">
        <v>335</v>
      </c>
      <c r="C69" s="590"/>
      <c r="D69" s="610">
        <f>(+D68*100/D67)-100</f>
        <v>-41.792143637486348</v>
      </c>
      <c r="E69" s="610"/>
      <c r="F69" s="610">
        <f t="shared" ref="F69:R69" si="14">(+F68*100/F67)-100</f>
        <v>-20.728020316846056</v>
      </c>
      <c r="G69" s="610"/>
      <c r="H69" s="610"/>
      <c r="I69" s="610">
        <f t="shared" si="14"/>
        <v>-32.525072490755761</v>
      </c>
      <c r="J69" s="610"/>
      <c r="K69" s="610"/>
      <c r="L69" s="611" t="e">
        <f t="shared" si="14"/>
        <v>#DIV/0!</v>
      </c>
      <c r="M69" s="610"/>
      <c r="N69" s="611" t="e">
        <f t="shared" si="14"/>
        <v>#DIV/0!</v>
      </c>
      <c r="O69" s="610"/>
      <c r="P69" s="610"/>
      <c r="Q69" s="610">
        <f t="shared" si="14"/>
        <v>-32.525072490755761</v>
      </c>
      <c r="R69" s="610">
        <f t="shared" si="14"/>
        <v>-37.672424337722283</v>
      </c>
    </row>
    <row r="70" spans="1:18" x14ac:dyDescent="0.2">
      <c r="A70" s="574" t="s">
        <v>352</v>
      </c>
      <c r="B70" s="575">
        <v>2020</v>
      </c>
      <c r="C70" s="576"/>
      <c r="D70" s="601"/>
      <c r="E70" s="601"/>
      <c r="F70" s="61">
        <v>129515</v>
      </c>
      <c r="G70" s="61"/>
      <c r="H70" s="61"/>
      <c r="I70" s="606">
        <f>SUM(D70:H70)</f>
        <v>129515</v>
      </c>
      <c r="J70" s="607"/>
      <c r="K70" s="61"/>
      <c r="L70" s="61">
        <v>3000000</v>
      </c>
      <c r="M70" s="61"/>
      <c r="N70" s="606">
        <f>SUM(J70:M70)</f>
        <v>3000000</v>
      </c>
      <c r="O70" s="608"/>
      <c r="P70" s="61"/>
      <c r="Q70" s="609">
        <f>+P70+N70+I70</f>
        <v>3129515</v>
      </c>
      <c r="R70" s="602">
        <f>Q70/Q106*100</f>
        <v>0.36312528669369787</v>
      </c>
    </row>
    <row r="71" spans="1:18" x14ac:dyDescent="0.2">
      <c r="A71" s="580"/>
      <c r="B71" s="411">
        <v>2021</v>
      </c>
      <c r="C71" s="581"/>
      <c r="D71" s="61"/>
      <c r="E71" s="61"/>
      <c r="F71" s="61">
        <v>389498</v>
      </c>
      <c r="G71" s="61"/>
      <c r="H71" s="61"/>
      <c r="I71" s="606">
        <f>SUM(D71:H71)</f>
        <v>389498</v>
      </c>
      <c r="J71" s="607"/>
      <c r="K71" s="61"/>
      <c r="L71" s="61">
        <v>5010000</v>
      </c>
      <c r="M71" s="61"/>
      <c r="N71" s="606">
        <f>SUM(J71:M71)</f>
        <v>5010000</v>
      </c>
      <c r="O71" s="608"/>
      <c r="P71" s="61"/>
      <c r="Q71" s="609">
        <f>+P71+N71+I71</f>
        <v>5399498</v>
      </c>
      <c r="R71" s="606">
        <f>Q71/Q107*100</f>
        <v>0.59305094920659585</v>
      </c>
    </row>
    <row r="72" spans="1:18" x14ac:dyDescent="0.2">
      <c r="A72" s="580"/>
      <c r="B72" s="411">
        <v>2022</v>
      </c>
      <c r="C72" s="581"/>
      <c r="D72" s="61"/>
      <c r="E72" s="61"/>
      <c r="F72" s="61">
        <v>719834</v>
      </c>
      <c r="G72" s="61"/>
      <c r="H72" s="61"/>
      <c r="I72" s="606">
        <f>SUM(D72:H72)</f>
        <v>719834</v>
      </c>
      <c r="J72" s="607"/>
      <c r="K72" s="61"/>
      <c r="L72" s="61">
        <v>13274660</v>
      </c>
      <c r="M72" s="61"/>
      <c r="N72" s="606">
        <f>SUM(J72:M72)</f>
        <v>13274660</v>
      </c>
      <c r="O72" s="608"/>
      <c r="P72" s="61"/>
      <c r="Q72" s="609">
        <f>+P72+N72+I72</f>
        <v>13994494</v>
      </c>
      <c r="R72" s="606">
        <f>Q72/Q108*100</f>
        <v>1.4198211097074129</v>
      </c>
    </row>
    <row r="73" spans="1:18" ht="12.75" thickBot="1" x14ac:dyDescent="0.25">
      <c r="A73" s="600"/>
      <c r="B73" s="589" t="s">
        <v>335</v>
      </c>
      <c r="C73" s="590"/>
      <c r="D73" s="614"/>
      <c r="E73" s="614"/>
      <c r="F73" s="610">
        <f>(+F72*100/F71)-100</f>
        <v>84.810705061386699</v>
      </c>
      <c r="G73" s="610"/>
      <c r="H73" s="610"/>
      <c r="I73" s="610">
        <f t="shared" ref="I73:R73" si="15">(+I72*100/I71)-100</f>
        <v>84.810705061386699</v>
      </c>
      <c r="J73" s="610"/>
      <c r="K73" s="610"/>
      <c r="L73" s="610">
        <f t="shared" si="15"/>
        <v>164.96327345309379</v>
      </c>
      <c r="M73" s="610"/>
      <c r="N73" s="610">
        <f t="shared" si="15"/>
        <v>164.96327345309379</v>
      </c>
      <c r="O73" s="610"/>
      <c r="P73" s="610"/>
      <c r="Q73" s="610">
        <f t="shared" si="15"/>
        <v>159.18139056630821</v>
      </c>
      <c r="R73" s="610">
        <f t="shared" si="15"/>
        <v>139.40963446848858</v>
      </c>
    </row>
    <row r="74" spans="1:18" x14ac:dyDescent="0.2">
      <c r="A74" s="574" t="s">
        <v>353</v>
      </c>
      <c r="B74" s="575">
        <v>2020</v>
      </c>
      <c r="C74" s="576"/>
      <c r="D74" s="601"/>
      <c r="E74" s="601"/>
      <c r="F74" s="61">
        <v>804317</v>
      </c>
      <c r="G74" s="61"/>
      <c r="H74" s="61"/>
      <c r="I74" s="606">
        <f>SUM(D74:H74)</f>
        <v>804317</v>
      </c>
      <c r="J74" s="607"/>
      <c r="K74" s="61"/>
      <c r="L74" s="61">
        <v>2535765</v>
      </c>
      <c r="M74" s="61"/>
      <c r="N74" s="606">
        <f>SUM(J74:M74)</f>
        <v>2535765</v>
      </c>
      <c r="O74" s="608"/>
      <c r="P74" s="61"/>
      <c r="Q74" s="609">
        <f>+P74+N74+I74</f>
        <v>3340082</v>
      </c>
      <c r="R74" s="602">
        <f>Q74/Q106*100</f>
        <v>0.38755789118456363</v>
      </c>
    </row>
    <row r="75" spans="1:18" x14ac:dyDescent="0.2">
      <c r="A75" s="580"/>
      <c r="B75" s="411">
        <v>2021</v>
      </c>
      <c r="C75" s="581"/>
      <c r="D75" s="61"/>
      <c r="E75" s="61"/>
      <c r="F75" s="61">
        <v>48712</v>
      </c>
      <c r="G75" s="61"/>
      <c r="H75" s="61"/>
      <c r="I75" s="606">
        <f>SUM(D75:H75)</f>
        <v>48712</v>
      </c>
      <c r="J75" s="607"/>
      <c r="K75" s="61"/>
      <c r="L75" s="369">
        <v>16591443</v>
      </c>
      <c r="M75" s="61"/>
      <c r="N75" s="606">
        <f>SUM(J75:M75)</f>
        <v>16591443</v>
      </c>
      <c r="O75" s="608"/>
      <c r="P75" s="61"/>
      <c r="Q75" s="609">
        <f>+P75+N75+I75</f>
        <v>16640155</v>
      </c>
      <c r="R75" s="606">
        <f>Q75/Q107*100</f>
        <v>1.8276624452300716</v>
      </c>
    </row>
    <row r="76" spans="1:18" x14ac:dyDescent="0.2">
      <c r="A76" s="580"/>
      <c r="B76" s="411">
        <v>2022</v>
      </c>
      <c r="C76" s="581"/>
      <c r="D76" s="61"/>
      <c r="E76" s="61"/>
      <c r="F76" s="61">
        <v>814823</v>
      </c>
      <c r="G76" s="61"/>
      <c r="H76" s="61"/>
      <c r="I76" s="606">
        <f>SUM(D76:H76)</f>
        <v>814823</v>
      </c>
      <c r="J76" s="607"/>
      <c r="K76" s="61"/>
      <c r="L76" s="61">
        <v>0</v>
      </c>
      <c r="M76" s="61"/>
      <c r="N76" s="606">
        <f>SUM(J76:M76)</f>
        <v>0</v>
      </c>
      <c r="O76" s="608"/>
      <c r="P76" s="61"/>
      <c r="Q76" s="609">
        <f>+P76+N76+I76</f>
        <v>814823</v>
      </c>
      <c r="R76" s="606">
        <f>Q76/Q108*100</f>
        <v>8.2668433462126129E-2</v>
      </c>
    </row>
    <row r="77" spans="1:18" ht="12.75" thickBot="1" x14ac:dyDescent="0.25">
      <c r="A77" s="600"/>
      <c r="B77" s="589" t="s">
        <v>335</v>
      </c>
      <c r="C77" s="590"/>
      <c r="D77" s="614"/>
      <c r="E77" s="614"/>
      <c r="F77" s="610">
        <f>(+F76*100/F75)-100</f>
        <v>1572.7356708819182</v>
      </c>
      <c r="G77" s="610"/>
      <c r="H77" s="610"/>
      <c r="I77" s="610">
        <f t="shared" ref="I77:R77" si="16">(+I76*100/I75)-100</f>
        <v>1572.7356708819182</v>
      </c>
      <c r="J77" s="610"/>
      <c r="K77" s="610"/>
      <c r="L77" s="610">
        <f t="shared" si="16"/>
        <v>-100</v>
      </c>
      <c r="M77" s="610"/>
      <c r="N77" s="610">
        <f t="shared" si="16"/>
        <v>-100</v>
      </c>
      <c r="O77" s="610"/>
      <c r="P77" s="610"/>
      <c r="Q77" s="610">
        <f t="shared" si="16"/>
        <v>-95.103272776004786</v>
      </c>
      <c r="R77" s="610">
        <f t="shared" si="16"/>
        <v>-95.476821571845591</v>
      </c>
    </row>
    <row r="78" spans="1:18" x14ac:dyDescent="0.2">
      <c r="A78" s="574" t="s">
        <v>354</v>
      </c>
      <c r="B78" s="575">
        <v>2020</v>
      </c>
      <c r="C78" s="576"/>
      <c r="D78" s="61">
        <v>278322</v>
      </c>
      <c r="E78" s="61">
        <v>10000</v>
      </c>
      <c r="F78" s="61">
        <v>45560</v>
      </c>
      <c r="G78" s="61"/>
      <c r="H78" s="61"/>
      <c r="I78" s="606">
        <f>SUM(D78:H78)</f>
        <v>333882</v>
      </c>
      <c r="J78" s="607"/>
      <c r="K78" s="61"/>
      <c r="L78" s="61">
        <v>4738488</v>
      </c>
      <c r="M78" s="61"/>
      <c r="N78" s="606">
        <f>SUM(J78:M78)</f>
        <v>4738488</v>
      </c>
      <c r="O78" s="608"/>
      <c r="P78" s="61"/>
      <c r="Q78" s="609">
        <f>+P78+N78+I78</f>
        <v>5072370</v>
      </c>
      <c r="R78" s="602">
        <f>Q78/Q106*100</f>
        <v>0.58855950857130013</v>
      </c>
    </row>
    <row r="79" spans="1:18" x14ac:dyDescent="0.2">
      <c r="A79" s="580"/>
      <c r="B79" s="411">
        <v>2021</v>
      </c>
      <c r="C79" s="581"/>
      <c r="D79" s="61">
        <v>270175</v>
      </c>
      <c r="E79" s="61">
        <v>0</v>
      </c>
      <c r="F79" s="61">
        <v>40560</v>
      </c>
      <c r="G79" s="61"/>
      <c r="H79" s="61"/>
      <c r="I79" s="606">
        <f>SUM(D79:H79)</f>
        <v>310735</v>
      </c>
      <c r="J79" s="607"/>
      <c r="K79" s="61"/>
      <c r="L79" s="61">
        <v>1000000</v>
      </c>
      <c r="M79" s="61"/>
      <c r="N79" s="606">
        <f>SUM(J79:M79)</f>
        <v>1000000</v>
      </c>
      <c r="O79" s="608"/>
      <c r="P79" s="61"/>
      <c r="Q79" s="609">
        <f>+P79+N79+I79</f>
        <v>1310735</v>
      </c>
      <c r="R79" s="606">
        <f>Q79/Q107*100</f>
        <v>0.14396387143921663</v>
      </c>
    </row>
    <row r="80" spans="1:18" x14ac:dyDescent="0.2">
      <c r="A80" s="580"/>
      <c r="B80" s="411">
        <v>2022</v>
      </c>
      <c r="C80" s="581"/>
      <c r="D80" s="61">
        <v>259129</v>
      </c>
      <c r="E80" s="61">
        <v>3000</v>
      </c>
      <c r="F80" s="61">
        <v>950005</v>
      </c>
      <c r="G80" s="61"/>
      <c r="H80" s="61"/>
      <c r="I80" s="606">
        <f>SUM(D80:H80)</f>
        <v>1212134</v>
      </c>
      <c r="J80" s="607"/>
      <c r="K80" s="61"/>
      <c r="L80" s="61">
        <v>5985615</v>
      </c>
      <c r="M80" s="61"/>
      <c r="N80" s="606">
        <f>SUM(J80:M80)</f>
        <v>5985615</v>
      </c>
      <c r="O80" s="608"/>
      <c r="P80" s="61"/>
      <c r="Q80" s="609">
        <f>+P80+N80+I80</f>
        <v>7197749</v>
      </c>
      <c r="R80" s="606">
        <f>Q80/Q108*100</f>
        <v>0.73025262453758044</v>
      </c>
    </row>
    <row r="81" spans="1:18" ht="12.75" thickBot="1" x14ac:dyDescent="0.25">
      <c r="A81" s="600"/>
      <c r="B81" s="589" t="s">
        <v>335</v>
      </c>
      <c r="C81" s="590"/>
      <c r="D81" s="610">
        <f>(+D80*100/D79)-100</f>
        <v>-4.08846118256686</v>
      </c>
      <c r="E81" s="611" t="e">
        <f t="shared" ref="E81:R81" si="17">(+E80*100/E79)-100</f>
        <v>#DIV/0!</v>
      </c>
      <c r="F81" s="610">
        <f t="shared" si="17"/>
        <v>2242.2214003944773</v>
      </c>
      <c r="G81" s="610"/>
      <c r="H81" s="610"/>
      <c r="I81" s="610">
        <f t="shared" si="17"/>
        <v>290.08608621494199</v>
      </c>
      <c r="J81" s="610"/>
      <c r="K81" s="610"/>
      <c r="L81" s="610">
        <f t="shared" si="17"/>
        <v>498.56150000000002</v>
      </c>
      <c r="M81" s="610"/>
      <c r="N81" s="610">
        <f t="shared" si="17"/>
        <v>498.56150000000002</v>
      </c>
      <c r="O81" s="610"/>
      <c r="P81" s="610"/>
      <c r="Q81" s="610">
        <f t="shared" si="17"/>
        <v>449.13838418902367</v>
      </c>
      <c r="R81" s="610">
        <f t="shared" si="17"/>
        <v>407.24714279853356</v>
      </c>
    </row>
    <row r="82" spans="1:18" x14ac:dyDescent="0.2">
      <c r="A82" s="574" t="s">
        <v>355</v>
      </c>
      <c r="B82" s="575">
        <v>2020</v>
      </c>
      <c r="C82" s="576"/>
      <c r="D82" s="61">
        <v>116747771</v>
      </c>
      <c r="E82" s="61">
        <v>173540</v>
      </c>
      <c r="F82" s="61">
        <v>37176494</v>
      </c>
      <c r="G82" s="61"/>
      <c r="H82" s="61">
        <v>590271</v>
      </c>
      <c r="I82" s="606">
        <f>SUM(D82:H82)</f>
        <v>154688076</v>
      </c>
      <c r="J82" s="607"/>
      <c r="K82" s="61"/>
      <c r="L82" s="61">
        <v>54586593</v>
      </c>
      <c r="M82" s="61"/>
      <c r="N82" s="606">
        <f>SUM(J82:M82)</f>
        <v>54586593</v>
      </c>
      <c r="O82" s="608"/>
      <c r="P82" s="61"/>
      <c r="Q82" s="609">
        <f>+P82+N82+I82</f>
        <v>209274669</v>
      </c>
      <c r="R82" s="602">
        <f>Q82/Q106*100</f>
        <v>24.282652161230647</v>
      </c>
    </row>
    <row r="83" spans="1:18" x14ac:dyDescent="0.2">
      <c r="A83" s="580"/>
      <c r="B83" s="411">
        <v>2021</v>
      </c>
      <c r="C83" s="581"/>
      <c r="D83" s="61">
        <v>127351596</v>
      </c>
      <c r="E83" s="61">
        <v>173540</v>
      </c>
      <c r="F83" s="369">
        <v>43542592</v>
      </c>
      <c r="G83" s="61"/>
      <c r="H83" s="61">
        <v>569271</v>
      </c>
      <c r="I83" s="606">
        <f>SUM(D83:H83)</f>
        <v>171636999</v>
      </c>
      <c r="J83" s="607"/>
      <c r="K83" s="61"/>
      <c r="L83" s="369">
        <v>59393059</v>
      </c>
      <c r="M83" s="61"/>
      <c r="N83" s="606">
        <f>SUM(J83:M83)</f>
        <v>59393059</v>
      </c>
      <c r="O83" s="608"/>
      <c r="P83" s="61"/>
      <c r="Q83" s="609">
        <f>+P83+N83+I83</f>
        <v>231030058</v>
      </c>
      <c r="R83" s="606">
        <f>Q83/Q107*100</f>
        <v>25.375061754288058</v>
      </c>
    </row>
    <row r="84" spans="1:18" x14ac:dyDescent="0.2">
      <c r="A84" s="580"/>
      <c r="B84" s="411">
        <v>2022</v>
      </c>
      <c r="C84" s="581"/>
      <c r="D84" s="61">
        <v>132615299</v>
      </c>
      <c r="E84" s="61">
        <v>128000</v>
      </c>
      <c r="F84" s="61">
        <v>55484496</v>
      </c>
      <c r="G84" s="61"/>
      <c r="H84" s="61">
        <v>489887</v>
      </c>
      <c r="I84" s="606">
        <f>SUM(D84:H84)</f>
        <v>188717682</v>
      </c>
      <c r="J84" s="607"/>
      <c r="K84" s="61"/>
      <c r="L84" s="61">
        <v>53911523</v>
      </c>
      <c r="M84" s="61"/>
      <c r="N84" s="606">
        <f>SUM(J84:M84)</f>
        <v>53911523</v>
      </c>
      <c r="O84" s="608"/>
      <c r="P84" s="61"/>
      <c r="Q84" s="609">
        <f>+P84+N84+I84</f>
        <v>242629205</v>
      </c>
      <c r="R84" s="606">
        <f>Q84/Q108*100</f>
        <v>24.616114529794888</v>
      </c>
    </row>
    <row r="85" spans="1:18" ht="12.75" thickBot="1" x14ac:dyDescent="0.25">
      <c r="A85" s="600"/>
      <c r="B85" s="589" t="s">
        <v>335</v>
      </c>
      <c r="C85" s="590"/>
      <c r="D85" s="610">
        <f>(+D84*100/D83)-100</f>
        <v>4.1332053663465729</v>
      </c>
      <c r="E85" s="610">
        <f t="shared" ref="E85:R85" si="18">(+E84*100/E83)-100</f>
        <v>-26.241788636625557</v>
      </c>
      <c r="F85" s="610">
        <f t="shared" si="18"/>
        <v>27.425799548175732</v>
      </c>
      <c r="G85" s="610"/>
      <c r="H85" s="610">
        <f t="shared" si="18"/>
        <v>-13.944852275981034</v>
      </c>
      <c r="I85" s="610">
        <f t="shared" si="18"/>
        <v>9.9516322818018921</v>
      </c>
      <c r="J85" s="610"/>
      <c r="K85" s="610"/>
      <c r="L85" s="610">
        <f t="shared" si="18"/>
        <v>-9.229253539542384</v>
      </c>
      <c r="M85" s="610"/>
      <c r="N85" s="610">
        <f t="shared" si="18"/>
        <v>-9.229253539542384</v>
      </c>
      <c r="O85" s="610"/>
      <c r="P85" s="610"/>
      <c r="Q85" s="610">
        <f t="shared" si="18"/>
        <v>5.0206224680946008</v>
      </c>
      <c r="R85" s="610">
        <f t="shared" si="18"/>
        <v>-2.9909177437367873</v>
      </c>
    </row>
    <row r="86" spans="1:18" x14ac:dyDescent="0.2">
      <c r="A86" s="574" t="s">
        <v>356</v>
      </c>
      <c r="B86" s="575">
        <v>2020</v>
      </c>
      <c r="C86" s="576"/>
      <c r="D86" s="601"/>
      <c r="E86" s="601"/>
      <c r="F86" s="601"/>
      <c r="G86" s="601"/>
      <c r="H86" s="601"/>
      <c r="I86" s="612"/>
      <c r="J86" s="603"/>
      <c r="K86" s="601"/>
      <c r="L86" s="601"/>
      <c r="M86" s="601"/>
      <c r="N86" s="612"/>
      <c r="O86" s="604"/>
      <c r="P86" s="601"/>
      <c r="Q86" s="601"/>
      <c r="R86" s="602"/>
    </row>
    <row r="87" spans="1:18" x14ac:dyDescent="0.2">
      <c r="A87" s="580"/>
      <c r="B87" s="411">
        <v>2021</v>
      </c>
      <c r="C87" s="581"/>
      <c r="D87" s="61"/>
      <c r="E87" s="61"/>
      <c r="F87" s="61"/>
      <c r="G87" s="61"/>
      <c r="H87" s="61"/>
      <c r="I87" s="613"/>
      <c r="J87" s="607"/>
      <c r="K87" s="61"/>
      <c r="L87" s="61"/>
      <c r="M87" s="61"/>
      <c r="N87" s="613"/>
      <c r="O87" s="608"/>
      <c r="P87" s="61"/>
      <c r="Q87" s="61"/>
      <c r="R87" s="606"/>
    </row>
    <row r="88" spans="1:18" x14ac:dyDescent="0.2">
      <c r="A88" s="580"/>
      <c r="B88" s="411">
        <v>2022</v>
      </c>
      <c r="C88" s="581"/>
      <c r="D88" s="61"/>
      <c r="E88" s="61"/>
      <c r="F88" s="61"/>
      <c r="G88" s="61"/>
      <c r="H88" s="61"/>
      <c r="I88" s="613"/>
      <c r="J88" s="607"/>
      <c r="K88" s="61"/>
      <c r="L88" s="61"/>
      <c r="M88" s="61"/>
      <c r="N88" s="613"/>
      <c r="O88" s="608"/>
      <c r="P88" s="61"/>
      <c r="Q88" s="61"/>
      <c r="R88" s="606"/>
    </row>
    <row r="89" spans="1:18" ht="12.75" thickBot="1" x14ac:dyDescent="0.25">
      <c r="A89" s="600"/>
      <c r="B89" s="589" t="s">
        <v>335</v>
      </c>
      <c r="C89" s="590"/>
      <c r="D89" s="610"/>
      <c r="E89" s="614"/>
      <c r="F89" s="614"/>
      <c r="G89" s="614"/>
      <c r="H89" s="614"/>
      <c r="I89" s="615"/>
      <c r="J89" s="616"/>
      <c r="K89" s="614"/>
      <c r="L89" s="614"/>
      <c r="M89" s="614"/>
      <c r="N89" s="615"/>
      <c r="O89" s="617"/>
      <c r="P89" s="614"/>
      <c r="Q89" s="614"/>
      <c r="R89" s="618"/>
    </row>
    <row r="90" spans="1:18" x14ac:dyDescent="0.2">
      <c r="A90" s="574" t="s">
        <v>357</v>
      </c>
      <c r="B90" s="575">
        <v>2020</v>
      </c>
      <c r="C90" s="576"/>
      <c r="D90" s="61">
        <v>330758906</v>
      </c>
      <c r="E90" s="61">
        <v>209412</v>
      </c>
      <c r="F90" s="61">
        <v>24986213</v>
      </c>
      <c r="G90" s="61"/>
      <c r="H90" s="61"/>
      <c r="I90" s="606">
        <f>SUM(D90:H90)</f>
        <v>355954531</v>
      </c>
      <c r="J90" s="607"/>
      <c r="K90" s="61"/>
      <c r="L90" s="61">
        <v>32288804</v>
      </c>
      <c r="M90" s="61"/>
      <c r="N90" s="606">
        <f>SUM(J90:M90)</f>
        <v>32288804</v>
      </c>
      <c r="O90" s="608"/>
      <c r="P90" s="61"/>
      <c r="Q90" s="609">
        <f>+P90+N90+I90</f>
        <v>388243335</v>
      </c>
      <c r="R90" s="602">
        <f>Q90/Q106*100</f>
        <v>45.048824603426532</v>
      </c>
    </row>
    <row r="91" spans="1:18" x14ac:dyDescent="0.2">
      <c r="A91" s="580"/>
      <c r="B91" s="411">
        <v>2021</v>
      </c>
      <c r="C91" s="581"/>
      <c r="D91" s="369">
        <v>385358074</v>
      </c>
      <c r="E91" s="369">
        <v>941499</v>
      </c>
      <c r="F91" s="369">
        <v>19190999</v>
      </c>
      <c r="G91" s="61"/>
      <c r="H91" s="61"/>
      <c r="I91" s="606">
        <f>SUM(D91:H91)</f>
        <v>405490572</v>
      </c>
      <c r="J91" s="607"/>
      <c r="K91" s="61"/>
      <c r="L91" s="369">
        <v>52099809</v>
      </c>
      <c r="M91" s="61"/>
      <c r="N91" s="606">
        <f>SUM(J91:M91)</f>
        <v>52099809</v>
      </c>
      <c r="O91" s="608"/>
      <c r="P91" s="61"/>
      <c r="Q91" s="609">
        <f>+P91+N91+I91</f>
        <v>457590381</v>
      </c>
      <c r="R91" s="606">
        <f>Q91/Q107*100</f>
        <v>50.259192576765066</v>
      </c>
    </row>
    <row r="92" spans="1:18" x14ac:dyDescent="0.2">
      <c r="A92" s="580"/>
      <c r="B92" s="411">
        <v>2022</v>
      </c>
      <c r="C92" s="581"/>
      <c r="D92" s="61">
        <v>399449261</v>
      </c>
      <c r="E92" s="61">
        <v>982000</v>
      </c>
      <c r="F92" s="61">
        <v>15287494</v>
      </c>
      <c r="G92" s="61"/>
      <c r="H92" s="61"/>
      <c r="I92" s="606">
        <f>SUM(D92:H92)</f>
        <v>415718755</v>
      </c>
      <c r="J92" s="607"/>
      <c r="K92" s="61"/>
      <c r="L92" s="61">
        <v>53989817</v>
      </c>
      <c r="M92" s="61"/>
      <c r="N92" s="606">
        <f>SUM(J92:M92)</f>
        <v>53989817</v>
      </c>
      <c r="O92" s="608"/>
      <c r="P92" s="61"/>
      <c r="Q92" s="609">
        <f>+P92+N92+I92</f>
        <v>469708572</v>
      </c>
      <c r="R92" s="606">
        <f>Q92/Q108*100</f>
        <v>47.654609443980199</v>
      </c>
    </row>
    <row r="93" spans="1:18" ht="12.75" thickBot="1" x14ac:dyDescent="0.25">
      <c r="A93" s="600"/>
      <c r="B93" s="589" t="s">
        <v>335</v>
      </c>
      <c r="C93" s="590"/>
      <c r="D93" s="610">
        <f>(+D92*100/D91)-100</f>
        <v>3.6566476611568248</v>
      </c>
      <c r="E93" s="610">
        <f t="shared" ref="E93:R93" si="19">(+E92*100/E91)-100</f>
        <v>4.3017570916166648</v>
      </c>
      <c r="F93" s="610">
        <f t="shared" si="19"/>
        <v>-20.340290779026148</v>
      </c>
      <c r="G93" s="610"/>
      <c r="H93" s="610"/>
      <c r="I93" s="610">
        <f t="shared" si="19"/>
        <v>2.5224219023272383</v>
      </c>
      <c r="J93" s="610"/>
      <c r="K93" s="610"/>
      <c r="L93" s="610">
        <f t="shared" si="19"/>
        <v>3.6276678096842971</v>
      </c>
      <c r="M93" s="610"/>
      <c r="N93" s="610">
        <f t="shared" si="19"/>
        <v>3.6276678096842971</v>
      </c>
      <c r="O93" s="610"/>
      <c r="P93" s="610"/>
      <c r="Q93" s="610">
        <f t="shared" si="19"/>
        <v>2.6482617430719131</v>
      </c>
      <c r="R93" s="610">
        <f t="shared" si="19"/>
        <v>-5.1823019814866171</v>
      </c>
    </row>
    <row r="94" spans="1:18" x14ac:dyDescent="0.2">
      <c r="A94" s="574" t="s">
        <v>358</v>
      </c>
      <c r="B94" s="575">
        <v>2020</v>
      </c>
      <c r="C94" s="576"/>
      <c r="D94" s="61">
        <v>676779</v>
      </c>
      <c r="E94" s="61">
        <v>10000</v>
      </c>
      <c r="F94" s="61">
        <v>1999253</v>
      </c>
      <c r="G94" s="61"/>
      <c r="H94" s="61"/>
      <c r="I94" s="606">
        <f>SUM(D94:H94)</f>
        <v>2686032</v>
      </c>
      <c r="J94" s="607"/>
      <c r="K94" s="61"/>
      <c r="L94" s="61">
        <v>10000</v>
      </c>
      <c r="M94" s="61"/>
      <c r="N94" s="606">
        <f>SUM(J94:M94)</f>
        <v>10000</v>
      </c>
      <c r="O94" s="608"/>
      <c r="P94" s="61"/>
      <c r="Q94" s="609">
        <f>+P94+N94+I94</f>
        <v>2696032</v>
      </c>
      <c r="R94" s="602">
        <f>Q94/Q106*100</f>
        <v>0.31282719301086065</v>
      </c>
    </row>
    <row r="95" spans="1:18" x14ac:dyDescent="0.2">
      <c r="A95" s="580"/>
      <c r="B95" s="411">
        <v>2021</v>
      </c>
      <c r="C95" s="581"/>
      <c r="D95" s="61">
        <v>600718</v>
      </c>
      <c r="E95" s="61">
        <v>0</v>
      </c>
      <c r="F95" s="61">
        <v>2193180</v>
      </c>
      <c r="G95" s="61"/>
      <c r="H95" s="61"/>
      <c r="I95" s="606">
        <f>SUM(D95:H95)</f>
        <v>2793898</v>
      </c>
      <c r="J95" s="607"/>
      <c r="K95" s="61"/>
      <c r="L95" s="61">
        <v>0</v>
      </c>
      <c r="M95" s="61"/>
      <c r="N95" s="606">
        <f t="shared" ref="N95:N96" si="20">SUM(J95:M95)</f>
        <v>0</v>
      </c>
      <c r="O95" s="608"/>
      <c r="P95" s="61"/>
      <c r="Q95" s="609">
        <f>+P95+N95+I95</f>
        <v>2793898</v>
      </c>
      <c r="R95" s="606">
        <f>Q95/Q107*100</f>
        <v>0.30686627921455095</v>
      </c>
    </row>
    <row r="96" spans="1:18" x14ac:dyDescent="0.2">
      <c r="A96" s="580"/>
      <c r="B96" s="411">
        <v>2022</v>
      </c>
      <c r="C96" s="581"/>
      <c r="D96" s="61">
        <v>575362</v>
      </c>
      <c r="E96" s="61">
        <v>3000</v>
      </c>
      <c r="F96" s="61">
        <v>2061070</v>
      </c>
      <c r="G96" s="61"/>
      <c r="H96" s="61"/>
      <c r="I96" s="606">
        <f>SUM(D96:H96)</f>
        <v>2639432</v>
      </c>
      <c r="J96" s="607"/>
      <c r="K96" s="61"/>
      <c r="L96" s="61">
        <v>0</v>
      </c>
      <c r="M96" s="61"/>
      <c r="N96" s="606">
        <f t="shared" si="20"/>
        <v>0</v>
      </c>
      <c r="O96" s="608"/>
      <c r="P96" s="61"/>
      <c r="Q96" s="609">
        <f>+P96+N96+I96</f>
        <v>2639432</v>
      </c>
      <c r="R96" s="606">
        <f>Q96/Q108*100</f>
        <v>0.26778540697771969</v>
      </c>
    </row>
    <row r="97" spans="1:18" ht="12.75" thickBot="1" x14ac:dyDescent="0.25">
      <c r="A97" s="600"/>
      <c r="B97" s="589" t="s">
        <v>335</v>
      </c>
      <c r="C97" s="590"/>
      <c r="D97" s="610">
        <f>(+D96*100/D95)-100</f>
        <v>-4.2209489311124315</v>
      </c>
      <c r="E97" s="611" t="e">
        <f t="shared" ref="E97:R97" si="21">(+E96*100/E95)-100</f>
        <v>#DIV/0!</v>
      </c>
      <c r="F97" s="610">
        <f t="shared" si="21"/>
        <v>-6.0236733875012476</v>
      </c>
      <c r="G97" s="610"/>
      <c r="H97" s="610"/>
      <c r="I97" s="610">
        <f t="shared" si="21"/>
        <v>-5.5286914554504136</v>
      </c>
      <c r="J97" s="610"/>
      <c r="K97" s="610"/>
      <c r="L97" s="611" t="e">
        <f t="shared" si="21"/>
        <v>#DIV/0!</v>
      </c>
      <c r="M97" s="610"/>
      <c r="N97" s="611" t="e">
        <f t="shared" si="21"/>
        <v>#DIV/0!</v>
      </c>
      <c r="O97" s="610"/>
      <c r="P97" s="610"/>
      <c r="Q97" s="610">
        <f t="shared" si="21"/>
        <v>-5.5286914554504136</v>
      </c>
      <c r="R97" s="610">
        <f t="shared" si="21"/>
        <v>-12.735473033029862</v>
      </c>
    </row>
    <row r="98" spans="1:18" x14ac:dyDescent="0.2">
      <c r="A98" s="574" t="s">
        <v>359</v>
      </c>
      <c r="B98" s="575">
        <v>2020</v>
      </c>
      <c r="C98" s="576"/>
      <c r="D98" s="601"/>
      <c r="E98" s="61">
        <v>26120754</v>
      </c>
      <c r="F98" s="61"/>
      <c r="G98" s="61"/>
      <c r="H98" s="61"/>
      <c r="I98" s="606">
        <f>SUM(D98:H98)</f>
        <v>26120754</v>
      </c>
      <c r="J98" s="607"/>
      <c r="K98" s="61"/>
      <c r="L98" s="61">
        <v>0</v>
      </c>
      <c r="M98" s="61"/>
      <c r="N98" s="606">
        <f>SUM(J98:M98)</f>
        <v>0</v>
      </c>
      <c r="O98" s="608"/>
      <c r="P98" s="61"/>
      <c r="Q98" s="609">
        <f>+P98+N98+I98</f>
        <v>26120754</v>
      </c>
      <c r="R98" s="602">
        <f>Q98/Q106*100</f>
        <v>3.0308550318198044</v>
      </c>
    </row>
    <row r="99" spans="1:18" x14ac:dyDescent="0.2">
      <c r="A99" s="580"/>
      <c r="B99" s="411">
        <v>2021</v>
      </c>
      <c r="C99" s="581"/>
      <c r="D99" s="61"/>
      <c r="E99" s="369">
        <v>24301282</v>
      </c>
      <c r="F99" s="61"/>
      <c r="G99" s="61"/>
      <c r="H99" s="61"/>
      <c r="I99" s="606">
        <f>SUM(D99:H99)</f>
        <v>24301282</v>
      </c>
      <c r="J99" s="607"/>
      <c r="K99" s="61"/>
      <c r="L99" s="61">
        <v>0</v>
      </c>
      <c r="M99" s="61"/>
      <c r="N99" s="606">
        <f t="shared" ref="N99:N100" si="22">SUM(J99:M99)</f>
        <v>0</v>
      </c>
      <c r="O99" s="608"/>
      <c r="P99" s="61"/>
      <c r="Q99" s="609">
        <f>+P99+N99+I99</f>
        <v>24301282</v>
      </c>
      <c r="R99" s="606">
        <f>Q99/Q107*100</f>
        <v>2.669118195253922</v>
      </c>
    </row>
    <row r="100" spans="1:18" x14ac:dyDescent="0.2">
      <c r="A100" s="580"/>
      <c r="B100" s="411">
        <v>2022</v>
      </c>
      <c r="C100" s="581"/>
      <c r="D100" s="61"/>
      <c r="E100" s="61">
        <v>21675000</v>
      </c>
      <c r="F100" s="61"/>
      <c r="G100" s="61"/>
      <c r="H100" s="61"/>
      <c r="I100" s="606">
        <f>SUM(D100:H100)</f>
        <v>21675000</v>
      </c>
      <c r="J100" s="607"/>
      <c r="K100" s="61"/>
      <c r="L100" s="61">
        <v>0</v>
      </c>
      <c r="M100" s="61"/>
      <c r="N100" s="606">
        <f t="shared" si="22"/>
        <v>0</v>
      </c>
      <c r="O100" s="608"/>
      <c r="P100" s="61"/>
      <c r="Q100" s="609">
        <f>+P100+N100+I100</f>
        <v>21675000</v>
      </c>
      <c r="R100" s="606">
        <f>Q100/Q108*100</f>
        <v>2.1990521810154888</v>
      </c>
    </row>
    <row r="101" spans="1:18" ht="12.75" thickBot="1" x14ac:dyDescent="0.25">
      <c r="A101" s="600"/>
      <c r="B101" s="589" t="s">
        <v>335</v>
      </c>
      <c r="C101" s="590"/>
      <c r="D101" s="614"/>
      <c r="E101" s="610">
        <f>(+E100*100/E99)-100</f>
        <v>-10.807174699672217</v>
      </c>
      <c r="F101" s="610"/>
      <c r="G101" s="610"/>
      <c r="H101" s="610"/>
      <c r="I101" s="610">
        <f t="shared" ref="I101:R101" si="23">(+I100*100/I99)-100</f>
        <v>-10.807174699672217</v>
      </c>
      <c r="J101" s="610"/>
      <c r="K101" s="610"/>
      <c r="L101" s="611" t="e">
        <f t="shared" si="23"/>
        <v>#DIV/0!</v>
      </c>
      <c r="M101" s="610"/>
      <c r="N101" s="611" t="e">
        <f t="shared" si="23"/>
        <v>#DIV/0!</v>
      </c>
      <c r="O101" s="610"/>
      <c r="P101" s="610"/>
      <c r="Q101" s="610">
        <f t="shared" si="23"/>
        <v>-10.807174699672217</v>
      </c>
      <c r="R101" s="610">
        <f t="shared" si="23"/>
        <v>-17.611285070637877</v>
      </c>
    </row>
    <row r="102" spans="1:18" x14ac:dyDescent="0.2">
      <c r="A102" s="574" t="s">
        <v>360</v>
      </c>
      <c r="B102" s="575">
        <v>2020</v>
      </c>
      <c r="C102" s="576"/>
      <c r="D102" s="601"/>
      <c r="E102" s="601"/>
      <c r="F102" s="601"/>
      <c r="G102" s="601"/>
      <c r="H102" s="601"/>
      <c r="I102" s="612"/>
      <c r="J102" s="603"/>
      <c r="K102" s="601"/>
      <c r="L102" s="601"/>
      <c r="M102" s="601"/>
      <c r="N102" s="612"/>
      <c r="O102" s="604"/>
      <c r="P102" s="601"/>
      <c r="Q102" s="601"/>
      <c r="R102" s="612"/>
    </row>
    <row r="103" spans="1:18" x14ac:dyDescent="0.2">
      <c r="A103" s="580"/>
      <c r="B103" s="411">
        <v>2021</v>
      </c>
      <c r="C103" s="581"/>
      <c r="D103" s="61"/>
      <c r="E103" s="61"/>
      <c r="F103" s="61"/>
      <c r="G103" s="61"/>
      <c r="H103" s="61"/>
      <c r="I103" s="613"/>
      <c r="J103" s="607"/>
      <c r="K103" s="61"/>
      <c r="L103" s="61"/>
      <c r="M103" s="61"/>
      <c r="N103" s="613"/>
      <c r="O103" s="608"/>
      <c r="P103" s="61"/>
      <c r="Q103" s="61"/>
      <c r="R103" s="613"/>
    </row>
    <row r="104" spans="1:18" x14ac:dyDescent="0.2">
      <c r="A104" s="580"/>
      <c r="B104" s="411">
        <v>2022</v>
      </c>
      <c r="C104" s="581"/>
      <c r="D104" s="61"/>
      <c r="E104" s="61"/>
      <c r="F104" s="61"/>
      <c r="G104" s="61"/>
      <c r="H104" s="61"/>
      <c r="I104" s="613"/>
      <c r="J104" s="607"/>
      <c r="K104" s="61"/>
      <c r="L104" s="61"/>
      <c r="M104" s="61"/>
      <c r="N104" s="613"/>
      <c r="O104" s="608"/>
      <c r="P104" s="61"/>
      <c r="Q104" s="61"/>
      <c r="R104" s="613"/>
    </row>
    <row r="105" spans="1:18" ht="12.75" thickBot="1" x14ac:dyDescent="0.25">
      <c r="A105" s="600"/>
      <c r="B105" s="589" t="s">
        <v>335</v>
      </c>
      <c r="C105" s="590"/>
      <c r="D105" s="614"/>
      <c r="E105" s="614"/>
      <c r="F105" s="614"/>
      <c r="G105" s="614"/>
      <c r="H105" s="614"/>
      <c r="I105" s="615"/>
      <c r="J105" s="616"/>
      <c r="K105" s="614"/>
      <c r="L105" s="614"/>
      <c r="M105" s="614"/>
      <c r="N105" s="615"/>
      <c r="O105" s="617"/>
      <c r="P105" s="614"/>
      <c r="Q105" s="614"/>
      <c r="R105" s="615"/>
    </row>
    <row r="106" spans="1:18" x14ac:dyDescent="0.2">
      <c r="A106" s="1458" t="s">
        <v>169</v>
      </c>
      <c r="B106" s="625">
        <v>2020</v>
      </c>
      <c r="C106" s="626"/>
      <c r="D106" s="627">
        <f>SUM(D6+D10+D14+D18+D22+D26+D30+D34+D38+D42+D46+D50+D54+D58+D62+D66+D70+D74+D78+D82+D86+D90+D94+D98+D102)</f>
        <v>470553762</v>
      </c>
      <c r="E106" s="627">
        <f t="shared" ref="E106:H106" si="24">SUM(E6+E10+E14+E18+E22+E26+E30+E34+E38+E42+E46+E50+E54+E58+E62+E66+E70+E74+E78+E82+E86+E90+E94+E98+E102)</f>
        <v>28139255</v>
      </c>
      <c r="F106" s="627">
        <f t="shared" si="24"/>
        <v>106120314</v>
      </c>
      <c r="G106" s="627">
        <f t="shared" si="24"/>
        <v>0</v>
      </c>
      <c r="H106" s="627">
        <f t="shared" si="24"/>
        <v>770167</v>
      </c>
      <c r="I106" s="628">
        <f>+I98+I94+I90+I82+I78+I74+I70+I66+I62+I58+I54+I50+I46+I42+I38+I34+I30+I22+I14</f>
        <v>605583498</v>
      </c>
      <c r="J106" s="629"/>
      <c r="K106" s="630"/>
      <c r="L106" s="627">
        <f>+L94+L90+L82+L78+L74+L70+L66+L62+L58+L50+L46+L42+L38+L30+L22+L14</f>
        <v>256244393</v>
      </c>
      <c r="M106" s="630"/>
      <c r="N106" s="631">
        <f>+N94+N90+N82+N78+N74+N70+N66+N62+N58+N50+N46+N42+N38+N30+N22+N14</f>
        <v>256244393</v>
      </c>
      <c r="O106" s="632"/>
      <c r="P106" s="630"/>
      <c r="Q106" s="627">
        <f>+Q98+Q94+Q90+Q82+Q78+Q74+Q70+Q66+Q62+Q58+Q54+Q50+Q46+Q42+Q38+Q34+Q30+Q22+Q14</f>
        <v>861827891</v>
      </c>
      <c r="R106" s="628">
        <f>R14+R18+R22+R26+R30+R34+R38+R42+R46+R50+R54+R58+R62+R66+R70+R74+R78+R82+R86+R90+R94+R98+R102</f>
        <v>100</v>
      </c>
    </row>
    <row r="107" spans="1:18" ht="12.75" customHeight="1" x14ac:dyDescent="0.2">
      <c r="A107" s="1459"/>
      <c r="B107" s="633">
        <v>2021</v>
      </c>
      <c r="C107" s="634"/>
      <c r="D107" s="635">
        <f>SUM(D7+D11+D15+D19+D23+D27+D31+D35+D39+D43+D47+D51+D55+D59+D63+D67+D71+D75+D79+D83+D87+D91+D95+D99+D103)</f>
        <v>531805354</v>
      </c>
      <c r="E107" s="635">
        <f t="shared" ref="E107:R107" si="25">SUM(E7+E11+E15+E19+E23+E27+E31+E35+E39+E43+E47+E51+E55+E59+E63+E67+E71+E75+E79+E83+E87+E91+E95+E99+E103)</f>
        <v>26965585</v>
      </c>
      <c r="F107" s="635">
        <f t="shared" si="25"/>
        <v>96684344</v>
      </c>
      <c r="G107" s="635">
        <f t="shared" si="25"/>
        <v>0</v>
      </c>
      <c r="H107" s="635">
        <f t="shared" si="25"/>
        <v>770167</v>
      </c>
      <c r="I107" s="636">
        <f t="shared" si="25"/>
        <v>656225450</v>
      </c>
      <c r="J107" s="637"/>
      <c r="K107" s="635"/>
      <c r="L107" s="635">
        <f t="shared" si="25"/>
        <v>251814418</v>
      </c>
      <c r="M107" s="635"/>
      <c r="N107" s="636">
        <f t="shared" si="25"/>
        <v>251814418</v>
      </c>
      <c r="O107" s="638">
        <f t="shared" si="25"/>
        <v>2421199</v>
      </c>
      <c r="P107" s="635">
        <f t="shared" si="25"/>
        <v>2421199</v>
      </c>
      <c r="Q107" s="635">
        <f>SUM(Q7+Q11+Q15+Q19+Q23+Q27+Q31+Q35+Q39+Q43+Q47+Q51+Q55+Q59+Q63+Q67+Q71+Q75+Q79+Q83+Q87+Q91+Q95+Q99+Q103)</f>
        <v>910461067</v>
      </c>
      <c r="R107" s="636">
        <f t="shared" si="25"/>
        <v>99.999999999999986</v>
      </c>
    </row>
    <row r="108" spans="1:18" ht="14.25" customHeight="1" thickBot="1" x14ac:dyDescent="0.25">
      <c r="A108" s="1459"/>
      <c r="B108" s="633">
        <v>2022</v>
      </c>
      <c r="C108" s="634"/>
      <c r="D108" s="434">
        <f>SUM(D8+D12+D16+D20+D24+D28+D32+D36+D40+D44+D48+D52+D56+D60+D64+D68+D72+D76+D80+D84+D88+D92+D96+D100+D104)</f>
        <v>551211533</v>
      </c>
      <c r="E108" s="434">
        <f t="shared" ref="E108:H108" si="26">SUM(E8+E12+E16+E20+E24+E28+E32+E36+E40+E44+E48+E52+E56+E60+E64+E68+E72+E76+E80+E84+E88+E92+E96+E100+E104)</f>
        <v>24352012</v>
      </c>
      <c r="F108" s="434">
        <f t="shared" si="26"/>
        <v>113826196</v>
      </c>
      <c r="G108" s="434">
        <f t="shared" si="26"/>
        <v>900000</v>
      </c>
      <c r="H108" s="434">
        <f t="shared" si="26"/>
        <v>573357</v>
      </c>
      <c r="I108" s="636">
        <f>SUM(I8+I12+I16+I20+I24+I28+I32+I36+I40+I44+I48+I52+I56+I60+I64+I68+I72+I76+I80+I84+I88+I92+I96+I100+I104)</f>
        <v>690863098</v>
      </c>
      <c r="J108" s="639"/>
      <c r="K108" s="640"/>
      <c r="L108" s="640">
        <f>SUM(L8+L12+L16+L20+L24+L28+L32+L36+L40+L44+L48+L52+L56+L60+L64+L68+L72+L76+L80+L84+L88+L92+L96+L100+L104)</f>
        <v>291970041</v>
      </c>
      <c r="M108" s="640"/>
      <c r="N108" s="641">
        <f t="shared" ref="N108:R108" si="27">SUM(N8+N12+N16+N20+N24+N28+N32+N36+N40+N44+N48+N52+N56+N60+N64+N68+N72+N76+N80+N84+N88+N92+N96+N100+N104)</f>
        <v>291970041</v>
      </c>
      <c r="O108" s="642">
        <f t="shared" si="27"/>
        <v>2818779</v>
      </c>
      <c r="P108" s="640">
        <f t="shared" si="27"/>
        <v>2818779</v>
      </c>
      <c r="Q108" s="640">
        <f t="shared" si="27"/>
        <v>985651918</v>
      </c>
      <c r="R108" s="641">
        <f t="shared" si="27"/>
        <v>100</v>
      </c>
    </row>
    <row r="109" spans="1:18" ht="13.5" customHeight="1" thickBot="1" x14ac:dyDescent="0.25">
      <c r="A109" s="1457"/>
      <c r="B109" s="643" t="s">
        <v>335</v>
      </c>
      <c r="C109" s="644"/>
      <c r="D109" s="640">
        <f>(+D108*100/D107)-100</f>
        <v>3.6491131302149284</v>
      </c>
      <c r="E109" s="640">
        <f t="shared" ref="E109:R109" si="28">(+E108*100/E107)-100</f>
        <v>-9.6922540341698493</v>
      </c>
      <c r="F109" s="640">
        <f t="shared" si="28"/>
        <v>17.729708131442663</v>
      </c>
      <c r="G109" s="645" t="e">
        <f t="shared" si="28"/>
        <v>#DIV/0!</v>
      </c>
      <c r="H109" s="640">
        <f t="shared" si="28"/>
        <v>-25.554197985631689</v>
      </c>
      <c r="I109" s="640">
        <f t="shared" si="28"/>
        <v>5.2783152497361954</v>
      </c>
      <c r="J109" s="640"/>
      <c r="K109" s="640"/>
      <c r="L109" s="640">
        <f t="shared" si="28"/>
        <v>15.946514627291918</v>
      </c>
      <c r="M109" s="640"/>
      <c r="N109" s="640">
        <f t="shared" si="28"/>
        <v>15.946514627291918</v>
      </c>
      <c r="O109" s="640">
        <f t="shared" si="28"/>
        <v>16.420789864856218</v>
      </c>
      <c r="P109" s="640">
        <f t="shared" si="28"/>
        <v>16.420789864856218</v>
      </c>
      <c r="Q109" s="640">
        <f t="shared" si="28"/>
        <v>8.2585465458458742</v>
      </c>
      <c r="R109" s="640">
        <f t="shared" si="28"/>
        <v>0</v>
      </c>
    </row>
    <row r="112" spans="1:18" x14ac:dyDescent="0.2">
      <c r="Q112" s="369"/>
    </row>
    <row r="113" spans="17:17" x14ac:dyDescent="0.2">
      <c r="Q113" s="369"/>
    </row>
  </sheetData>
  <mergeCells count="9">
    <mergeCell ref="A106:A109"/>
    <mergeCell ref="A1:R1"/>
    <mergeCell ref="A2:D2"/>
    <mergeCell ref="Q4:R4"/>
    <mergeCell ref="A4:A5"/>
    <mergeCell ref="C4:I4"/>
    <mergeCell ref="J4:N4"/>
    <mergeCell ref="O4:P4"/>
    <mergeCell ref="B4:B5"/>
  </mergeCells>
  <phoneticPr fontId="0" type="noConversion"/>
  <printOptions horizontalCentered="1"/>
  <pageMargins left="0.23622047244094491" right="0.23622047244094491" top="0.74803149606299213" bottom="0.74803149606299213" header="0.31496062992125984" footer="0.31496062992125984"/>
  <pageSetup paperSize="9" scale="59"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25</vt:i4>
      </vt:variant>
    </vt:vector>
  </HeadingPairs>
  <TitlesOfParts>
    <vt:vector size="45" baseType="lpstr">
      <vt:lpstr>Índice</vt:lpstr>
      <vt:lpstr>F-01</vt:lpstr>
      <vt:lpstr>F-02</vt:lpstr>
      <vt:lpstr>F-03</vt:lpstr>
      <vt:lpstr>F-04 </vt:lpstr>
      <vt:lpstr>F-05</vt:lpstr>
      <vt:lpstr>F-06</vt:lpstr>
      <vt:lpstr>F-07</vt:lpstr>
      <vt:lpstr>F-08 </vt:lpstr>
      <vt:lpstr>F-09</vt:lpstr>
      <vt:lpstr>F-10</vt:lpstr>
      <vt:lpstr>F-11</vt:lpstr>
      <vt:lpstr>F-12</vt:lpstr>
      <vt:lpstr>F-13</vt:lpstr>
      <vt:lpstr>F-14</vt:lpstr>
      <vt:lpstr>F-15</vt:lpstr>
      <vt:lpstr>F-16</vt:lpstr>
      <vt:lpstr>F-17</vt:lpstr>
      <vt:lpstr>F-18</vt:lpstr>
      <vt:lpstr>Hoja1</vt:lpstr>
      <vt:lpstr>'F-01'!Área_de_impresión</vt:lpstr>
      <vt:lpstr>'F-06'!Área_de_impresión</vt:lpstr>
      <vt:lpstr>'F-07'!Área_de_impresión</vt:lpstr>
      <vt:lpstr>'F-08 '!Área_de_impresión</vt:lpstr>
      <vt:lpstr>'F-09'!Área_de_impresión</vt:lpstr>
      <vt:lpstr>'F-10'!Área_de_impresión</vt:lpstr>
      <vt:lpstr>'F-11'!Área_de_impresión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'F-05'!Títulos_a_imprimir</vt:lpstr>
      <vt:lpstr>'F-08 '!Títulos_a_imprimir</vt:lpstr>
      <vt:lpstr>'F-09'!Títulos_a_imprimir</vt:lpstr>
      <vt:lpstr>'F-10'!Títulos_a_imprimir</vt:lpstr>
      <vt:lpstr>'F-11'!Títulos_a_imprimir</vt:lpstr>
      <vt:lpstr>'F-13'!Títulos_a_imprimir</vt:lpstr>
      <vt:lpstr>'F-14'!Títulos_a_imprimir</vt:lpstr>
      <vt:lpstr>'F-15'!Títulos_a_imprimir</vt:lpstr>
      <vt:lpstr>'F-16'!Títulos_a_imprimir</vt:lpstr>
      <vt:lpstr>Índice!Títulos_a_imprimir</vt:lpstr>
    </vt:vector>
  </TitlesOfParts>
  <Manager/>
  <Company>Congreso de la República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subject/>
  <dc:creator>Asesoria de Presupuesto</dc:creator>
  <cp:keywords/>
  <dc:description/>
  <cp:lastModifiedBy>pined</cp:lastModifiedBy>
  <cp:revision/>
  <dcterms:created xsi:type="dcterms:W3CDTF">1998-08-20T20:27:58Z</dcterms:created>
  <dcterms:modified xsi:type="dcterms:W3CDTF">2021-10-20T02:39:00Z</dcterms:modified>
  <cp:category/>
  <cp:contentStatus/>
</cp:coreProperties>
</file>